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drawings/drawing54.xml" ContentType="application/vnd.openxmlformats-officedocument.drawingml.chartshapes+xml"/>
  <Override PartName="/xl/drawings/drawing55.xml" ContentType="application/vnd.openxmlformats-officedocument.drawing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B173FC23-C1DD-43C8-8C9E-48832FF60B93}" xr6:coauthVersionLast="45" xr6:coauthVersionMax="45" xr10:uidLastSave="{00000000-0000-0000-0000-000000000000}"/>
  <bookViews>
    <workbookView xWindow="-120" yWindow="-120" windowWidth="29040" windowHeight="15840" firstSheet="4" activeTab="27" xr2:uid="{00000000-000D-0000-FFFF-FFFF00000000}"/>
  </bookViews>
  <sheets>
    <sheet name="01" sheetId="1748" r:id="rId1"/>
    <sheet name="02" sheetId="1749" r:id="rId2"/>
    <sheet name="03" sheetId="1750" r:id="rId3"/>
    <sheet name="04" sheetId="1751" r:id="rId4"/>
    <sheet name="05" sheetId="1752" r:id="rId5"/>
    <sheet name="06" sheetId="1753" r:id="rId6"/>
    <sheet name="07" sheetId="1754" r:id="rId7"/>
    <sheet name="08" sheetId="1755" r:id="rId8"/>
    <sheet name="09" sheetId="1756" r:id="rId9"/>
    <sheet name="10" sheetId="1757" r:id="rId10"/>
    <sheet name="11" sheetId="1758" r:id="rId11"/>
    <sheet name="12" sheetId="1759" r:id="rId12"/>
    <sheet name="13" sheetId="1760" r:id="rId13"/>
    <sheet name="15" sheetId="1761" r:id="rId14"/>
    <sheet name="16" sheetId="1762" r:id="rId15"/>
    <sheet name="17" sheetId="1763" r:id="rId16"/>
    <sheet name="18" sheetId="1764" r:id="rId17"/>
    <sheet name="19" sheetId="1765" r:id="rId18"/>
    <sheet name="20" sheetId="1766" r:id="rId19"/>
    <sheet name="22" sheetId="1767" r:id="rId20"/>
    <sheet name="23" sheetId="1768" r:id="rId21"/>
    <sheet name="24" sheetId="1769" r:id="rId22"/>
    <sheet name="25" sheetId="1770" r:id="rId23"/>
    <sheet name="26" sheetId="1771" r:id="rId24"/>
    <sheet name="27" sheetId="1772" r:id="rId25"/>
    <sheet name="29" sheetId="1773" r:id="rId26"/>
    <sheet name="30" sheetId="1774" r:id="rId27"/>
    <sheet name="총괄" sheetId="16" r:id="rId28"/>
  </sheets>
  <definedNames>
    <definedName name="_xlnm.Print_Area" localSheetId="0">'01'!$A$1:$AD$87</definedName>
    <definedName name="_xlnm.Print_Area" localSheetId="1">'02'!$A$1:$AD$87</definedName>
    <definedName name="_xlnm.Print_Area" localSheetId="2">'03'!$A$1:$AD$87</definedName>
    <definedName name="_xlnm.Print_Area" localSheetId="3">'04'!$A$1:$AD$92</definedName>
    <definedName name="_xlnm.Print_Area" localSheetId="4">'05'!$A$1:$AD$87</definedName>
    <definedName name="_xlnm.Print_Area" localSheetId="5">'06'!$A$1:$AD$88</definedName>
    <definedName name="_xlnm.Print_Area" localSheetId="6">'07'!$A$1:$AD$87</definedName>
    <definedName name="_xlnm.Print_Area" localSheetId="7">'08'!$A$1:$AD$87</definedName>
    <definedName name="_xlnm.Print_Area" localSheetId="8">'09'!$A$1:$AD$89</definedName>
    <definedName name="_xlnm.Print_Area" localSheetId="9">'10'!$A$1:$AD$87</definedName>
    <definedName name="_xlnm.Print_Area" localSheetId="10">'11'!$A$1:$AD$87</definedName>
    <definedName name="_xlnm.Print_Area" localSheetId="11">'12'!$A$1:$AD$87</definedName>
    <definedName name="_xlnm.Print_Area" localSheetId="12">'13'!$A$1:$AD$87</definedName>
    <definedName name="_xlnm.Print_Area" localSheetId="13">'15'!$A$1:$AD$89</definedName>
    <definedName name="_xlnm.Print_Area" localSheetId="14">'16'!$A$1:$AD$90</definedName>
    <definedName name="_xlnm.Print_Area" localSheetId="15">'17'!$A$1:$AD$88</definedName>
    <definedName name="_xlnm.Print_Area" localSheetId="16">'18'!$A$1:$AD$88</definedName>
    <definedName name="_xlnm.Print_Area" localSheetId="17">'19'!$A$1:$AD$88</definedName>
    <definedName name="_xlnm.Print_Area" localSheetId="18">'20'!$A$1:$AD$87</definedName>
    <definedName name="_xlnm.Print_Area" localSheetId="19">'22'!$A$1:$AD$87</definedName>
    <definedName name="_xlnm.Print_Area" localSheetId="20">'23'!$A$1:$AD$91</definedName>
    <definedName name="_xlnm.Print_Area" localSheetId="21">'24'!$A$1:$AD$88</definedName>
    <definedName name="_xlnm.Print_Area" localSheetId="22">'25'!$A$1:$AD$88</definedName>
    <definedName name="_xlnm.Print_Area" localSheetId="23">'26'!$A$1:$AD$88</definedName>
    <definedName name="_xlnm.Print_Area" localSheetId="24">'27'!$A$1:$AD$87</definedName>
    <definedName name="_xlnm.Print_Area" localSheetId="25">'29'!$A$1:$AD$87</definedName>
    <definedName name="_xlnm.Print_Area" localSheetId="26">'30'!$A$1:$AD$87</definedName>
    <definedName name="_xlnm.Print_Area" localSheetId="27">총괄!$A$1:$AG$38</definedName>
    <definedName name="ㅁ1" localSheetId="0">'01'!$M$1048522:$M$1048576</definedName>
    <definedName name="ㅁ1" localSheetId="1">'02'!$M$1048522:$M$1048576</definedName>
    <definedName name="ㅁ1" localSheetId="2">'03'!$M$1048522:$M$1048576</definedName>
    <definedName name="ㅁ1" localSheetId="3">'04'!$M$1048527:$M$1048576</definedName>
    <definedName name="ㅁ1" localSheetId="4">'05'!$M$1048522:$M$1048576</definedName>
    <definedName name="ㅁ1" localSheetId="5">'06'!$M$1048523:$M$1048576</definedName>
    <definedName name="ㅁ1" localSheetId="6">'07'!$M$1048522:$M$1048576</definedName>
    <definedName name="ㅁ1" localSheetId="7">'08'!$M$1048522:$M$1048576</definedName>
    <definedName name="ㅁ1" localSheetId="8">'09'!$M$1048524:$M$1048576</definedName>
    <definedName name="ㅁ1" localSheetId="9">'10'!$M$1048522:$M$1048576</definedName>
    <definedName name="ㅁ1" localSheetId="10">'11'!$M$1048522:$M$1048576</definedName>
    <definedName name="ㅁ1" localSheetId="11">'12'!$M$1048522:$M$1048576</definedName>
    <definedName name="ㅁ1" localSheetId="12">'13'!$M$1048522:$M$1048576</definedName>
    <definedName name="ㅁ1" localSheetId="13">'15'!$M$1048524:$M$1048576</definedName>
    <definedName name="ㅁ1" localSheetId="14">'16'!$M$1048525:$M$1048576</definedName>
    <definedName name="ㅁ1" localSheetId="15">'17'!$M$1048523:$M$1048576</definedName>
    <definedName name="ㅁ1" localSheetId="16">'18'!$M$1048523:$M$1048576</definedName>
    <definedName name="ㅁ1" localSheetId="17">'19'!$M$1048523:$M$1048576</definedName>
    <definedName name="ㅁ1" localSheetId="18">'20'!$M$1048522:$M$1048576</definedName>
    <definedName name="ㅁ1" localSheetId="19">'22'!$M$1048522:$M$1048576</definedName>
    <definedName name="ㅁ1" localSheetId="20">'23'!$M$1048526:$M$1048576</definedName>
    <definedName name="ㅁ1" localSheetId="21">'24'!$M$1048523:$M$1048576</definedName>
    <definedName name="ㅁ1" localSheetId="22">'25'!$M$1048523:$M$1048576</definedName>
    <definedName name="ㅁ1" localSheetId="23">'26'!$M$1048523:$M$1048576</definedName>
    <definedName name="ㅁ1" localSheetId="24">'27'!$M$1048522:$M$1048576</definedName>
    <definedName name="ㅁ1" localSheetId="25">'29'!$M$1048522:$M$1048576</definedName>
    <definedName name="ㅁ1" localSheetId="26">'30'!$M$1048522:$M$1048576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9" i="16" l="1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AE19" i="16" l="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774"/>
  <c r="L20" i="1774"/>
  <c r="L19" i="1774"/>
  <c r="L15" i="1774" l="1"/>
  <c r="L13" i="1774"/>
  <c r="L11" i="1774"/>
  <c r="L10" i="1774"/>
  <c r="L9" i="1774"/>
  <c r="L8" i="1774"/>
  <c r="P8" i="1774" s="1"/>
  <c r="AC8" i="1774" s="1"/>
  <c r="K21" i="1774"/>
  <c r="K20" i="1774"/>
  <c r="K19" i="1774"/>
  <c r="K15" i="1774"/>
  <c r="K13" i="1774"/>
  <c r="K11" i="1774"/>
  <c r="K10" i="1774"/>
  <c r="K9" i="1774"/>
  <c r="K8" i="1774"/>
  <c r="K7" i="1774"/>
  <c r="K6" i="1774"/>
  <c r="A77" i="1774"/>
  <c r="A78" i="1774" s="1"/>
  <c r="A79" i="1774" s="1"/>
  <c r="A80" i="1774" s="1"/>
  <c r="A81" i="1774" s="1"/>
  <c r="A82" i="1774" s="1"/>
  <c r="AF61" i="1774"/>
  <c r="AF60" i="1774"/>
  <c r="AF63" i="1774" s="1"/>
  <c r="AA22" i="1774"/>
  <c r="Z22" i="1774"/>
  <c r="Y22" i="1774"/>
  <c r="X22" i="1774"/>
  <c r="W22" i="1774"/>
  <c r="V22" i="1774"/>
  <c r="U22" i="1774"/>
  <c r="T22" i="1774"/>
  <c r="S22" i="1774"/>
  <c r="R22" i="1774"/>
  <c r="N22" i="1774"/>
  <c r="J22" i="1774"/>
  <c r="I22" i="1774"/>
  <c r="AF21" i="1774"/>
  <c r="AB21" i="1774"/>
  <c r="Q21" i="1774"/>
  <c r="P21" i="1774" s="1"/>
  <c r="AC21" i="1774" s="1"/>
  <c r="M21" i="1774"/>
  <c r="O21" i="1774"/>
  <c r="AF20" i="1774"/>
  <c r="Q20" i="1774"/>
  <c r="P20" i="1774"/>
  <c r="AC20" i="1774" s="1"/>
  <c r="AF19" i="1774"/>
  <c r="AB19" i="1774"/>
  <c r="Q19" i="1774"/>
  <c r="P19" i="1774"/>
  <c r="AC19" i="1774" s="1"/>
  <c r="O19" i="1774"/>
  <c r="M19" i="1774"/>
  <c r="AF18" i="1774"/>
  <c r="AB18" i="1774"/>
  <c r="Q18" i="1774"/>
  <c r="P18" i="1774"/>
  <c r="AC18" i="1774" s="1"/>
  <c r="O18" i="1774"/>
  <c r="M18" i="1774"/>
  <c r="K18" i="1774"/>
  <c r="AF17" i="1774"/>
  <c r="AB17" i="1774"/>
  <c r="Q17" i="1774"/>
  <c r="P17" i="1774"/>
  <c r="AC17" i="1774" s="1"/>
  <c r="O17" i="1774"/>
  <c r="M17" i="1774"/>
  <c r="K17" i="1774"/>
  <c r="AF16" i="1774"/>
  <c r="AB16" i="1774"/>
  <c r="Q16" i="1774"/>
  <c r="P16" i="1774"/>
  <c r="AC16" i="1774" s="1"/>
  <c r="AD16" i="1774" s="1"/>
  <c r="O16" i="1774"/>
  <c r="M16" i="1774"/>
  <c r="K16" i="1774"/>
  <c r="AF15" i="1774"/>
  <c r="AB15" i="1774"/>
  <c r="Q15" i="1774"/>
  <c r="O15" i="1774"/>
  <c r="M15" i="1774"/>
  <c r="AF14" i="1774"/>
  <c r="AB14" i="1774"/>
  <c r="Q14" i="1774"/>
  <c r="P14" i="1774"/>
  <c r="AC14" i="1774" s="1"/>
  <c r="O14" i="1774"/>
  <c r="M14" i="1774"/>
  <c r="K14" i="1774"/>
  <c r="AF13" i="1774"/>
  <c r="Q13" i="1774"/>
  <c r="AF12" i="1774"/>
  <c r="AB12" i="1774"/>
  <c r="Q12" i="1774"/>
  <c r="P12" i="1774"/>
  <c r="AC12" i="1774" s="1"/>
  <c r="M12" i="1774"/>
  <c r="O12" i="1774"/>
  <c r="K12" i="1774"/>
  <c r="AF11" i="1774"/>
  <c r="Q11" i="1774"/>
  <c r="O11" i="1774"/>
  <c r="AB11" i="1774"/>
  <c r="AF10" i="1774"/>
  <c r="AB10" i="1774"/>
  <c r="Q10" i="1774"/>
  <c r="P10" i="1774"/>
  <c r="AC10" i="1774" s="1"/>
  <c r="O10" i="1774"/>
  <c r="M10" i="1774"/>
  <c r="AF9" i="1774"/>
  <c r="Q9" i="1774"/>
  <c r="P9" i="1774"/>
  <c r="AC9" i="1774" s="1"/>
  <c r="AF8" i="1774"/>
  <c r="AB8" i="1774"/>
  <c r="Q8" i="1774"/>
  <c r="M8" i="1774"/>
  <c r="O8" i="1774"/>
  <c r="AF7" i="1774"/>
  <c r="AB7" i="1774"/>
  <c r="Q7" i="1774"/>
  <c r="P7" i="1774" s="1"/>
  <c r="AC7" i="1774" s="1"/>
  <c r="O7" i="1774"/>
  <c r="M7" i="1774"/>
  <c r="AF6" i="1774"/>
  <c r="AB6" i="1774"/>
  <c r="Q6" i="1774"/>
  <c r="P6" i="1774" s="1"/>
  <c r="O6" i="1774"/>
  <c r="M6" i="1774"/>
  <c r="P15" i="1774" l="1"/>
  <c r="AC15" i="1774" s="1"/>
  <c r="AD15" i="1774" s="1"/>
  <c r="AD14" i="1774"/>
  <c r="P13" i="1774"/>
  <c r="AC13" i="1774" s="1"/>
  <c r="AD10" i="1774"/>
  <c r="AD21" i="1774"/>
  <c r="AD19" i="1774"/>
  <c r="AD18" i="1774"/>
  <c r="AD7" i="1774"/>
  <c r="AD17" i="1774"/>
  <c r="AD8" i="1774"/>
  <c r="AD12" i="1774"/>
  <c r="AC6" i="1774"/>
  <c r="L22" i="1774"/>
  <c r="O22" i="1774" s="1"/>
  <c r="M9" i="1774"/>
  <c r="AB9" i="1774"/>
  <c r="K22" i="1774"/>
  <c r="P11" i="1774"/>
  <c r="AC11" i="1774" s="1"/>
  <c r="AD11" i="1774" s="1"/>
  <c r="M13" i="1774"/>
  <c r="AB13" i="1774"/>
  <c r="M20" i="1774"/>
  <c r="AB20" i="1774"/>
  <c r="Q22" i="1774"/>
  <c r="O13" i="1774"/>
  <c r="O20" i="1774"/>
  <c r="O9" i="1774"/>
  <c r="M11" i="1774"/>
  <c r="AD19" i="16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1773"/>
  <c r="K21" i="1773" s="1"/>
  <c r="L20" i="1773"/>
  <c r="L19" i="1773"/>
  <c r="O19" i="1773" s="1"/>
  <c r="L13" i="1773"/>
  <c r="L12" i="1773"/>
  <c r="K12" i="1773"/>
  <c r="L11" i="1773"/>
  <c r="L10" i="1773"/>
  <c r="L9" i="1773"/>
  <c r="P9" i="1773" s="1"/>
  <c r="AC9" i="1773" s="1"/>
  <c r="L8" i="1773"/>
  <c r="K8" i="1773" s="1"/>
  <c r="K7" i="1773"/>
  <c r="K20" i="1773"/>
  <c r="K19" i="1773"/>
  <c r="K18" i="1773"/>
  <c r="K15" i="1773"/>
  <c r="K13" i="1773"/>
  <c r="K10" i="1773"/>
  <c r="K9" i="1773"/>
  <c r="K6" i="1773"/>
  <c r="A79" i="1773"/>
  <c r="A80" i="1773" s="1"/>
  <c r="A81" i="1773" s="1"/>
  <c r="A82" i="1773" s="1"/>
  <c r="A78" i="1773"/>
  <c r="A77" i="1773"/>
  <c r="AF61" i="1773"/>
  <c r="AF60" i="1773"/>
  <c r="AF63" i="1773" s="1"/>
  <c r="AA22" i="1773"/>
  <c r="Z22" i="1773"/>
  <c r="Y22" i="1773"/>
  <c r="X22" i="1773"/>
  <c r="W22" i="1773"/>
  <c r="V22" i="1773"/>
  <c r="U22" i="1773"/>
  <c r="T22" i="1773"/>
  <c r="S22" i="1773"/>
  <c r="R22" i="1773"/>
  <c r="N22" i="1773"/>
  <c r="J22" i="1773"/>
  <c r="I22" i="1773"/>
  <c r="AF21" i="1773"/>
  <c r="AB21" i="1773"/>
  <c r="Q21" i="1773"/>
  <c r="P21" i="1773" s="1"/>
  <c r="AC21" i="1773" s="1"/>
  <c r="O21" i="1773"/>
  <c r="M21" i="1773"/>
  <c r="AF20" i="1773"/>
  <c r="Q20" i="1773"/>
  <c r="P20" i="1773"/>
  <c r="AC20" i="1773" s="1"/>
  <c r="O20" i="1773"/>
  <c r="M20" i="1773"/>
  <c r="AB20" i="1773"/>
  <c r="AF19" i="1773"/>
  <c r="AB19" i="1773"/>
  <c r="Q19" i="1773"/>
  <c r="P19" i="1773" s="1"/>
  <c r="AC19" i="1773" s="1"/>
  <c r="M19" i="1773"/>
  <c r="AF18" i="1773"/>
  <c r="Q18" i="1773"/>
  <c r="P18" i="1773"/>
  <c r="AC18" i="1773" s="1"/>
  <c r="AF17" i="1773"/>
  <c r="AB17" i="1773"/>
  <c r="Q17" i="1773"/>
  <c r="P17" i="1773"/>
  <c r="AC17" i="1773" s="1"/>
  <c r="O17" i="1773"/>
  <c r="M17" i="1773"/>
  <c r="K17" i="1773"/>
  <c r="AF16" i="1773"/>
  <c r="AB16" i="1773"/>
  <c r="Q16" i="1773"/>
  <c r="P16" i="1773"/>
  <c r="AC16" i="1773" s="1"/>
  <c r="AD16" i="1773" s="1"/>
  <c r="O16" i="1773"/>
  <c r="M16" i="1773"/>
  <c r="K16" i="1773"/>
  <c r="AF15" i="1773"/>
  <c r="AB15" i="1773"/>
  <c r="Q15" i="1773"/>
  <c r="P15" i="1773" s="1"/>
  <c r="AC15" i="1773" s="1"/>
  <c r="O15" i="1773"/>
  <c r="M15" i="1773"/>
  <c r="AF14" i="1773"/>
  <c r="AB14" i="1773"/>
  <c r="Q14" i="1773"/>
  <c r="P14" i="1773"/>
  <c r="AC14" i="1773" s="1"/>
  <c r="AD14" i="1773" s="1"/>
  <c r="O14" i="1773"/>
  <c r="M14" i="1773"/>
  <c r="K14" i="1773"/>
  <c r="AF13" i="1773"/>
  <c r="Q13" i="1773"/>
  <c r="P13" i="1773" s="1"/>
  <c r="AC13" i="1773" s="1"/>
  <c r="AF12" i="1773"/>
  <c r="AB12" i="1773"/>
  <c r="Q12" i="1773"/>
  <c r="P12" i="1773"/>
  <c r="AC12" i="1773" s="1"/>
  <c r="AD12" i="1773" s="1"/>
  <c r="O12" i="1773"/>
  <c r="M12" i="1773"/>
  <c r="AF11" i="1773"/>
  <c r="AB11" i="1773"/>
  <c r="Q11" i="1773"/>
  <c r="P11" i="1773" s="1"/>
  <c r="AC11" i="1773" s="1"/>
  <c r="O11" i="1773"/>
  <c r="M11" i="1773"/>
  <c r="K11" i="1773"/>
  <c r="AF10" i="1773"/>
  <c r="Q10" i="1773"/>
  <c r="P10" i="1773"/>
  <c r="AC10" i="1773" s="1"/>
  <c r="AF9" i="1773"/>
  <c r="Q9" i="1773"/>
  <c r="O9" i="1773"/>
  <c r="AF8" i="1773"/>
  <c r="AB8" i="1773"/>
  <c r="Q8" i="1773"/>
  <c r="P8" i="1773"/>
  <c r="AC8" i="1773" s="1"/>
  <c r="AF7" i="1773"/>
  <c r="AB7" i="1773"/>
  <c r="Q7" i="1773"/>
  <c r="P7" i="1773" s="1"/>
  <c r="AC7" i="1773" s="1"/>
  <c r="O7" i="1773"/>
  <c r="M7" i="1773"/>
  <c r="AF6" i="1773"/>
  <c r="AB6" i="1773"/>
  <c r="Q6" i="1773"/>
  <c r="O6" i="1773"/>
  <c r="M6" i="1773"/>
  <c r="AD13" i="1774" l="1"/>
  <c r="AD20" i="1774"/>
  <c r="M22" i="1774"/>
  <c r="P22" i="1774"/>
  <c r="AB22" i="1774"/>
  <c r="AD6" i="1774"/>
  <c r="AC22" i="1774"/>
  <c r="AD9" i="1774"/>
  <c r="AD21" i="1773"/>
  <c r="AD20" i="1773"/>
  <c r="AD19" i="1773"/>
  <c r="M9" i="1773"/>
  <c r="AB9" i="1773"/>
  <c r="AD9" i="1773" s="1"/>
  <c r="M8" i="1773"/>
  <c r="O8" i="1773"/>
  <c r="AD8" i="1773" s="1"/>
  <c r="Q22" i="1773"/>
  <c r="AD7" i="1773"/>
  <c r="P6" i="1773"/>
  <c r="AC6" i="1773" s="1"/>
  <c r="AD15" i="1773"/>
  <c r="AD11" i="1773"/>
  <c r="AD17" i="1773"/>
  <c r="AD6" i="1773"/>
  <c r="AC22" i="1773"/>
  <c r="L22" i="1773"/>
  <c r="O22" i="1773" s="1"/>
  <c r="K22" i="1773"/>
  <c r="M10" i="1773"/>
  <c r="AB10" i="1773"/>
  <c r="M13" i="1773"/>
  <c r="AB13" i="1773"/>
  <c r="AD13" i="1773" s="1"/>
  <c r="M18" i="1773"/>
  <c r="AB18" i="1773"/>
  <c r="P22" i="1773"/>
  <c r="O10" i="1773"/>
  <c r="O13" i="1773"/>
  <c r="O18" i="1773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772"/>
  <c r="L18" i="1772"/>
  <c r="AB18" i="1772" s="1"/>
  <c r="K18" i="1772"/>
  <c r="L15" i="1772"/>
  <c r="L13" i="1772"/>
  <c r="K13" i="1772" s="1"/>
  <c r="L12" i="1772"/>
  <c r="L10" i="1772"/>
  <c r="K10" i="1772" s="1"/>
  <c r="L9" i="1772"/>
  <c r="O9" i="1772" s="1"/>
  <c r="L8" i="1772"/>
  <c r="P8" i="1772" s="1"/>
  <c r="AC8" i="1772" s="1"/>
  <c r="L6" i="1772"/>
  <c r="K20" i="1772"/>
  <c r="K21" i="1772"/>
  <c r="K19" i="1772"/>
  <c r="K12" i="1772"/>
  <c r="K6" i="1772"/>
  <c r="A79" i="1772"/>
  <c r="A80" i="1772" s="1"/>
  <c r="A81" i="1772" s="1"/>
  <c r="A82" i="1772" s="1"/>
  <c r="A78" i="1772"/>
  <c r="A77" i="1772"/>
  <c r="AF61" i="1772"/>
  <c r="AF60" i="1772"/>
  <c r="AA22" i="1772"/>
  <c r="Z22" i="1772"/>
  <c r="Y22" i="1772"/>
  <c r="X22" i="1772"/>
  <c r="W22" i="1772"/>
  <c r="V22" i="1772"/>
  <c r="U22" i="1772"/>
  <c r="T22" i="1772"/>
  <c r="S22" i="1772"/>
  <c r="R22" i="1772"/>
  <c r="N22" i="1772"/>
  <c r="J22" i="1772"/>
  <c r="I22" i="1772"/>
  <c r="AF21" i="1772"/>
  <c r="AB21" i="1772"/>
  <c r="Q21" i="1772"/>
  <c r="M21" i="1772"/>
  <c r="P21" i="1772"/>
  <c r="AC21" i="1772" s="1"/>
  <c r="AF20" i="1772"/>
  <c r="Q20" i="1772"/>
  <c r="AF19" i="1772"/>
  <c r="AB19" i="1772"/>
  <c r="Q19" i="1772"/>
  <c r="P19" i="1772" s="1"/>
  <c r="AC19" i="1772" s="1"/>
  <c r="O19" i="1772"/>
  <c r="M19" i="1772"/>
  <c r="AF18" i="1772"/>
  <c r="Q18" i="1772"/>
  <c r="P18" i="1772" s="1"/>
  <c r="AC18" i="1772" s="1"/>
  <c r="O18" i="1772"/>
  <c r="AF17" i="1772"/>
  <c r="AB17" i="1772"/>
  <c r="Q17" i="1772"/>
  <c r="P17" i="1772"/>
  <c r="AC17" i="1772" s="1"/>
  <c r="O17" i="1772"/>
  <c r="M17" i="1772"/>
  <c r="K17" i="1772"/>
  <c r="AF16" i="1772"/>
  <c r="AB16" i="1772"/>
  <c r="Q16" i="1772"/>
  <c r="P16" i="1772"/>
  <c r="AC16" i="1772" s="1"/>
  <c r="O16" i="1772"/>
  <c r="M16" i="1772"/>
  <c r="K16" i="1772"/>
  <c r="AF15" i="1772"/>
  <c r="Q15" i="1772"/>
  <c r="AF14" i="1772"/>
  <c r="AB14" i="1772"/>
  <c r="Q14" i="1772"/>
  <c r="P14" i="1772"/>
  <c r="AC14" i="1772" s="1"/>
  <c r="O14" i="1772"/>
  <c r="M14" i="1772"/>
  <c r="K14" i="1772"/>
  <c r="AF13" i="1772"/>
  <c r="Q13" i="1772"/>
  <c r="O13" i="1772"/>
  <c r="AF12" i="1772"/>
  <c r="AB12" i="1772"/>
  <c r="Q12" i="1772"/>
  <c r="P12" i="1772" s="1"/>
  <c r="AC12" i="1772" s="1"/>
  <c r="O12" i="1772"/>
  <c r="M12" i="1772"/>
  <c r="AF11" i="1772"/>
  <c r="AB11" i="1772"/>
  <c r="Q11" i="1772"/>
  <c r="P11" i="1772"/>
  <c r="AC11" i="1772" s="1"/>
  <c r="O11" i="1772"/>
  <c r="M11" i="1772"/>
  <c r="K11" i="1772"/>
  <c r="AF10" i="1772"/>
  <c r="Q10" i="1772"/>
  <c r="O10" i="1772"/>
  <c r="AF9" i="1772"/>
  <c r="Q9" i="1772"/>
  <c r="AF8" i="1772"/>
  <c r="Q8" i="1772"/>
  <c r="AF7" i="1772"/>
  <c r="AB7" i="1772"/>
  <c r="Q7" i="1772"/>
  <c r="P7" i="1772"/>
  <c r="AC7" i="1772" s="1"/>
  <c r="O7" i="1772"/>
  <c r="M7" i="1772"/>
  <c r="K7" i="1772"/>
  <c r="AF6" i="1772"/>
  <c r="AB6" i="1772"/>
  <c r="Q6" i="1772"/>
  <c r="O6" i="1772"/>
  <c r="AD22" i="1774" l="1"/>
  <c r="AE21" i="1774" s="1"/>
  <c r="M22" i="1773"/>
  <c r="AD18" i="1773"/>
  <c r="AB22" i="1773"/>
  <c r="AD10" i="1773"/>
  <c r="K8" i="1772"/>
  <c r="P15" i="1772"/>
  <c r="AC15" i="1772" s="1"/>
  <c r="AB13" i="1772"/>
  <c r="AF63" i="1772"/>
  <c r="P6" i="1772"/>
  <c r="AC6" i="1772" s="1"/>
  <c r="AD6" i="1772" s="1"/>
  <c r="M18" i="1772"/>
  <c r="AB15" i="1772"/>
  <c r="K15" i="1772"/>
  <c r="M15" i="1772"/>
  <c r="O15" i="1772"/>
  <c r="Q22" i="1772"/>
  <c r="M9" i="1772"/>
  <c r="AB9" i="1772"/>
  <c r="P9" i="1772"/>
  <c r="AC9" i="1772" s="1"/>
  <c r="K9" i="1772"/>
  <c r="M6" i="1772"/>
  <c r="AD14" i="1772"/>
  <c r="P20" i="1772"/>
  <c r="AC20" i="1772" s="1"/>
  <c r="AB10" i="1772"/>
  <c r="AD11" i="1772"/>
  <c r="AD17" i="1772"/>
  <c r="AD7" i="1772"/>
  <c r="AD16" i="1772"/>
  <c r="AD12" i="1772"/>
  <c r="AD19" i="1772"/>
  <c r="AD18" i="1772"/>
  <c r="L22" i="1772"/>
  <c r="O22" i="1772" s="1"/>
  <c r="M8" i="1772"/>
  <c r="AB8" i="1772"/>
  <c r="AD8" i="1772" s="1"/>
  <c r="P10" i="1772"/>
  <c r="AC10" i="1772" s="1"/>
  <c r="P13" i="1772"/>
  <c r="AC13" i="1772" s="1"/>
  <c r="AD13" i="1772" s="1"/>
  <c r="M20" i="1772"/>
  <c r="AB20" i="1772"/>
  <c r="O21" i="1772"/>
  <c r="AD21" i="1772" s="1"/>
  <c r="O20" i="1772"/>
  <c r="O8" i="1772"/>
  <c r="M10" i="1772"/>
  <c r="M13" i="1772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2" i="1771"/>
  <c r="L21" i="1771"/>
  <c r="K19" i="1771"/>
  <c r="K18" i="1771"/>
  <c r="L15" i="1771"/>
  <c r="K14" i="1771"/>
  <c r="L13" i="1771"/>
  <c r="L12" i="1771"/>
  <c r="L10" i="1771"/>
  <c r="L9" i="1771"/>
  <c r="L8" i="1771"/>
  <c r="L6" i="1771"/>
  <c r="K6" i="1771" s="1"/>
  <c r="K22" i="1771"/>
  <c r="K21" i="1771"/>
  <c r="K20" i="1771"/>
  <c r="K15" i="1771"/>
  <c r="K13" i="1771"/>
  <c r="K12" i="1771"/>
  <c r="K11" i="1771"/>
  <c r="K10" i="1771"/>
  <c r="K9" i="1771"/>
  <c r="K8" i="1771"/>
  <c r="K7" i="1771"/>
  <c r="A78" i="1771"/>
  <c r="A79" i="1771" s="1"/>
  <c r="A80" i="1771" s="1"/>
  <c r="A81" i="1771" s="1"/>
  <c r="A82" i="1771" s="1"/>
  <c r="A83" i="1771" s="1"/>
  <c r="AF62" i="1771"/>
  <c r="AF61" i="1771"/>
  <c r="AF64" i="1771" s="1"/>
  <c r="AA23" i="1771"/>
  <c r="Z23" i="1771"/>
  <c r="Y23" i="1771"/>
  <c r="X23" i="1771"/>
  <c r="W23" i="1771"/>
  <c r="V23" i="1771"/>
  <c r="U23" i="1771"/>
  <c r="T23" i="1771"/>
  <c r="S23" i="1771"/>
  <c r="R23" i="1771"/>
  <c r="N23" i="1771"/>
  <c r="J23" i="1771"/>
  <c r="I23" i="1771"/>
  <c r="AF22" i="1771"/>
  <c r="AB22" i="1771"/>
  <c r="Q22" i="1771"/>
  <c r="P22" i="1771"/>
  <c r="AC22" i="1771" s="1"/>
  <c r="M22" i="1771"/>
  <c r="O22" i="1771"/>
  <c r="AF21" i="1771"/>
  <c r="Q21" i="1771"/>
  <c r="P21" i="1771" s="1"/>
  <c r="AC21" i="1771" s="1"/>
  <c r="AF20" i="1771"/>
  <c r="AB20" i="1771"/>
  <c r="Q20" i="1771"/>
  <c r="P20" i="1771"/>
  <c r="AC20" i="1771" s="1"/>
  <c r="O20" i="1771"/>
  <c r="M20" i="1771"/>
  <c r="AF19" i="1771"/>
  <c r="Q19" i="1771"/>
  <c r="O19" i="1771"/>
  <c r="AB19" i="1771"/>
  <c r="AF18" i="1771"/>
  <c r="AB18" i="1771"/>
  <c r="Q18" i="1771"/>
  <c r="P18" i="1771"/>
  <c r="AC18" i="1771" s="1"/>
  <c r="O18" i="1771"/>
  <c r="M18" i="1771"/>
  <c r="AF17" i="1771"/>
  <c r="AB17" i="1771"/>
  <c r="Q17" i="1771"/>
  <c r="P17" i="1771"/>
  <c r="AC17" i="1771" s="1"/>
  <c r="O17" i="1771"/>
  <c r="M17" i="1771"/>
  <c r="K17" i="1771"/>
  <c r="AF16" i="1771"/>
  <c r="AB16" i="1771"/>
  <c r="Q16" i="1771"/>
  <c r="P16" i="1771"/>
  <c r="AC16" i="1771" s="1"/>
  <c r="O16" i="1771"/>
  <c r="M16" i="1771"/>
  <c r="K16" i="1771"/>
  <c r="AF15" i="1771"/>
  <c r="AB15" i="1771"/>
  <c r="Q15" i="1771"/>
  <c r="P15" i="1771"/>
  <c r="AC15" i="1771" s="1"/>
  <c r="O15" i="1771"/>
  <c r="M15" i="1771"/>
  <c r="AF14" i="1771"/>
  <c r="AB14" i="1771"/>
  <c r="Q14" i="1771"/>
  <c r="P14" i="1771"/>
  <c r="AC14" i="1771" s="1"/>
  <c r="AD14" i="1771" s="1"/>
  <c r="O14" i="1771"/>
  <c r="M14" i="1771"/>
  <c r="AF13" i="1771"/>
  <c r="Q13" i="1771"/>
  <c r="P13" i="1771"/>
  <c r="AC13" i="1771" s="1"/>
  <c r="AF12" i="1771"/>
  <c r="AB12" i="1771"/>
  <c r="Q12" i="1771"/>
  <c r="P12" i="1771" s="1"/>
  <c r="AC12" i="1771" s="1"/>
  <c r="O12" i="1771"/>
  <c r="M12" i="1771"/>
  <c r="AF11" i="1771"/>
  <c r="Q11" i="1771"/>
  <c r="O11" i="1771"/>
  <c r="AB11" i="1771"/>
  <c r="AF10" i="1771"/>
  <c r="AB10" i="1771"/>
  <c r="Q10" i="1771"/>
  <c r="P10" i="1771" s="1"/>
  <c r="AC10" i="1771" s="1"/>
  <c r="M10" i="1771"/>
  <c r="O10" i="1771"/>
  <c r="AF9" i="1771"/>
  <c r="Q9" i="1771"/>
  <c r="P9" i="1771"/>
  <c r="AC9" i="1771" s="1"/>
  <c r="AF8" i="1771"/>
  <c r="AB8" i="1771"/>
  <c r="Q8" i="1771"/>
  <c r="P8" i="1771" s="1"/>
  <c r="AC8" i="1771" s="1"/>
  <c r="O8" i="1771"/>
  <c r="M8" i="1771"/>
  <c r="AF7" i="1771"/>
  <c r="Q7" i="1771"/>
  <c r="O7" i="1771"/>
  <c r="AB7" i="1771"/>
  <c r="AF6" i="1771"/>
  <c r="AB6" i="1771"/>
  <c r="Q6" i="1771"/>
  <c r="P6" i="1771"/>
  <c r="AC6" i="1771" s="1"/>
  <c r="M6" i="1771"/>
  <c r="O6" i="1771"/>
  <c r="AE8" i="1774" l="1"/>
  <c r="AE6" i="1774"/>
  <c r="AE11" i="1774"/>
  <c r="AE14" i="1774"/>
  <c r="AE9" i="1774"/>
  <c r="AE18" i="1774"/>
  <c r="AE20" i="1774"/>
  <c r="AE13" i="1774"/>
  <c r="AE10" i="1774"/>
  <c r="AE12" i="1774"/>
  <c r="AE17" i="1774"/>
  <c r="AE7" i="1774"/>
  <c r="AE19" i="1774"/>
  <c r="AE15" i="1774"/>
  <c r="AE16" i="1774"/>
  <c r="AD22" i="1773"/>
  <c r="AE21" i="1773" s="1"/>
  <c r="AD15" i="1772"/>
  <c r="K22" i="1772"/>
  <c r="AD9" i="1772"/>
  <c r="AD10" i="1772"/>
  <c r="AD20" i="1772"/>
  <c r="M22" i="1772"/>
  <c r="AB22" i="1772"/>
  <c r="P22" i="1772"/>
  <c r="AC22" i="1772"/>
  <c r="AD18" i="1771"/>
  <c r="AD10" i="1771"/>
  <c r="Q23" i="1771"/>
  <c r="AD17" i="1771"/>
  <c r="AD12" i="1771"/>
  <c r="AD16" i="1771"/>
  <c r="AD20" i="1771"/>
  <c r="AD8" i="1771"/>
  <c r="AD15" i="1771"/>
  <c r="AD6" i="1771"/>
  <c r="AD22" i="1771"/>
  <c r="L23" i="1771"/>
  <c r="O23" i="1771" s="1"/>
  <c r="P7" i="1771"/>
  <c r="AC7" i="1771" s="1"/>
  <c r="AD7" i="1771" s="1"/>
  <c r="M9" i="1771"/>
  <c r="AB9" i="1771"/>
  <c r="P11" i="1771"/>
  <c r="AC11" i="1771" s="1"/>
  <c r="AD11" i="1771" s="1"/>
  <c r="M13" i="1771"/>
  <c r="AB13" i="1771"/>
  <c r="P19" i="1771"/>
  <c r="AC19" i="1771" s="1"/>
  <c r="AD19" i="1771" s="1"/>
  <c r="M21" i="1771"/>
  <c r="AB21" i="1771"/>
  <c r="O21" i="1771"/>
  <c r="O9" i="1771"/>
  <c r="O13" i="1771"/>
  <c r="M7" i="1771"/>
  <c r="M11" i="1771"/>
  <c r="K23" i="1771"/>
  <c r="M19" i="1771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2" i="1770"/>
  <c r="AB22" i="1770" s="1"/>
  <c r="L21" i="1770"/>
  <c r="L20" i="1770"/>
  <c r="O20" i="1770" s="1"/>
  <c r="AF20" i="1770"/>
  <c r="Q20" i="1770"/>
  <c r="L19" i="1770"/>
  <c r="K19" i="1770"/>
  <c r="L15" i="1770"/>
  <c r="O15" i="1770" s="1"/>
  <c r="L13" i="1770"/>
  <c r="K13" i="1770" s="1"/>
  <c r="L12" i="1770"/>
  <c r="K12" i="1770"/>
  <c r="L11" i="1770"/>
  <c r="K11" i="1770" s="1"/>
  <c r="L10" i="1770"/>
  <c r="K10" i="1770" s="1"/>
  <c r="L9" i="1770"/>
  <c r="K9" i="1770" s="1"/>
  <c r="L8" i="1770"/>
  <c r="L7" i="1770"/>
  <c r="L6" i="1770"/>
  <c r="K6" i="1770" s="1"/>
  <c r="K22" i="1770"/>
  <c r="K21" i="1770"/>
  <c r="K15" i="1770"/>
  <c r="K8" i="1770"/>
  <c r="K7" i="1770"/>
  <c r="A78" i="1770"/>
  <c r="A79" i="1770" s="1"/>
  <c r="A80" i="1770" s="1"/>
  <c r="A81" i="1770" s="1"/>
  <c r="A82" i="1770" s="1"/>
  <c r="A83" i="1770" s="1"/>
  <c r="AF62" i="1770"/>
  <c r="AF61" i="1770"/>
  <c r="AA23" i="1770"/>
  <c r="Z23" i="1770"/>
  <c r="Y23" i="1770"/>
  <c r="X23" i="1770"/>
  <c r="W23" i="1770"/>
  <c r="V23" i="1770"/>
  <c r="U23" i="1770"/>
  <c r="T23" i="1770"/>
  <c r="S23" i="1770"/>
  <c r="R23" i="1770"/>
  <c r="N23" i="1770"/>
  <c r="J23" i="1770"/>
  <c r="I23" i="1770"/>
  <c r="AF22" i="1770"/>
  <c r="Q22" i="1770"/>
  <c r="P22" i="1770"/>
  <c r="AC22" i="1770" s="1"/>
  <c r="O22" i="1770"/>
  <c r="AF21" i="1770"/>
  <c r="Q21" i="1770"/>
  <c r="P21" i="1770" s="1"/>
  <c r="AC21" i="1770" s="1"/>
  <c r="AF19" i="1770"/>
  <c r="AB19" i="1770"/>
  <c r="Q19" i="1770"/>
  <c r="P19" i="1770" s="1"/>
  <c r="AC19" i="1770" s="1"/>
  <c r="M19" i="1770"/>
  <c r="AF18" i="1770"/>
  <c r="AB18" i="1770"/>
  <c r="Q18" i="1770"/>
  <c r="P18" i="1770"/>
  <c r="AC18" i="1770" s="1"/>
  <c r="O18" i="1770"/>
  <c r="M18" i="1770"/>
  <c r="K18" i="1770"/>
  <c r="AF17" i="1770"/>
  <c r="AB17" i="1770"/>
  <c r="Q17" i="1770"/>
  <c r="P17" i="1770"/>
  <c r="AC17" i="1770" s="1"/>
  <c r="O17" i="1770"/>
  <c r="M17" i="1770"/>
  <c r="K17" i="1770"/>
  <c r="AF16" i="1770"/>
  <c r="AB16" i="1770"/>
  <c r="Q16" i="1770"/>
  <c r="P16" i="1770"/>
  <c r="AC16" i="1770" s="1"/>
  <c r="O16" i="1770"/>
  <c r="M16" i="1770"/>
  <c r="K16" i="1770"/>
  <c r="AF15" i="1770"/>
  <c r="AB15" i="1770"/>
  <c r="Q15" i="1770"/>
  <c r="P15" i="1770" s="1"/>
  <c r="AC15" i="1770" s="1"/>
  <c r="AF14" i="1770"/>
  <c r="AB14" i="1770"/>
  <c r="Q14" i="1770"/>
  <c r="P14" i="1770"/>
  <c r="AC14" i="1770" s="1"/>
  <c r="O14" i="1770"/>
  <c r="M14" i="1770"/>
  <c r="K14" i="1770"/>
  <c r="AF13" i="1770"/>
  <c r="Q13" i="1770"/>
  <c r="O13" i="1770"/>
  <c r="AF12" i="1770"/>
  <c r="AB12" i="1770"/>
  <c r="Q12" i="1770"/>
  <c r="P12" i="1770"/>
  <c r="AC12" i="1770" s="1"/>
  <c r="O12" i="1770"/>
  <c r="M12" i="1770"/>
  <c r="AF11" i="1770"/>
  <c r="Q11" i="1770"/>
  <c r="P11" i="1770" s="1"/>
  <c r="AC11" i="1770" s="1"/>
  <c r="AF10" i="1770"/>
  <c r="Q10" i="1770"/>
  <c r="AF9" i="1770"/>
  <c r="Q9" i="1770"/>
  <c r="O9" i="1770"/>
  <c r="M9" i="1770"/>
  <c r="AB9" i="1770"/>
  <c r="AF8" i="1770"/>
  <c r="AB8" i="1770"/>
  <c r="Q8" i="1770"/>
  <c r="P8" i="1770" s="1"/>
  <c r="AC8" i="1770" s="1"/>
  <c r="M8" i="1770"/>
  <c r="AF7" i="1770"/>
  <c r="Q7" i="1770"/>
  <c r="AF6" i="1770"/>
  <c r="Q6" i="1770"/>
  <c r="AE6" i="1773" l="1"/>
  <c r="AE7" i="1773"/>
  <c r="AE9" i="1773"/>
  <c r="AE20" i="1773"/>
  <c r="AE14" i="1773"/>
  <c r="AE16" i="1773"/>
  <c r="AE18" i="1773"/>
  <c r="AE15" i="1773"/>
  <c r="AE8" i="1773"/>
  <c r="AE10" i="1773"/>
  <c r="AE17" i="1773"/>
  <c r="AE11" i="1773"/>
  <c r="AE12" i="1773"/>
  <c r="AE13" i="1773"/>
  <c r="AE19" i="1773"/>
  <c r="AD22" i="1772"/>
  <c r="AE21" i="1772" s="1"/>
  <c r="AD13" i="1771"/>
  <c r="M23" i="1771"/>
  <c r="AD21" i="1771"/>
  <c r="AB23" i="1771"/>
  <c r="AD9" i="1771"/>
  <c r="P23" i="1771"/>
  <c r="AC23" i="1771"/>
  <c r="M22" i="1770"/>
  <c r="AB6" i="1770"/>
  <c r="P13" i="1770"/>
  <c r="AC13" i="1770" s="1"/>
  <c r="M6" i="1770"/>
  <c r="M15" i="1770"/>
  <c r="AF64" i="1770"/>
  <c r="AD17" i="1770"/>
  <c r="O6" i="1770"/>
  <c r="P7" i="1770"/>
  <c r="AC7" i="1770" s="1"/>
  <c r="AB20" i="1770"/>
  <c r="AD18" i="1770"/>
  <c r="K20" i="1770"/>
  <c r="P20" i="1770"/>
  <c r="AC20" i="1770" s="1"/>
  <c r="AD14" i="1770"/>
  <c r="M20" i="1770"/>
  <c r="AD15" i="1770"/>
  <c r="AD12" i="1770"/>
  <c r="Q23" i="1770"/>
  <c r="O10" i="1770"/>
  <c r="P10" i="1770"/>
  <c r="AC10" i="1770" s="1"/>
  <c r="P6" i="1770"/>
  <c r="AC6" i="1770" s="1"/>
  <c r="AD6" i="1770" s="1"/>
  <c r="AD22" i="1770"/>
  <c r="AD16" i="1770"/>
  <c r="K23" i="1770"/>
  <c r="M7" i="1770"/>
  <c r="AB7" i="1770"/>
  <c r="O8" i="1770"/>
  <c r="AD8" i="1770" s="1"/>
  <c r="P9" i="1770"/>
  <c r="AC9" i="1770" s="1"/>
  <c r="AD9" i="1770" s="1"/>
  <c r="M11" i="1770"/>
  <c r="AB11" i="1770"/>
  <c r="O19" i="1770"/>
  <c r="AD19" i="1770" s="1"/>
  <c r="M21" i="1770"/>
  <c r="AB21" i="1770"/>
  <c r="L23" i="1770"/>
  <c r="O23" i="1770" s="1"/>
  <c r="O7" i="1770"/>
  <c r="M10" i="1770"/>
  <c r="AB10" i="1770"/>
  <c r="O11" i="1770"/>
  <c r="M13" i="1770"/>
  <c r="AB13" i="1770"/>
  <c r="AD13" i="1770" s="1"/>
  <c r="O21" i="1770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2" i="1769"/>
  <c r="L21" i="1769"/>
  <c r="L19" i="1769"/>
  <c r="L15" i="1769"/>
  <c r="L13" i="1769"/>
  <c r="K12" i="1769"/>
  <c r="L11" i="1769"/>
  <c r="K11" i="1769" s="1"/>
  <c r="L10" i="1769"/>
  <c r="L9" i="1769"/>
  <c r="AB9" i="1769" s="1"/>
  <c r="L8" i="1769"/>
  <c r="L7" i="1769"/>
  <c r="K7" i="1769" s="1"/>
  <c r="K22" i="1769"/>
  <c r="K21" i="1769"/>
  <c r="K20" i="1769"/>
  <c r="K19" i="1769"/>
  <c r="K18" i="1769"/>
  <c r="K17" i="1769"/>
  <c r="K15" i="1769"/>
  <c r="K13" i="1769"/>
  <c r="K10" i="1769"/>
  <c r="K8" i="1769"/>
  <c r="K6" i="1769"/>
  <c r="A78" i="1769"/>
  <c r="A79" i="1769" s="1"/>
  <c r="A80" i="1769" s="1"/>
  <c r="A81" i="1769" s="1"/>
  <c r="A82" i="1769" s="1"/>
  <c r="A83" i="1769" s="1"/>
  <c r="AF62" i="1769"/>
  <c r="AF61" i="1769"/>
  <c r="AA23" i="1769"/>
  <c r="Z23" i="1769"/>
  <c r="Y23" i="1769"/>
  <c r="X23" i="1769"/>
  <c r="W23" i="1769"/>
  <c r="V23" i="1769"/>
  <c r="U23" i="1769"/>
  <c r="T23" i="1769"/>
  <c r="S23" i="1769"/>
  <c r="R23" i="1769"/>
  <c r="N23" i="1769"/>
  <c r="J23" i="1769"/>
  <c r="I23" i="1769"/>
  <c r="AF22" i="1769"/>
  <c r="AB22" i="1769"/>
  <c r="Q22" i="1769"/>
  <c r="P22" i="1769"/>
  <c r="AC22" i="1769" s="1"/>
  <c r="M22" i="1769"/>
  <c r="O22" i="1769"/>
  <c r="AF21" i="1769"/>
  <c r="Q21" i="1769"/>
  <c r="P21" i="1769" s="1"/>
  <c r="AC21" i="1769" s="1"/>
  <c r="AF20" i="1769"/>
  <c r="AB20" i="1769"/>
  <c r="Q20" i="1769"/>
  <c r="P20" i="1769"/>
  <c r="AC20" i="1769" s="1"/>
  <c r="M20" i="1769"/>
  <c r="O20" i="1769"/>
  <c r="AF19" i="1769"/>
  <c r="Q19" i="1769"/>
  <c r="O19" i="1769"/>
  <c r="AB19" i="1769"/>
  <c r="AF18" i="1769"/>
  <c r="AB18" i="1769"/>
  <c r="Q18" i="1769"/>
  <c r="P18" i="1769"/>
  <c r="AC18" i="1769" s="1"/>
  <c r="O18" i="1769"/>
  <c r="M18" i="1769"/>
  <c r="AF17" i="1769"/>
  <c r="AB17" i="1769"/>
  <c r="Q17" i="1769"/>
  <c r="P17" i="1769"/>
  <c r="AC17" i="1769" s="1"/>
  <c r="M17" i="1769"/>
  <c r="O17" i="1769"/>
  <c r="AF16" i="1769"/>
  <c r="AB16" i="1769"/>
  <c r="Q16" i="1769"/>
  <c r="P16" i="1769"/>
  <c r="AC16" i="1769" s="1"/>
  <c r="O16" i="1769"/>
  <c r="M16" i="1769"/>
  <c r="K16" i="1769"/>
  <c r="AF15" i="1769"/>
  <c r="AB15" i="1769"/>
  <c r="Q15" i="1769"/>
  <c r="P15" i="1769" s="1"/>
  <c r="AC15" i="1769" s="1"/>
  <c r="O15" i="1769"/>
  <c r="M15" i="1769"/>
  <c r="AF14" i="1769"/>
  <c r="AB14" i="1769"/>
  <c r="Q14" i="1769"/>
  <c r="P14" i="1769"/>
  <c r="AC14" i="1769" s="1"/>
  <c r="O14" i="1769"/>
  <c r="M14" i="1769"/>
  <c r="K14" i="1769"/>
  <c r="AF13" i="1769"/>
  <c r="Q13" i="1769"/>
  <c r="O13" i="1769"/>
  <c r="AB13" i="1769"/>
  <c r="AF12" i="1769"/>
  <c r="AB12" i="1769"/>
  <c r="Q12" i="1769"/>
  <c r="P12" i="1769" s="1"/>
  <c r="AC12" i="1769" s="1"/>
  <c r="O12" i="1769"/>
  <c r="M12" i="1769"/>
  <c r="AF11" i="1769"/>
  <c r="Q11" i="1769"/>
  <c r="M11" i="1769"/>
  <c r="AF10" i="1769"/>
  <c r="Q10" i="1769"/>
  <c r="P10" i="1769" s="1"/>
  <c r="AC10" i="1769" s="1"/>
  <c r="AF9" i="1769"/>
  <c r="Q9" i="1769"/>
  <c r="AF8" i="1769"/>
  <c r="AB8" i="1769"/>
  <c r="Q8" i="1769"/>
  <c r="P8" i="1769" s="1"/>
  <c r="AC8" i="1769" s="1"/>
  <c r="M8" i="1769"/>
  <c r="O8" i="1769"/>
  <c r="AF7" i="1769"/>
  <c r="AB7" i="1769"/>
  <c r="Q7" i="1769"/>
  <c r="P7" i="1769" s="1"/>
  <c r="AC7" i="1769" s="1"/>
  <c r="AF6" i="1769"/>
  <c r="Q6" i="1769"/>
  <c r="AB6" i="1769"/>
  <c r="AE20" i="1772" l="1"/>
  <c r="AE6" i="1772"/>
  <c r="AE7" i="1772"/>
  <c r="AE13" i="1772"/>
  <c r="AE15" i="1772"/>
  <c r="AE11" i="1772"/>
  <c r="AE17" i="1772"/>
  <c r="AE16" i="1772"/>
  <c r="AE10" i="1772"/>
  <c r="AE9" i="1772"/>
  <c r="AE19" i="1772"/>
  <c r="AE14" i="1772"/>
  <c r="AE18" i="1772"/>
  <c r="AE8" i="1772"/>
  <c r="AE12" i="1772"/>
  <c r="AD23" i="1771"/>
  <c r="AE22" i="1771" s="1"/>
  <c r="AD20" i="1770"/>
  <c r="AD10" i="1770"/>
  <c r="M23" i="1770"/>
  <c r="AD11" i="1770"/>
  <c r="AD21" i="1770"/>
  <c r="AC23" i="1770"/>
  <c r="P23" i="1770"/>
  <c r="AB23" i="1770"/>
  <c r="AD7" i="1770"/>
  <c r="P11" i="1769"/>
  <c r="AC11" i="1769" s="1"/>
  <c r="M7" i="1769"/>
  <c r="AB11" i="1769"/>
  <c r="AD11" i="1769" s="1"/>
  <c r="O11" i="1769"/>
  <c r="O9" i="1769"/>
  <c r="O7" i="1769"/>
  <c r="AD18" i="1769"/>
  <c r="AF64" i="1769"/>
  <c r="K9" i="1769"/>
  <c r="AD8" i="1769"/>
  <c r="Q23" i="1769"/>
  <c r="AD12" i="1769"/>
  <c r="AD14" i="1769"/>
  <c r="AD20" i="1769"/>
  <c r="AD7" i="1769"/>
  <c r="AD15" i="1769"/>
  <c r="AD16" i="1769"/>
  <c r="AD17" i="1769"/>
  <c r="AD22" i="1769"/>
  <c r="O6" i="1769"/>
  <c r="L23" i="1769"/>
  <c r="O23" i="1769" s="1"/>
  <c r="P6" i="1769"/>
  <c r="P9" i="1769"/>
  <c r="AC9" i="1769" s="1"/>
  <c r="AD9" i="1769" s="1"/>
  <c r="M10" i="1769"/>
  <c r="AB10" i="1769"/>
  <c r="P13" i="1769"/>
  <c r="AC13" i="1769" s="1"/>
  <c r="AD13" i="1769" s="1"/>
  <c r="P19" i="1769"/>
  <c r="AC19" i="1769" s="1"/>
  <c r="AD19" i="1769" s="1"/>
  <c r="M21" i="1769"/>
  <c r="AB21" i="1769"/>
  <c r="O21" i="1769"/>
  <c r="O10" i="1769"/>
  <c r="M6" i="1769"/>
  <c r="M9" i="1769"/>
  <c r="M13" i="1769"/>
  <c r="M19" i="1769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5" i="1768"/>
  <c r="L24" i="1768"/>
  <c r="K24" i="1768"/>
  <c r="AF23" i="1768"/>
  <c r="AC23" i="1768"/>
  <c r="Q23" i="1768"/>
  <c r="P23" i="1768"/>
  <c r="O23" i="1768"/>
  <c r="L23" i="1768"/>
  <c r="AB23" i="1768" s="1"/>
  <c r="K23" i="1768"/>
  <c r="L22" i="1768"/>
  <c r="K21" i="1768"/>
  <c r="L20" i="1768"/>
  <c r="K20" i="1768"/>
  <c r="AF20" i="1768"/>
  <c r="Q20" i="1768"/>
  <c r="L15" i="1768"/>
  <c r="K14" i="1768"/>
  <c r="K13" i="1768"/>
  <c r="AF13" i="1768"/>
  <c r="AB13" i="1768"/>
  <c r="Q13" i="1768"/>
  <c r="P13" i="1768" s="1"/>
  <c r="AC13" i="1768" s="1"/>
  <c r="O13" i="1768"/>
  <c r="M13" i="1768"/>
  <c r="L12" i="1768"/>
  <c r="K12" i="1768" s="1"/>
  <c r="L11" i="1768"/>
  <c r="K11" i="1768"/>
  <c r="AF11" i="1768"/>
  <c r="Q11" i="1768"/>
  <c r="O11" i="1768"/>
  <c r="AB11" i="1768"/>
  <c r="L10" i="1768"/>
  <c r="K10" i="1768" s="1"/>
  <c r="L9" i="1768"/>
  <c r="O9" i="1768" s="1"/>
  <c r="L8" i="1768"/>
  <c r="L6" i="1768"/>
  <c r="K25" i="1768"/>
  <c r="K22" i="1768"/>
  <c r="K19" i="1768"/>
  <c r="K17" i="1768"/>
  <c r="K15" i="1768"/>
  <c r="K9" i="1768"/>
  <c r="K8" i="1768"/>
  <c r="K6" i="1768"/>
  <c r="A81" i="1768"/>
  <c r="A82" i="1768" s="1"/>
  <c r="A83" i="1768" s="1"/>
  <c r="A84" i="1768" s="1"/>
  <c r="A85" i="1768" s="1"/>
  <c r="A86" i="1768" s="1"/>
  <c r="AF65" i="1768"/>
  <c r="AF64" i="1768"/>
  <c r="AF67" i="1768" s="1"/>
  <c r="AA26" i="1768"/>
  <c r="Z26" i="1768"/>
  <c r="Y26" i="1768"/>
  <c r="X26" i="1768"/>
  <c r="W26" i="1768"/>
  <c r="V26" i="1768"/>
  <c r="U26" i="1768"/>
  <c r="T26" i="1768"/>
  <c r="S26" i="1768"/>
  <c r="R26" i="1768"/>
  <c r="N26" i="1768"/>
  <c r="J26" i="1768"/>
  <c r="I26" i="1768"/>
  <c r="AF25" i="1768"/>
  <c r="AB25" i="1768"/>
  <c r="Q25" i="1768"/>
  <c r="P25" i="1768" s="1"/>
  <c r="AC25" i="1768" s="1"/>
  <c r="M25" i="1768"/>
  <c r="O25" i="1768"/>
  <c r="AF24" i="1768"/>
  <c r="Q24" i="1768"/>
  <c r="P24" i="1768" s="1"/>
  <c r="AC24" i="1768" s="1"/>
  <c r="AF22" i="1768"/>
  <c r="AB22" i="1768"/>
  <c r="Q22" i="1768"/>
  <c r="P22" i="1768"/>
  <c r="AC22" i="1768" s="1"/>
  <c r="O22" i="1768"/>
  <c r="M22" i="1768"/>
  <c r="AF21" i="1768"/>
  <c r="Q21" i="1768"/>
  <c r="O21" i="1768"/>
  <c r="AB21" i="1768"/>
  <c r="AF19" i="1768"/>
  <c r="AB19" i="1768"/>
  <c r="Q19" i="1768"/>
  <c r="P19" i="1768"/>
  <c r="AC19" i="1768" s="1"/>
  <c r="M19" i="1768"/>
  <c r="O19" i="1768"/>
  <c r="AF18" i="1768"/>
  <c r="AC18" i="1768"/>
  <c r="AB18" i="1768"/>
  <c r="Q18" i="1768"/>
  <c r="P18" i="1768"/>
  <c r="O18" i="1768"/>
  <c r="M18" i="1768"/>
  <c r="K18" i="1768"/>
  <c r="AF17" i="1768"/>
  <c r="Q17" i="1768"/>
  <c r="O17" i="1768"/>
  <c r="AB17" i="1768"/>
  <c r="AF16" i="1768"/>
  <c r="AB16" i="1768"/>
  <c r="Q16" i="1768"/>
  <c r="P16" i="1768"/>
  <c r="AC16" i="1768" s="1"/>
  <c r="O16" i="1768"/>
  <c r="M16" i="1768"/>
  <c r="K16" i="1768"/>
  <c r="AF15" i="1768"/>
  <c r="AB15" i="1768"/>
  <c r="Q15" i="1768"/>
  <c r="P15" i="1768" s="1"/>
  <c r="AC15" i="1768" s="1"/>
  <c r="O15" i="1768"/>
  <c r="M15" i="1768"/>
  <c r="AF14" i="1768"/>
  <c r="Q14" i="1768"/>
  <c r="O14" i="1768"/>
  <c r="AB14" i="1768"/>
  <c r="AF12" i="1768"/>
  <c r="AB12" i="1768"/>
  <c r="Q12" i="1768"/>
  <c r="P12" i="1768" s="1"/>
  <c r="AC12" i="1768" s="1"/>
  <c r="M12" i="1768"/>
  <c r="O12" i="1768"/>
  <c r="AF10" i="1768"/>
  <c r="Q10" i="1768"/>
  <c r="P10" i="1768" s="1"/>
  <c r="AC10" i="1768" s="1"/>
  <c r="AF9" i="1768"/>
  <c r="AB9" i="1768"/>
  <c r="Q9" i="1768"/>
  <c r="P9" i="1768" s="1"/>
  <c r="AC9" i="1768" s="1"/>
  <c r="M9" i="1768"/>
  <c r="AF8" i="1768"/>
  <c r="Q8" i="1768"/>
  <c r="O8" i="1768"/>
  <c r="AB8" i="1768"/>
  <c r="AF7" i="1768"/>
  <c r="AB7" i="1768"/>
  <c r="Q7" i="1768"/>
  <c r="P7" i="1768"/>
  <c r="AC7" i="1768" s="1"/>
  <c r="O7" i="1768"/>
  <c r="M7" i="1768"/>
  <c r="K7" i="1768"/>
  <c r="AF6" i="1768"/>
  <c r="AB6" i="1768"/>
  <c r="Q6" i="1768"/>
  <c r="P6" i="1768" s="1"/>
  <c r="AC6" i="1768" s="1"/>
  <c r="O6" i="1768"/>
  <c r="M6" i="1768"/>
  <c r="AE8" i="1771" l="1"/>
  <c r="AE20" i="1771"/>
  <c r="AE9" i="1771"/>
  <c r="AE10" i="1771"/>
  <c r="AE7" i="1771"/>
  <c r="AE16" i="1771"/>
  <c r="AE15" i="1771"/>
  <c r="AE11" i="1771"/>
  <c r="AE14" i="1771"/>
  <c r="AE18" i="1771"/>
  <c r="AE12" i="1771"/>
  <c r="AE13" i="1771"/>
  <c r="AE21" i="1771"/>
  <c r="AE17" i="1771"/>
  <c r="AE19" i="1771"/>
  <c r="AE6" i="1771"/>
  <c r="AD23" i="1770"/>
  <c r="AE20" i="1770" s="1"/>
  <c r="AD21" i="1769"/>
  <c r="AD10" i="1769"/>
  <c r="M23" i="1769"/>
  <c r="P23" i="1769"/>
  <c r="AC6" i="1769"/>
  <c r="AB23" i="1769"/>
  <c r="K23" i="1769"/>
  <c r="AD23" i="1768"/>
  <c r="M23" i="1768"/>
  <c r="P20" i="1768"/>
  <c r="AC20" i="1768" s="1"/>
  <c r="O20" i="1768"/>
  <c r="M20" i="1768"/>
  <c r="AB20" i="1768"/>
  <c r="AD20" i="1768" s="1"/>
  <c r="AD19" i="1768"/>
  <c r="AD13" i="1768"/>
  <c r="P11" i="1768"/>
  <c r="AC11" i="1768" s="1"/>
  <c r="AD11" i="1768" s="1"/>
  <c r="M11" i="1768"/>
  <c r="AD9" i="1768"/>
  <c r="Q26" i="1768"/>
  <c r="AD18" i="1768"/>
  <c r="AD7" i="1768"/>
  <c r="AD16" i="1768"/>
  <c r="AD22" i="1768"/>
  <c r="AD15" i="1768"/>
  <c r="AD6" i="1768"/>
  <c r="AD12" i="1768"/>
  <c r="AD25" i="1768"/>
  <c r="L26" i="1768"/>
  <c r="O26" i="1768" s="1"/>
  <c r="P8" i="1768"/>
  <c r="AC8" i="1768" s="1"/>
  <c r="AD8" i="1768" s="1"/>
  <c r="M10" i="1768"/>
  <c r="AB10" i="1768"/>
  <c r="P14" i="1768"/>
  <c r="AC14" i="1768" s="1"/>
  <c r="AD14" i="1768" s="1"/>
  <c r="P17" i="1768"/>
  <c r="AC17" i="1768" s="1"/>
  <c r="AD17" i="1768" s="1"/>
  <c r="P21" i="1768"/>
  <c r="AC21" i="1768" s="1"/>
  <c r="AD21" i="1768" s="1"/>
  <c r="M24" i="1768"/>
  <c r="AB24" i="1768"/>
  <c r="O24" i="1768"/>
  <c r="O10" i="1768"/>
  <c r="M8" i="1768"/>
  <c r="K26" i="1768"/>
  <c r="M14" i="1768"/>
  <c r="M17" i="1768"/>
  <c r="M21" i="1768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1" i="1767"/>
  <c r="L20" i="1767"/>
  <c r="K20" i="1767" s="1"/>
  <c r="L19" i="1767"/>
  <c r="L18" i="1767"/>
  <c r="K18" i="1767" s="1"/>
  <c r="L17" i="1767"/>
  <c r="K17" i="1767" s="1"/>
  <c r="L15" i="1767"/>
  <c r="O15" i="1767" s="1"/>
  <c r="K15" i="1767"/>
  <c r="L13" i="1767"/>
  <c r="L12" i="1767"/>
  <c r="K12" i="1767" s="1"/>
  <c r="L11" i="1767"/>
  <c r="O11" i="1767" s="1"/>
  <c r="L10" i="1767"/>
  <c r="L9" i="1767"/>
  <c r="K9" i="1767" s="1"/>
  <c r="L8" i="1767"/>
  <c r="M8" i="1767" s="1"/>
  <c r="L6" i="1767"/>
  <c r="K6" i="1767" s="1"/>
  <c r="K19" i="1767"/>
  <c r="K13" i="1767"/>
  <c r="K11" i="1767"/>
  <c r="K10" i="1767"/>
  <c r="K7" i="1767"/>
  <c r="A77" i="1767"/>
  <c r="A78" i="1767" s="1"/>
  <c r="A79" i="1767" s="1"/>
  <c r="A80" i="1767" s="1"/>
  <c r="A81" i="1767" s="1"/>
  <c r="A82" i="1767" s="1"/>
  <c r="AF61" i="1767"/>
  <c r="AF60" i="1767"/>
  <c r="AF63" i="1767" s="1"/>
  <c r="AA22" i="1767"/>
  <c r="Z22" i="1767"/>
  <c r="Y22" i="1767"/>
  <c r="X22" i="1767"/>
  <c r="W22" i="1767"/>
  <c r="V22" i="1767"/>
  <c r="U22" i="1767"/>
  <c r="T22" i="1767"/>
  <c r="S22" i="1767"/>
  <c r="R22" i="1767"/>
  <c r="N22" i="1767"/>
  <c r="J22" i="1767"/>
  <c r="I22" i="1767"/>
  <c r="AF21" i="1767"/>
  <c r="AB21" i="1767"/>
  <c r="Q21" i="1767"/>
  <c r="P21" i="1767" s="1"/>
  <c r="AC21" i="1767" s="1"/>
  <c r="O21" i="1767"/>
  <c r="M21" i="1767"/>
  <c r="K21" i="1767"/>
  <c r="AF20" i="1767"/>
  <c r="AB20" i="1767"/>
  <c r="Q20" i="1767"/>
  <c r="P20" i="1767"/>
  <c r="AC20" i="1767" s="1"/>
  <c r="M20" i="1767"/>
  <c r="O20" i="1767"/>
  <c r="AF19" i="1767"/>
  <c r="Q19" i="1767"/>
  <c r="O19" i="1767"/>
  <c r="AB19" i="1767"/>
  <c r="AF18" i="1767"/>
  <c r="Q18" i="1767"/>
  <c r="AF17" i="1767"/>
  <c r="Q17" i="1767"/>
  <c r="AF16" i="1767"/>
  <c r="AB16" i="1767"/>
  <c r="Q16" i="1767"/>
  <c r="P16" i="1767"/>
  <c r="AC16" i="1767" s="1"/>
  <c r="AD16" i="1767" s="1"/>
  <c r="O16" i="1767"/>
  <c r="M16" i="1767"/>
  <c r="K16" i="1767"/>
  <c r="AF15" i="1767"/>
  <c r="Q15" i="1767"/>
  <c r="P15" i="1767" s="1"/>
  <c r="AC15" i="1767" s="1"/>
  <c r="AF14" i="1767"/>
  <c r="AB14" i="1767"/>
  <c r="Q14" i="1767"/>
  <c r="P14" i="1767"/>
  <c r="AC14" i="1767" s="1"/>
  <c r="O14" i="1767"/>
  <c r="M14" i="1767"/>
  <c r="K14" i="1767"/>
  <c r="AF13" i="1767"/>
  <c r="AB13" i="1767"/>
  <c r="Q13" i="1767"/>
  <c r="P13" i="1767" s="1"/>
  <c r="AC13" i="1767" s="1"/>
  <c r="AD13" i="1767" s="1"/>
  <c r="O13" i="1767"/>
  <c r="M13" i="1767"/>
  <c r="AF12" i="1767"/>
  <c r="AB12" i="1767"/>
  <c r="Q12" i="1767"/>
  <c r="M12" i="1767"/>
  <c r="AF11" i="1767"/>
  <c r="Q11" i="1767"/>
  <c r="AB11" i="1767"/>
  <c r="AF10" i="1767"/>
  <c r="AB10" i="1767"/>
  <c r="Q10" i="1767"/>
  <c r="P10" i="1767"/>
  <c r="AC10" i="1767" s="1"/>
  <c r="O10" i="1767"/>
  <c r="M10" i="1767"/>
  <c r="AF9" i="1767"/>
  <c r="Q9" i="1767"/>
  <c r="P9" i="1767"/>
  <c r="AC9" i="1767" s="1"/>
  <c r="AF8" i="1767"/>
  <c r="AB8" i="1767"/>
  <c r="Q8" i="1767"/>
  <c r="P8" i="1767"/>
  <c r="AC8" i="1767" s="1"/>
  <c r="O8" i="1767"/>
  <c r="AF7" i="1767"/>
  <c r="Q7" i="1767"/>
  <c r="O7" i="1767"/>
  <c r="AB7" i="1767"/>
  <c r="AF6" i="1767"/>
  <c r="AB6" i="1767"/>
  <c r="Q6" i="1767"/>
  <c r="M6" i="1767"/>
  <c r="AE6" i="1770" l="1"/>
  <c r="AE10" i="1770"/>
  <c r="AE12" i="1770"/>
  <c r="AE15" i="1770"/>
  <c r="AE7" i="1770"/>
  <c r="AE8" i="1770"/>
  <c r="AE11" i="1770"/>
  <c r="AE14" i="1770"/>
  <c r="AE13" i="1770"/>
  <c r="AE21" i="1770"/>
  <c r="AE17" i="1770"/>
  <c r="AE19" i="1770"/>
  <c r="AE16" i="1770"/>
  <c r="AE9" i="1770"/>
  <c r="AE18" i="1770"/>
  <c r="AE22" i="1770"/>
  <c r="AC23" i="1769"/>
  <c r="AD6" i="1769"/>
  <c r="AD23" i="1769" s="1"/>
  <c r="AD24" i="1768"/>
  <c r="AB26" i="1768"/>
  <c r="M26" i="1768"/>
  <c r="P26" i="1768"/>
  <c r="AC26" i="1768"/>
  <c r="AD10" i="1768"/>
  <c r="AD21" i="1767"/>
  <c r="AB18" i="1767"/>
  <c r="O18" i="1767"/>
  <c r="P18" i="1767"/>
  <c r="AC18" i="1767" s="1"/>
  <c r="AD18" i="1767" s="1"/>
  <c r="M18" i="1767"/>
  <c r="P17" i="1767"/>
  <c r="AC17" i="1767" s="1"/>
  <c r="M15" i="1767"/>
  <c r="AB15" i="1767"/>
  <c r="Q22" i="1767"/>
  <c r="O12" i="1767"/>
  <c r="P12" i="1767"/>
  <c r="AC12" i="1767" s="1"/>
  <c r="AD12" i="1767" s="1"/>
  <c r="AD8" i="1767"/>
  <c r="K8" i="1767"/>
  <c r="O6" i="1767"/>
  <c r="P6" i="1767"/>
  <c r="AC6" i="1767" s="1"/>
  <c r="AD6" i="1767" s="1"/>
  <c r="AD10" i="1767"/>
  <c r="AD15" i="1767"/>
  <c r="AD14" i="1767"/>
  <c r="AD20" i="1767"/>
  <c r="L22" i="1767"/>
  <c r="O22" i="1767" s="1"/>
  <c r="P7" i="1767"/>
  <c r="AC7" i="1767" s="1"/>
  <c r="AD7" i="1767" s="1"/>
  <c r="M9" i="1767"/>
  <c r="AB9" i="1767"/>
  <c r="P11" i="1767"/>
  <c r="AC11" i="1767" s="1"/>
  <c r="AD11" i="1767" s="1"/>
  <c r="M17" i="1767"/>
  <c r="AB17" i="1767"/>
  <c r="P19" i="1767"/>
  <c r="AC19" i="1767" s="1"/>
  <c r="AD19" i="1767" s="1"/>
  <c r="O17" i="1767"/>
  <c r="O9" i="1767"/>
  <c r="M7" i="1767"/>
  <c r="K22" i="1767"/>
  <c r="M11" i="1767"/>
  <c r="M19" i="1767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0" i="1766"/>
  <c r="P20" i="1766" s="1"/>
  <c r="AC20" i="1766" s="1"/>
  <c r="L19" i="1766"/>
  <c r="O19" i="1766" s="1"/>
  <c r="K19" i="1766"/>
  <c r="L18" i="1766"/>
  <c r="L17" i="1766"/>
  <c r="O17" i="1766" s="1"/>
  <c r="L13" i="1766"/>
  <c r="M13" i="1766" s="1"/>
  <c r="K12" i="1766"/>
  <c r="L11" i="1766"/>
  <c r="AB11" i="1766" s="1"/>
  <c r="L10" i="1766"/>
  <c r="L9" i="1766"/>
  <c r="M9" i="1766" s="1"/>
  <c r="L8" i="1766"/>
  <c r="K8" i="1766" s="1"/>
  <c r="L7" i="1766"/>
  <c r="K21" i="1766"/>
  <c r="K20" i="1766"/>
  <c r="K18" i="1766"/>
  <c r="K17" i="1766"/>
  <c r="K13" i="1766"/>
  <c r="K11" i="1766"/>
  <c r="A77" i="1766"/>
  <c r="A78" i="1766" s="1"/>
  <c r="A79" i="1766" s="1"/>
  <c r="A80" i="1766" s="1"/>
  <c r="A81" i="1766" s="1"/>
  <c r="A82" i="1766" s="1"/>
  <c r="AF61" i="1766"/>
  <c r="AF63" i="1766" s="1"/>
  <c r="AF60" i="1766"/>
  <c r="AA22" i="1766"/>
  <c r="Z22" i="1766"/>
  <c r="Y22" i="1766"/>
  <c r="X22" i="1766"/>
  <c r="W22" i="1766"/>
  <c r="V22" i="1766"/>
  <c r="U22" i="1766"/>
  <c r="T22" i="1766"/>
  <c r="S22" i="1766"/>
  <c r="R22" i="1766"/>
  <c r="N22" i="1766"/>
  <c r="J22" i="1766"/>
  <c r="I22" i="1766"/>
  <c r="AF21" i="1766"/>
  <c r="AB21" i="1766"/>
  <c r="Q21" i="1766"/>
  <c r="P21" i="1766"/>
  <c r="AC21" i="1766" s="1"/>
  <c r="O21" i="1766"/>
  <c r="M21" i="1766"/>
  <c r="AF20" i="1766"/>
  <c r="Q20" i="1766"/>
  <c r="AF19" i="1766"/>
  <c r="AB19" i="1766"/>
  <c r="Q19" i="1766"/>
  <c r="P19" i="1766"/>
  <c r="AC19" i="1766" s="1"/>
  <c r="M19" i="1766"/>
  <c r="AF18" i="1766"/>
  <c r="Q18" i="1766"/>
  <c r="P18" i="1766" s="1"/>
  <c r="AC18" i="1766" s="1"/>
  <c r="AF17" i="1766"/>
  <c r="Q17" i="1766"/>
  <c r="P17" i="1766"/>
  <c r="AC17" i="1766" s="1"/>
  <c r="AF16" i="1766"/>
  <c r="AB16" i="1766"/>
  <c r="Q16" i="1766"/>
  <c r="P16" i="1766"/>
  <c r="AC16" i="1766" s="1"/>
  <c r="AD16" i="1766" s="1"/>
  <c r="O16" i="1766"/>
  <c r="M16" i="1766"/>
  <c r="K16" i="1766"/>
  <c r="AF15" i="1766"/>
  <c r="AB15" i="1766"/>
  <c r="Q15" i="1766"/>
  <c r="P15" i="1766"/>
  <c r="AC15" i="1766" s="1"/>
  <c r="O15" i="1766"/>
  <c r="M15" i="1766"/>
  <c r="K15" i="1766"/>
  <c r="AF14" i="1766"/>
  <c r="AB14" i="1766"/>
  <c r="Q14" i="1766"/>
  <c r="P14" i="1766"/>
  <c r="AC14" i="1766" s="1"/>
  <c r="O14" i="1766"/>
  <c r="M14" i="1766"/>
  <c r="K14" i="1766"/>
  <c r="AF13" i="1766"/>
  <c r="AB13" i="1766"/>
  <c r="Q13" i="1766"/>
  <c r="P13" i="1766" s="1"/>
  <c r="AC13" i="1766" s="1"/>
  <c r="AF12" i="1766"/>
  <c r="Q12" i="1766"/>
  <c r="O12" i="1766"/>
  <c r="AF11" i="1766"/>
  <c r="Q11" i="1766"/>
  <c r="P11" i="1766"/>
  <c r="AC11" i="1766" s="1"/>
  <c r="O11" i="1766"/>
  <c r="AF10" i="1766"/>
  <c r="AB10" i="1766"/>
  <c r="Q10" i="1766"/>
  <c r="O10" i="1766"/>
  <c r="M10" i="1766"/>
  <c r="AF9" i="1766"/>
  <c r="AB9" i="1766"/>
  <c r="Q9" i="1766"/>
  <c r="P9" i="1766"/>
  <c r="AC9" i="1766" s="1"/>
  <c r="AF8" i="1766"/>
  <c r="Q8" i="1766"/>
  <c r="AF7" i="1766"/>
  <c r="AB7" i="1766"/>
  <c r="Q7" i="1766"/>
  <c r="P7" i="1766" s="1"/>
  <c r="AC7" i="1766" s="1"/>
  <c r="O7" i="1766"/>
  <c r="M7" i="1766"/>
  <c r="K7" i="1766"/>
  <c r="AF6" i="1766"/>
  <c r="AC6" i="1766"/>
  <c r="AB6" i="1766"/>
  <c r="Q6" i="1766"/>
  <c r="P6" i="1766"/>
  <c r="O6" i="1766"/>
  <c r="M6" i="1766"/>
  <c r="K6" i="1766"/>
  <c r="AE22" i="1769" l="1"/>
  <c r="AE18" i="1769"/>
  <c r="AE11" i="1769"/>
  <c r="AE8" i="1769"/>
  <c r="AE13" i="1769"/>
  <c r="AE9" i="1769"/>
  <c r="AE19" i="1769"/>
  <c r="AE15" i="1769"/>
  <c r="AE6" i="1769"/>
  <c r="AE20" i="1769"/>
  <c r="AE17" i="1769"/>
  <c r="AE12" i="1769"/>
  <c r="AE21" i="1769"/>
  <c r="AE16" i="1769"/>
  <c r="AE14" i="1769"/>
  <c r="AE10" i="1769"/>
  <c r="AE7" i="1769"/>
  <c r="AD26" i="1768"/>
  <c r="AB22" i="1767"/>
  <c r="M22" i="1767"/>
  <c r="AD17" i="1767"/>
  <c r="AD9" i="1767"/>
  <c r="AD22" i="1767" s="1"/>
  <c r="AC22" i="1767"/>
  <c r="P22" i="1767"/>
  <c r="AD19" i="1766"/>
  <c r="K9" i="1766"/>
  <c r="P10" i="1766"/>
  <c r="AC10" i="1766" s="1"/>
  <c r="AD6" i="1766"/>
  <c r="K10" i="1766"/>
  <c r="K22" i="1766" s="1"/>
  <c r="Q22" i="1766"/>
  <c r="AD11" i="1766"/>
  <c r="O8" i="1766"/>
  <c r="AD14" i="1766"/>
  <c r="AD7" i="1766"/>
  <c r="AD10" i="1766"/>
  <c r="AD21" i="1766"/>
  <c r="AD15" i="1766"/>
  <c r="P8" i="1766"/>
  <c r="AC8" i="1766" s="1"/>
  <c r="P12" i="1766"/>
  <c r="AC12" i="1766" s="1"/>
  <c r="L22" i="1766"/>
  <c r="O22" i="1766" s="1"/>
  <c r="M18" i="1766"/>
  <c r="AB18" i="1766"/>
  <c r="M20" i="1766"/>
  <c r="AB20" i="1766"/>
  <c r="AB8" i="1766"/>
  <c r="O9" i="1766"/>
  <c r="AD9" i="1766" s="1"/>
  <c r="M12" i="1766"/>
  <c r="AB12" i="1766"/>
  <c r="O13" i="1766"/>
  <c r="AD13" i="1766" s="1"/>
  <c r="M17" i="1766"/>
  <c r="AB17" i="1766"/>
  <c r="AD17" i="1766" s="1"/>
  <c r="O18" i="1766"/>
  <c r="O20" i="1766"/>
  <c r="M8" i="1766"/>
  <c r="M11" i="1766"/>
  <c r="K7" i="1765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3" i="16"/>
  <c r="L22" i="1765"/>
  <c r="AB22" i="1765" s="1"/>
  <c r="L21" i="1765"/>
  <c r="P21" i="1765" s="1"/>
  <c r="AC21" i="1765" s="1"/>
  <c r="L19" i="1765"/>
  <c r="M19" i="1765" s="1"/>
  <c r="K19" i="1765"/>
  <c r="AF19" i="1765"/>
  <c r="Q19" i="1765"/>
  <c r="O19" i="1765"/>
  <c r="L18" i="1765"/>
  <c r="K18" i="1765" s="1"/>
  <c r="L17" i="1765"/>
  <c r="L13" i="1765"/>
  <c r="M13" i="1765" s="1"/>
  <c r="L12" i="1765"/>
  <c r="AB12" i="1765" s="1"/>
  <c r="L11" i="1765"/>
  <c r="L10" i="1765"/>
  <c r="K10" i="1765" s="1"/>
  <c r="L9" i="1765"/>
  <c r="L8" i="1765"/>
  <c r="K8" i="1765" s="1"/>
  <c r="K20" i="1765"/>
  <c r="K15" i="1765"/>
  <c r="K13" i="1765"/>
  <c r="K11" i="1765"/>
  <c r="K9" i="1765"/>
  <c r="A78" i="1765"/>
  <c r="A79" i="1765" s="1"/>
  <c r="A80" i="1765" s="1"/>
  <c r="A81" i="1765" s="1"/>
  <c r="A82" i="1765" s="1"/>
  <c r="A83" i="1765" s="1"/>
  <c r="AF62" i="1765"/>
  <c r="AF61" i="1765"/>
  <c r="AA23" i="1765"/>
  <c r="Z23" i="1765"/>
  <c r="Y23" i="1765"/>
  <c r="X23" i="1765"/>
  <c r="W23" i="1765"/>
  <c r="V23" i="1765"/>
  <c r="U23" i="1765"/>
  <c r="T23" i="1765"/>
  <c r="S23" i="1765"/>
  <c r="R23" i="1765"/>
  <c r="N23" i="1765"/>
  <c r="J23" i="1765"/>
  <c r="I23" i="1765"/>
  <c r="AF22" i="1765"/>
  <c r="Q22" i="1765"/>
  <c r="P22" i="1765"/>
  <c r="AC22" i="1765" s="1"/>
  <c r="M22" i="1765"/>
  <c r="AF21" i="1765"/>
  <c r="Q21" i="1765"/>
  <c r="AF20" i="1765"/>
  <c r="AB20" i="1765"/>
  <c r="Q20" i="1765"/>
  <c r="P20" i="1765"/>
  <c r="AC20" i="1765" s="1"/>
  <c r="O20" i="1765"/>
  <c r="M20" i="1765"/>
  <c r="AF18" i="1765"/>
  <c r="AB18" i="1765"/>
  <c r="Q18" i="1765"/>
  <c r="O18" i="1765"/>
  <c r="AF17" i="1765"/>
  <c r="Q17" i="1765"/>
  <c r="AF16" i="1765"/>
  <c r="AB16" i="1765"/>
  <c r="Q16" i="1765"/>
  <c r="P16" i="1765"/>
  <c r="AC16" i="1765" s="1"/>
  <c r="O16" i="1765"/>
  <c r="M16" i="1765"/>
  <c r="K16" i="1765"/>
  <c r="AF15" i="1765"/>
  <c r="AB15" i="1765"/>
  <c r="Q15" i="1765"/>
  <c r="M15" i="1765"/>
  <c r="P15" i="1765"/>
  <c r="AC15" i="1765" s="1"/>
  <c r="AF14" i="1765"/>
  <c r="AB14" i="1765"/>
  <c r="Q14" i="1765"/>
  <c r="P14" i="1765"/>
  <c r="AC14" i="1765" s="1"/>
  <c r="O14" i="1765"/>
  <c r="M14" i="1765"/>
  <c r="K14" i="1765"/>
  <c r="AF13" i="1765"/>
  <c r="Q13" i="1765"/>
  <c r="O13" i="1765"/>
  <c r="AF12" i="1765"/>
  <c r="Q12" i="1765"/>
  <c r="P12" i="1765" s="1"/>
  <c r="AC12" i="1765" s="1"/>
  <c r="AF11" i="1765"/>
  <c r="Q11" i="1765"/>
  <c r="AF10" i="1765"/>
  <c r="Q10" i="1765"/>
  <c r="AF9" i="1765"/>
  <c r="Q9" i="1765"/>
  <c r="P9" i="1765" s="1"/>
  <c r="AC9" i="1765" s="1"/>
  <c r="AF8" i="1765"/>
  <c r="Q8" i="1765"/>
  <c r="O8" i="1765"/>
  <c r="AF7" i="1765"/>
  <c r="AB7" i="1765"/>
  <c r="Q7" i="1765"/>
  <c r="P7" i="1765"/>
  <c r="AC7" i="1765" s="1"/>
  <c r="O7" i="1765"/>
  <c r="M7" i="1765"/>
  <c r="AF6" i="1765"/>
  <c r="AB6" i="1765"/>
  <c r="Q6" i="1765"/>
  <c r="P6" i="1765"/>
  <c r="AC6" i="1765" s="1"/>
  <c r="O6" i="1765"/>
  <c r="M6" i="1765"/>
  <c r="K6" i="1765"/>
  <c r="AE20" i="1768" l="1"/>
  <c r="AE23" i="1768"/>
  <c r="AE11" i="1768"/>
  <c r="AE13" i="1768"/>
  <c r="AE9" i="1768"/>
  <c r="AE12" i="1768"/>
  <c r="AE18" i="1768"/>
  <c r="AE15" i="1768"/>
  <c r="AE14" i="1768"/>
  <c r="AE16" i="1768"/>
  <c r="AE6" i="1768"/>
  <c r="AE21" i="1768"/>
  <c r="AE7" i="1768"/>
  <c r="AE10" i="1768"/>
  <c r="AE8" i="1768"/>
  <c r="AE24" i="1768"/>
  <c r="AE22" i="1768"/>
  <c r="AE17" i="1768"/>
  <c r="AE19" i="1768"/>
  <c r="AE25" i="1768"/>
  <c r="AE21" i="1767"/>
  <c r="AE18" i="1767"/>
  <c r="AE15" i="1767"/>
  <c r="AE13" i="1767"/>
  <c r="AE10" i="1767"/>
  <c r="AE6" i="1767"/>
  <c r="AE11" i="1767"/>
  <c r="AE7" i="1767"/>
  <c r="AE17" i="1767"/>
  <c r="AE12" i="1767"/>
  <c r="AE19" i="1767"/>
  <c r="AE9" i="1767"/>
  <c r="AE20" i="1767"/>
  <c r="AE16" i="1767"/>
  <c r="AE14" i="1767"/>
  <c r="AE8" i="1767"/>
  <c r="M22" i="1766"/>
  <c r="AD8" i="1766"/>
  <c r="AD18" i="1766"/>
  <c r="AB22" i="1766"/>
  <c r="AC22" i="1766"/>
  <c r="AD20" i="1766"/>
  <c r="AD12" i="1766"/>
  <c r="P22" i="1766"/>
  <c r="K22" i="1765"/>
  <c r="O22" i="1765"/>
  <c r="K21" i="1765"/>
  <c r="AB19" i="1765"/>
  <c r="P19" i="1765"/>
  <c r="AC19" i="1765" s="1"/>
  <c r="AD19" i="1765" s="1"/>
  <c r="AD7" i="1765"/>
  <c r="T4" i="16" s="1"/>
  <c r="P17" i="1765"/>
  <c r="AC17" i="1765" s="1"/>
  <c r="M18" i="1765"/>
  <c r="P18" i="1765"/>
  <c r="AC18" i="1765" s="1"/>
  <c r="AD18" i="1765" s="1"/>
  <c r="K17" i="1765"/>
  <c r="P13" i="1765"/>
  <c r="AC13" i="1765" s="1"/>
  <c r="AB13" i="1765"/>
  <c r="M12" i="1765"/>
  <c r="K12" i="1765"/>
  <c r="M8" i="1765"/>
  <c r="AD20" i="1765"/>
  <c r="P8" i="1765"/>
  <c r="AC8" i="1765" s="1"/>
  <c r="AF64" i="1765"/>
  <c r="P11" i="1765"/>
  <c r="AC11" i="1765" s="1"/>
  <c r="AB10" i="1765"/>
  <c r="P10" i="1765"/>
  <c r="AC10" i="1765" s="1"/>
  <c r="M10" i="1765"/>
  <c r="Q23" i="1765"/>
  <c r="AB8" i="1765"/>
  <c r="AD14" i="1765"/>
  <c r="AD16" i="1765"/>
  <c r="AD6" i="1765"/>
  <c r="AD22" i="1765"/>
  <c r="AD9" i="1765"/>
  <c r="L23" i="1765"/>
  <c r="O23" i="1765" s="1"/>
  <c r="M9" i="1765"/>
  <c r="AB9" i="1765"/>
  <c r="O10" i="1765"/>
  <c r="M11" i="1765"/>
  <c r="AB11" i="1765"/>
  <c r="O12" i="1765"/>
  <c r="AD12" i="1765" s="1"/>
  <c r="O15" i="1765"/>
  <c r="AD15" i="1765" s="1"/>
  <c r="M17" i="1765"/>
  <c r="AB17" i="1765"/>
  <c r="M21" i="1765"/>
  <c r="AB21" i="1765"/>
  <c r="O9" i="1765"/>
  <c r="O11" i="1765"/>
  <c r="O17" i="1765"/>
  <c r="O21" i="1765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2" i="1764"/>
  <c r="O22" i="1764" s="1"/>
  <c r="L21" i="1764"/>
  <c r="L19" i="1764"/>
  <c r="K19" i="1764"/>
  <c r="L18" i="1764"/>
  <c r="K18" i="1764" s="1"/>
  <c r="L16" i="1764"/>
  <c r="K16" i="1764" s="1"/>
  <c r="L14" i="1764"/>
  <c r="M14" i="1764" s="1"/>
  <c r="L13" i="1764"/>
  <c r="K13" i="1764" s="1"/>
  <c r="L12" i="1764"/>
  <c r="K12" i="1764" s="1"/>
  <c r="AF12" i="1764"/>
  <c r="AB12" i="1764"/>
  <c r="Q12" i="1764"/>
  <c r="M12" i="1764"/>
  <c r="L10" i="1764"/>
  <c r="AB10" i="1764" s="1"/>
  <c r="L9" i="1764"/>
  <c r="K9" i="1764"/>
  <c r="L8" i="1764"/>
  <c r="K22" i="1764"/>
  <c r="K21" i="1764"/>
  <c r="K11" i="1764"/>
  <c r="K8" i="1764"/>
  <c r="K7" i="1764"/>
  <c r="K6" i="1764"/>
  <c r="A78" i="1764"/>
  <c r="A79" i="1764" s="1"/>
  <c r="A80" i="1764" s="1"/>
  <c r="A81" i="1764" s="1"/>
  <c r="A82" i="1764" s="1"/>
  <c r="A83" i="1764" s="1"/>
  <c r="AF62" i="1764"/>
  <c r="AF61" i="1764"/>
  <c r="AF64" i="1764" s="1"/>
  <c r="AA23" i="1764"/>
  <c r="Z23" i="1764"/>
  <c r="Y23" i="1764"/>
  <c r="X23" i="1764"/>
  <c r="W23" i="1764"/>
  <c r="V23" i="1764"/>
  <c r="U23" i="1764"/>
  <c r="T23" i="1764"/>
  <c r="S23" i="1764"/>
  <c r="R23" i="1764"/>
  <c r="N23" i="1764"/>
  <c r="J23" i="1764"/>
  <c r="I23" i="1764"/>
  <c r="AF22" i="1764"/>
  <c r="AB22" i="1764"/>
  <c r="Q22" i="1764"/>
  <c r="P22" i="1764"/>
  <c r="AC22" i="1764" s="1"/>
  <c r="M22" i="1764"/>
  <c r="AF21" i="1764"/>
  <c r="Q21" i="1764"/>
  <c r="P21" i="1764" s="1"/>
  <c r="AC21" i="1764" s="1"/>
  <c r="AF20" i="1764"/>
  <c r="AB20" i="1764"/>
  <c r="Q20" i="1764"/>
  <c r="P20" i="1764" s="1"/>
  <c r="AC20" i="1764" s="1"/>
  <c r="O20" i="1764"/>
  <c r="M20" i="1764"/>
  <c r="K20" i="1764"/>
  <c r="AF19" i="1764"/>
  <c r="AB19" i="1764"/>
  <c r="Q19" i="1764"/>
  <c r="P19" i="1764" s="1"/>
  <c r="AC19" i="1764" s="1"/>
  <c r="O19" i="1764"/>
  <c r="M19" i="1764"/>
  <c r="AF18" i="1764"/>
  <c r="Q18" i="1764"/>
  <c r="P18" i="1764"/>
  <c r="AC18" i="1764" s="1"/>
  <c r="O18" i="1764"/>
  <c r="AB18" i="1764"/>
  <c r="AF17" i="1764"/>
  <c r="AB17" i="1764"/>
  <c r="Q17" i="1764"/>
  <c r="P17" i="1764"/>
  <c r="AC17" i="1764" s="1"/>
  <c r="O17" i="1764"/>
  <c r="M17" i="1764"/>
  <c r="K17" i="1764"/>
  <c r="AF16" i="1764"/>
  <c r="Q16" i="1764"/>
  <c r="AF15" i="1764"/>
  <c r="AB15" i="1764"/>
  <c r="Q15" i="1764"/>
  <c r="P15" i="1764"/>
  <c r="AC15" i="1764" s="1"/>
  <c r="O15" i="1764"/>
  <c r="M15" i="1764"/>
  <c r="K15" i="1764"/>
  <c r="AF14" i="1764"/>
  <c r="Q14" i="1764"/>
  <c r="AF13" i="1764"/>
  <c r="Q13" i="1764"/>
  <c r="P13" i="1764"/>
  <c r="AC13" i="1764" s="1"/>
  <c r="AF11" i="1764"/>
  <c r="Q11" i="1764"/>
  <c r="P11" i="1764" s="1"/>
  <c r="AC11" i="1764" s="1"/>
  <c r="O11" i="1764"/>
  <c r="AB11" i="1764"/>
  <c r="AF10" i="1764"/>
  <c r="Q10" i="1764"/>
  <c r="P10" i="1764" s="1"/>
  <c r="AC10" i="1764" s="1"/>
  <c r="O10" i="1764"/>
  <c r="AF9" i="1764"/>
  <c r="Q9" i="1764"/>
  <c r="P9" i="1764"/>
  <c r="AC9" i="1764" s="1"/>
  <c r="AF8" i="1764"/>
  <c r="Q8" i="1764"/>
  <c r="O8" i="1764"/>
  <c r="AB8" i="1764"/>
  <c r="AF7" i="1764"/>
  <c r="AB7" i="1764"/>
  <c r="Q7" i="1764"/>
  <c r="O7" i="1764"/>
  <c r="M7" i="1764"/>
  <c r="P7" i="1764"/>
  <c r="AC7" i="1764" s="1"/>
  <c r="AF6" i="1764"/>
  <c r="AB6" i="1764"/>
  <c r="Q6" i="1764"/>
  <c r="M6" i="1764"/>
  <c r="P6" i="1764"/>
  <c r="AC6" i="1764" s="1"/>
  <c r="AD22" i="1766" l="1"/>
  <c r="AE21" i="1766" s="1"/>
  <c r="K23" i="1765"/>
  <c r="AC23" i="1765"/>
  <c r="AD13" i="1765"/>
  <c r="AD17" i="1765"/>
  <c r="AD11" i="1765"/>
  <c r="M23" i="1765"/>
  <c r="AD8" i="1765"/>
  <c r="P23" i="1765"/>
  <c r="AB23" i="1765"/>
  <c r="AD10" i="1765"/>
  <c r="AD21" i="1765"/>
  <c r="M18" i="1764"/>
  <c r="P16" i="1764"/>
  <c r="AC16" i="1764" s="1"/>
  <c r="AB14" i="1764"/>
  <c r="K14" i="1764"/>
  <c r="P14" i="1764"/>
  <c r="AC14" i="1764" s="1"/>
  <c r="O12" i="1764"/>
  <c r="P12" i="1764"/>
  <c r="AC12" i="1764" s="1"/>
  <c r="P8" i="1764"/>
  <c r="AC8" i="1764" s="1"/>
  <c r="AD17" i="1764"/>
  <c r="AD20" i="1764"/>
  <c r="K10" i="1764"/>
  <c r="M10" i="1764"/>
  <c r="AD19" i="1764"/>
  <c r="AD10" i="1764"/>
  <c r="AD15" i="1764"/>
  <c r="AD22" i="1764"/>
  <c r="AD7" i="1764"/>
  <c r="AD18" i="1764"/>
  <c r="AD8" i="1764"/>
  <c r="AD11" i="1764"/>
  <c r="O6" i="1764"/>
  <c r="AD6" i="1764" s="1"/>
  <c r="M9" i="1764"/>
  <c r="AB9" i="1764"/>
  <c r="M13" i="1764"/>
  <c r="AB13" i="1764"/>
  <c r="O14" i="1764"/>
  <c r="M16" i="1764"/>
  <c r="AB16" i="1764"/>
  <c r="M21" i="1764"/>
  <c r="AB21" i="1764"/>
  <c r="Q23" i="1764"/>
  <c r="L23" i="1764"/>
  <c r="O23" i="1764" s="1"/>
  <c r="K23" i="1764"/>
  <c r="M8" i="1764"/>
  <c r="O9" i="1764"/>
  <c r="M11" i="1764"/>
  <c r="O13" i="1764"/>
  <c r="O16" i="1764"/>
  <c r="O21" i="1764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2" i="1763"/>
  <c r="L21" i="1763"/>
  <c r="K20" i="1763"/>
  <c r="L18" i="1763"/>
  <c r="L16" i="1763"/>
  <c r="L14" i="1763"/>
  <c r="L13" i="1763"/>
  <c r="L12" i="1763"/>
  <c r="AE20" i="1766" l="1"/>
  <c r="AE10" i="1766"/>
  <c r="AE13" i="1766"/>
  <c r="AE17" i="1766"/>
  <c r="AE11" i="1766"/>
  <c r="AE6" i="1766"/>
  <c r="AE18" i="1766"/>
  <c r="AE12" i="1766"/>
  <c r="AE16" i="1766"/>
  <c r="AE9" i="1766"/>
  <c r="AE7" i="1766"/>
  <c r="AE8" i="1766"/>
  <c r="AE15" i="1766"/>
  <c r="AE19" i="1766"/>
  <c r="AE14" i="1766"/>
  <c r="AD23" i="1765"/>
  <c r="AD16" i="1764"/>
  <c r="AD14" i="1764"/>
  <c r="P23" i="1764"/>
  <c r="AD12" i="1764"/>
  <c r="AD9" i="1764"/>
  <c r="AD13" i="1764"/>
  <c r="M23" i="1764"/>
  <c r="AD21" i="1764"/>
  <c r="AC23" i="1764"/>
  <c r="AB23" i="1764"/>
  <c r="L10" i="1763"/>
  <c r="K10" i="1763" s="1"/>
  <c r="L9" i="1763"/>
  <c r="K9" i="1763" s="1"/>
  <c r="L8" i="1763"/>
  <c r="K8" i="1763" s="1"/>
  <c r="L7" i="1763"/>
  <c r="K7" i="1763" s="1"/>
  <c r="K22" i="1763"/>
  <c r="K19" i="1763"/>
  <c r="K18" i="1763"/>
  <c r="K16" i="1763"/>
  <c r="K14" i="1763"/>
  <c r="K13" i="1763"/>
  <c r="K12" i="1763"/>
  <c r="K6" i="1763"/>
  <c r="A78" i="1763"/>
  <c r="A79" i="1763" s="1"/>
  <c r="A80" i="1763" s="1"/>
  <c r="A81" i="1763" s="1"/>
  <c r="A82" i="1763" s="1"/>
  <c r="A83" i="1763" s="1"/>
  <c r="AF62" i="1763"/>
  <c r="AF61" i="1763"/>
  <c r="AA23" i="1763"/>
  <c r="Z23" i="1763"/>
  <c r="Y23" i="1763"/>
  <c r="X23" i="1763"/>
  <c r="W23" i="1763"/>
  <c r="V23" i="1763"/>
  <c r="U23" i="1763"/>
  <c r="T23" i="1763"/>
  <c r="S23" i="1763"/>
  <c r="R23" i="1763"/>
  <c r="N23" i="1763"/>
  <c r="J23" i="1763"/>
  <c r="I23" i="1763"/>
  <c r="AF22" i="1763"/>
  <c r="AB22" i="1763"/>
  <c r="Q22" i="1763"/>
  <c r="P22" i="1763" s="1"/>
  <c r="AC22" i="1763" s="1"/>
  <c r="M22" i="1763"/>
  <c r="O22" i="1763"/>
  <c r="AF21" i="1763"/>
  <c r="AB21" i="1763"/>
  <c r="Q21" i="1763"/>
  <c r="P21" i="1763" s="1"/>
  <c r="AC21" i="1763" s="1"/>
  <c r="O21" i="1763"/>
  <c r="M21" i="1763"/>
  <c r="K21" i="1763"/>
  <c r="AF20" i="1763"/>
  <c r="Q20" i="1763"/>
  <c r="O20" i="1763"/>
  <c r="AB20" i="1763"/>
  <c r="AF19" i="1763"/>
  <c r="AB19" i="1763"/>
  <c r="Q19" i="1763"/>
  <c r="M19" i="1763"/>
  <c r="P19" i="1763"/>
  <c r="AC19" i="1763" s="1"/>
  <c r="AF18" i="1763"/>
  <c r="Q18" i="1763"/>
  <c r="P18" i="1763" s="1"/>
  <c r="AC18" i="1763" s="1"/>
  <c r="AF17" i="1763"/>
  <c r="AB17" i="1763"/>
  <c r="Q17" i="1763"/>
  <c r="P17" i="1763"/>
  <c r="AC17" i="1763" s="1"/>
  <c r="O17" i="1763"/>
  <c r="M17" i="1763"/>
  <c r="K17" i="1763"/>
  <c r="AF16" i="1763"/>
  <c r="AB16" i="1763"/>
  <c r="Q16" i="1763"/>
  <c r="P16" i="1763" s="1"/>
  <c r="AC16" i="1763" s="1"/>
  <c r="M16" i="1763"/>
  <c r="AF15" i="1763"/>
  <c r="AB15" i="1763"/>
  <c r="Q15" i="1763"/>
  <c r="P15" i="1763"/>
  <c r="AC15" i="1763" s="1"/>
  <c r="O15" i="1763"/>
  <c r="M15" i="1763"/>
  <c r="K15" i="1763"/>
  <c r="AF14" i="1763"/>
  <c r="AB14" i="1763"/>
  <c r="Q14" i="1763"/>
  <c r="P14" i="1763" s="1"/>
  <c r="AC14" i="1763" s="1"/>
  <c r="M14" i="1763"/>
  <c r="AF13" i="1763"/>
  <c r="Q13" i="1763"/>
  <c r="P13" i="1763" s="1"/>
  <c r="AC13" i="1763" s="1"/>
  <c r="AF12" i="1763"/>
  <c r="AB12" i="1763"/>
  <c r="Q12" i="1763"/>
  <c r="P12" i="1763" s="1"/>
  <c r="AC12" i="1763" s="1"/>
  <c r="O12" i="1763"/>
  <c r="M12" i="1763"/>
  <c r="AF11" i="1763"/>
  <c r="AB11" i="1763"/>
  <c r="Q11" i="1763"/>
  <c r="P11" i="1763"/>
  <c r="AC11" i="1763" s="1"/>
  <c r="O11" i="1763"/>
  <c r="M11" i="1763"/>
  <c r="K11" i="1763"/>
  <c r="AF10" i="1763"/>
  <c r="Q10" i="1763"/>
  <c r="AF9" i="1763"/>
  <c r="AB9" i="1763"/>
  <c r="Q9" i="1763"/>
  <c r="P9" i="1763"/>
  <c r="AC9" i="1763" s="1"/>
  <c r="O9" i="1763"/>
  <c r="M9" i="1763"/>
  <c r="AF8" i="1763"/>
  <c r="Q8" i="1763"/>
  <c r="AF7" i="1763"/>
  <c r="Q7" i="1763"/>
  <c r="P7" i="1763" s="1"/>
  <c r="AC7" i="1763" s="1"/>
  <c r="AF6" i="1763"/>
  <c r="AB6" i="1763"/>
  <c r="Q6" i="1763"/>
  <c r="O6" i="1763"/>
  <c r="M6" i="1763"/>
  <c r="AE19" i="1765" l="1"/>
  <c r="T19" i="16"/>
  <c r="AE10" i="1765"/>
  <c r="AE21" i="1765"/>
  <c r="AE6" i="1765"/>
  <c r="AE22" i="1765"/>
  <c r="AE9" i="1765"/>
  <c r="AE8" i="1765"/>
  <c r="AE7" i="1765"/>
  <c r="AE12" i="1765"/>
  <c r="AE11" i="1765"/>
  <c r="AE16" i="1765"/>
  <c r="AE13" i="1765"/>
  <c r="AE15" i="1765"/>
  <c r="AE17" i="1765"/>
  <c r="AE20" i="1765"/>
  <c r="AE14" i="1765"/>
  <c r="AE18" i="1765"/>
  <c r="AD23" i="1764"/>
  <c r="AE12" i="1764" s="1"/>
  <c r="P10" i="1763"/>
  <c r="AC10" i="1763" s="1"/>
  <c r="AD11" i="1763"/>
  <c r="AD9" i="1763"/>
  <c r="AF64" i="1763"/>
  <c r="M8" i="1763"/>
  <c r="O8" i="1763"/>
  <c r="AB8" i="1763"/>
  <c r="Q23" i="1763"/>
  <c r="P6" i="1763"/>
  <c r="AC6" i="1763" s="1"/>
  <c r="AD6" i="1763" s="1"/>
  <c r="AD17" i="1763"/>
  <c r="AD15" i="1763"/>
  <c r="AD12" i="1763"/>
  <c r="AD21" i="1763"/>
  <c r="AD22" i="1763"/>
  <c r="L23" i="1763"/>
  <c r="O23" i="1763" s="1"/>
  <c r="M7" i="1763"/>
  <c r="AB7" i="1763"/>
  <c r="P8" i="1763"/>
  <c r="AC8" i="1763" s="1"/>
  <c r="AD8" i="1763" s="1"/>
  <c r="M10" i="1763"/>
  <c r="AB10" i="1763"/>
  <c r="M13" i="1763"/>
  <c r="AB13" i="1763"/>
  <c r="O14" i="1763"/>
  <c r="AD14" i="1763" s="1"/>
  <c r="O16" i="1763"/>
  <c r="AD16" i="1763" s="1"/>
  <c r="M18" i="1763"/>
  <c r="AB18" i="1763"/>
  <c r="O19" i="1763"/>
  <c r="AD19" i="1763" s="1"/>
  <c r="P20" i="1763"/>
  <c r="AC20" i="1763" s="1"/>
  <c r="AD20" i="1763" s="1"/>
  <c r="O7" i="1763"/>
  <c r="O10" i="1763"/>
  <c r="O13" i="1763"/>
  <c r="O18" i="1763"/>
  <c r="K23" i="1763"/>
  <c r="M20" i="1763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4" i="1762"/>
  <c r="K24" i="1762"/>
  <c r="L22" i="1762"/>
  <c r="K22" i="1762" s="1"/>
  <c r="L21" i="1762"/>
  <c r="K21" i="1762" s="1"/>
  <c r="L20" i="1762"/>
  <c r="K20" i="1762" s="1"/>
  <c r="L18" i="1762"/>
  <c r="K18" i="1762" s="1"/>
  <c r="AF18" i="1762"/>
  <c r="Q18" i="1762"/>
  <c r="L17" i="1762"/>
  <c r="K17" i="1762" s="1"/>
  <c r="L15" i="1762"/>
  <c r="L14" i="1762"/>
  <c r="K14" i="1762" s="1"/>
  <c r="L13" i="1762"/>
  <c r="K13" i="1762"/>
  <c r="L11" i="1762"/>
  <c r="K11" i="1762" s="1"/>
  <c r="L10" i="1762"/>
  <c r="L9" i="1762"/>
  <c r="M9" i="1762" s="1"/>
  <c r="AF9" i="1762"/>
  <c r="Q9" i="1762"/>
  <c r="O9" i="1762"/>
  <c r="L8" i="1762"/>
  <c r="L7" i="1762"/>
  <c r="O7" i="1762" s="1"/>
  <c r="K8" i="1762"/>
  <c r="AF8" i="1762"/>
  <c r="AB8" i="1762"/>
  <c r="Q8" i="1762"/>
  <c r="P8" i="1762" s="1"/>
  <c r="AC8" i="1762" s="1"/>
  <c r="O8" i="1762"/>
  <c r="M8" i="1762"/>
  <c r="AF7" i="1762"/>
  <c r="Q7" i="1762"/>
  <c r="L6" i="1762"/>
  <c r="K15" i="1762"/>
  <c r="K12" i="1762"/>
  <c r="K10" i="1762"/>
  <c r="K6" i="1762"/>
  <c r="A80" i="1762"/>
  <c r="A81" i="1762" s="1"/>
  <c r="A82" i="1762" s="1"/>
  <c r="A83" i="1762" s="1"/>
  <c r="A84" i="1762" s="1"/>
  <c r="A85" i="1762" s="1"/>
  <c r="AF64" i="1762"/>
  <c r="AF63" i="1762"/>
  <c r="AF66" i="1762" s="1"/>
  <c r="AA25" i="1762"/>
  <c r="Z25" i="1762"/>
  <c r="Y25" i="1762"/>
  <c r="X25" i="1762"/>
  <c r="W25" i="1762"/>
  <c r="V25" i="1762"/>
  <c r="U25" i="1762"/>
  <c r="T25" i="1762"/>
  <c r="S25" i="1762"/>
  <c r="R25" i="1762"/>
  <c r="N25" i="1762"/>
  <c r="J25" i="1762"/>
  <c r="I25" i="1762"/>
  <c r="AF24" i="1762"/>
  <c r="AB24" i="1762"/>
  <c r="Q24" i="1762"/>
  <c r="P24" i="1762"/>
  <c r="AC24" i="1762" s="1"/>
  <c r="M24" i="1762"/>
  <c r="O24" i="1762"/>
  <c r="AF23" i="1762"/>
  <c r="AB23" i="1762"/>
  <c r="Q23" i="1762"/>
  <c r="P23" i="1762"/>
  <c r="AC23" i="1762" s="1"/>
  <c r="O23" i="1762"/>
  <c r="M23" i="1762"/>
  <c r="K23" i="1762"/>
  <c r="AF22" i="1762"/>
  <c r="Q22" i="1762"/>
  <c r="O22" i="1762"/>
  <c r="AB22" i="1762"/>
  <c r="AF21" i="1762"/>
  <c r="Q21" i="1762"/>
  <c r="P21" i="1762" s="1"/>
  <c r="AC21" i="1762" s="1"/>
  <c r="AF20" i="1762"/>
  <c r="Q20" i="1762"/>
  <c r="P20" i="1762" s="1"/>
  <c r="AC20" i="1762" s="1"/>
  <c r="O20" i="1762"/>
  <c r="AF19" i="1762"/>
  <c r="AB19" i="1762"/>
  <c r="Q19" i="1762"/>
  <c r="P19" i="1762"/>
  <c r="AC19" i="1762" s="1"/>
  <c r="O19" i="1762"/>
  <c r="M19" i="1762"/>
  <c r="K19" i="1762"/>
  <c r="AF17" i="1762"/>
  <c r="Q17" i="1762"/>
  <c r="P17" i="1762" s="1"/>
  <c r="AC17" i="1762" s="1"/>
  <c r="AF16" i="1762"/>
  <c r="AB16" i="1762"/>
  <c r="Q16" i="1762"/>
  <c r="P16" i="1762"/>
  <c r="AC16" i="1762" s="1"/>
  <c r="O16" i="1762"/>
  <c r="M16" i="1762"/>
  <c r="K16" i="1762"/>
  <c r="AF15" i="1762"/>
  <c r="Q15" i="1762"/>
  <c r="P15" i="1762" s="1"/>
  <c r="AC15" i="1762" s="1"/>
  <c r="AF14" i="1762"/>
  <c r="AB14" i="1762"/>
  <c r="Q14" i="1762"/>
  <c r="P14" i="1762" s="1"/>
  <c r="AC14" i="1762" s="1"/>
  <c r="O14" i="1762"/>
  <c r="M14" i="1762"/>
  <c r="AF13" i="1762"/>
  <c r="Q13" i="1762"/>
  <c r="O13" i="1762"/>
  <c r="AB13" i="1762"/>
  <c r="AF12" i="1762"/>
  <c r="AB12" i="1762"/>
  <c r="Q12" i="1762"/>
  <c r="P12" i="1762"/>
  <c r="AC12" i="1762" s="1"/>
  <c r="M12" i="1762"/>
  <c r="O12" i="1762"/>
  <c r="AF11" i="1762"/>
  <c r="Q11" i="1762"/>
  <c r="AF10" i="1762"/>
  <c r="AB10" i="1762"/>
  <c r="Q10" i="1762"/>
  <c r="P10" i="1762" s="1"/>
  <c r="AC10" i="1762" s="1"/>
  <c r="O10" i="1762"/>
  <c r="M10" i="1762"/>
  <c r="AF6" i="1762"/>
  <c r="Q6" i="1762"/>
  <c r="AE18" i="1764" l="1"/>
  <c r="AE16" i="1764"/>
  <c r="AE14" i="1764"/>
  <c r="AE7" i="1764"/>
  <c r="AE9" i="1764"/>
  <c r="AE10" i="1764"/>
  <c r="AE15" i="1764"/>
  <c r="AE6" i="1764"/>
  <c r="AE8" i="1764"/>
  <c r="AE20" i="1764"/>
  <c r="AE17" i="1764"/>
  <c r="AE19" i="1764"/>
  <c r="AE11" i="1764"/>
  <c r="AE21" i="1764"/>
  <c r="AE13" i="1764"/>
  <c r="AE22" i="1764"/>
  <c r="AD18" i="1763"/>
  <c r="AD13" i="1763"/>
  <c r="AD7" i="1763"/>
  <c r="AD10" i="1763"/>
  <c r="M23" i="1763"/>
  <c r="AB23" i="1763"/>
  <c r="P23" i="1763"/>
  <c r="AC23" i="1763"/>
  <c r="P11" i="1762"/>
  <c r="AC11" i="1762" s="1"/>
  <c r="M20" i="1762"/>
  <c r="AB20" i="1762"/>
  <c r="AD20" i="1762" s="1"/>
  <c r="P7" i="1762"/>
  <c r="AC7" i="1762" s="1"/>
  <c r="AB17" i="1762"/>
  <c r="AB7" i="1762"/>
  <c r="P9" i="1762"/>
  <c r="AC9" i="1762" s="1"/>
  <c r="M17" i="1762"/>
  <c r="M7" i="1762"/>
  <c r="K7" i="1762"/>
  <c r="K9" i="1762"/>
  <c r="AB9" i="1762"/>
  <c r="AD9" i="1762" s="1"/>
  <c r="O17" i="1762"/>
  <c r="P18" i="1762"/>
  <c r="AC18" i="1762" s="1"/>
  <c r="AB18" i="1762"/>
  <c r="M18" i="1762"/>
  <c r="O18" i="1762"/>
  <c r="AD8" i="1762"/>
  <c r="Q25" i="1762"/>
  <c r="P6" i="1762"/>
  <c r="AC6" i="1762" s="1"/>
  <c r="AD14" i="1762"/>
  <c r="AD19" i="1762"/>
  <c r="AD16" i="1762"/>
  <c r="AD17" i="1762"/>
  <c r="AD23" i="1762"/>
  <c r="AD10" i="1762"/>
  <c r="AD24" i="1762"/>
  <c r="AD12" i="1762"/>
  <c r="L25" i="1762"/>
  <c r="O25" i="1762" s="1"/>
  <c r="M6" i="1762"/>
  <c r="AB6" i="1762"/>
  <c r="M11" i="1762"/>
  <c r="AB11" i="1762"/>
  <c r="P13" i="1762"/>
  <c r="AC13" i="1762" s="1"/>
  <c r="AD13" i="1762" s="1"/>
  <c r="M15" i="1762"/>
  <c r="AB15" i="1762"/>
  <c r="M21" i="1762"/>
  <c r="AB21" i="1762"/>
  <c r="P22" i="1762"/>
  <c r="AC22" i="1762" s="1"/>
  <c r="AD22" i="1762" s="1"/>
  <c r="O11" i="1762"/>
  <c r="O21" i="1762"/>
  <c r="O6" i="1762"/>
  <c r="O15" i="1762"/>
  <c r="M13" i="1762"/>
  <c r="M22" i="1762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3" i="1761"/>
  <c r="L21" i="1761"/>
  <c r="K21" i="1761"/>
  <c r="L20" i="1761"/>
  <c r="AF19" i="1761"/>
  <c r="AC19" i="1761"/>
  <c r="Q19" i="1761"/>
  <c r="P19" i="1761"/>
  <c r="O19" i="1761"/>
  <c r="L19" i="1761"/>
  <c r="AB19" i="1761" s="1"/>
  <c r="K19" i="1761"/>
  <c r="K20" i="1761"/>
  <c r="L18" i="1761"/>
  <c r="K18" i="1761"/>
  <c r="L17" i="1761"/>
  <c r="K17" i="1761" s="1"/>
  <c r="AF17" i="1761"/>
  <c r="AB17" i="1761"/>
  <c r="Q17" i="1761"/>
  <c r="P17" i="1761" s="1"/>
  <c r="AC17" i="1761" s="1"/>
  <c r="O17" i="1761"/>
  <c r="M17" i="1761"/>
  <c r="L15" i="1761"/>
  <c r="L13" i="1761"/>
  <c r="L12" i="1761"/>
  <c r="AB12" i="1761" s="1"/>
  <c r="K12" i="1761"/>
  <c r="AF12" i="1761"/>
  <c r="Q12" i="1761"/>
  <c r="O12" i="1761"/>
  <c r="L11" i="1761"/>
  <c r="K11" i="1761"/>
  <c r="L10" i="1761"/>
  <c r="L9" i="1761"/>
  <c r="L8" i="1761"/>
  <c r="L6" i="1761"/>
  <c r="K6" i="1761" s="1"/>
  <c r="K22" i="1761"/>
  <c r="K15" i="1761"/>
  <c r="K13" i="1761"/>
  <c r="K10" i="1761"/>
  <c r="K9" i="1761"/>
  <c r="A79" i="1761"/>
  <c r="A80" i="1761" s="1"/>
  <c r="A81" i="1761" s="1"/>
  <c r="A82" i="1761" s="1"/>
  <c r="A83" i="1761" s="1"/>
  <c r="A84" i="1761" s="1"/>
  <c r="AF63" i="1761"/>
  <c r="AF62" i="1761"/>
  <c r="AF65" i="1761" s="1"/>
  <c r="AA24" i="1761"/>
  <c r="Z24" i="1761"/>
  <c r="Y24" i="1761"/>
  <c r="X24" i="1761"/>
  <c r="W24" i="1761"/>
  <c r="V24" i="1761"/>
  <c r="U24" i="1761"/>
  <c r="T24" i="1761"/>
  <c r="S24" i="1761"/>
  <c r="R24" i="1761"/>
  <c r="N24" i="1761"/>
  <c r="J24" i="1761"/>
  <c r="I24" i="1761"/>
  <c r="AF23" i="1761"/>
  <c r="Q23" i="1761"/>
  <c r="AF22" i="1761"/>
  <c r="Q22" i="1761"/>
  <c r="P22" i="1761"/>
  <c r="AC22" i="1761" s="1"/>
  <c r="M22" i="1761"/>
  <c r="O22" i="1761"/>
  <c r="AF21" i="1761"/>
  <c r="Q21" i="1761"/>
  <c r="O21" i="1761"/>
  <c r="AB21" i="1761"/>
  <c r="AF20" i="1761"/>
  <c r="AB20" i="1761"/>
  <c r="Q20" i="1761"/>
  <c r="P20" i="1761"/>
  <c r="AC20" i="1761" s="1"/>
  <c r="O20" i="1761"/>
  <c r="M20" i="1761"/>
  <c r="AF18" i="1761"/>
  <c r="AB18" i="1761"/>
  <c r="Q18" i="1761"/>
  <c r="P18" i="1761" s="1"/>
  <c r="AC18" i="1761" s="1"/>
  <c r="O18" i="1761"/>
  <c r="M18" i="1761"/>
  <c r="AF16" i="1761"/>
  <c r="AB16" i="1761"/>
  <c r="Q16" i="1761"/>
  <c r="P16" i="1761"/>
  <c r="AC16" i="1761" s="1"/>
  <c r="O16" i="1761"/>
  <c r="M16" i="1761"/>
  <c r="K16" i="1761"/>
  <c r="AF15" i="1761"/>
  <c r="Q15" i="1761"/>
  <c r="P15" i="1761" s="1"/>
  <c r="AC15" i="1761" s="1"/>
  <c r="O15" i="1761"/>
  <c r="AF14" i="1761"/>
  <c r="AB14" i="1761"/>
  <c r="Q14" i="1761"/>
  <c r="P14" i="1761"/>
  <c r="AC14" i="1761" s="1"/>
  <c r="O14" i="1761"/>
  <c r="M14" i="1761"/>
  <c r="K14" i="1761"/>
  <c r="AF13" i="1761"/>
  <c r="Q13" i="1761"/>
  <c r="P13" i="1761"/>
  <c r="AC13" i="1761" s="1"/>
  <c r="AF11" i="1761"/>
  <c r="AB11" i="1761"/>
  <c r="Q11" i="1761"/>
  <c r="P11" i="1761" s="1"/>
  <c r="AC11" i="1761" s="1"/>
  <c r="O11" i="1761"/>
  <c r="M11" i="1761"/>
  <c r="AF10" i="1761"/>
  <c r="Q10" i="1761"/>
  <c r="P10" i="1761"/>
  <c r="AC10" i="1761" s="1"/>
  <c r="AF9" i="1761"/>
  <c r="Q9" i="1761"/>
  <c r="P9" i="1761" s="1"/>
  <c r="AC9" i="1761" s="1"/>
  <c r="O9" i="1761"/>
  <c r="AF8" i="1761"/>
  <c r="AB8" i="1761"/>
  <c r="Q8" i="1761"/>
  <c r="P8" i="1761" s="1"/>
  <c r="AC8" i="1761" s="1"/>
  <c r="O8" i="1761"/>
  <c r="M8" i="1761"/>
  <c r="K8" i="1761"/>
  <c r="AF7" i="1761"/>
  <c r="AB7" i="1761"/>
  <c r="Q7" i="1761"/>
  <c r="P7" i="1761"/>
  <c r="AC7" i="1761" s="1"/>
  <c r="AD7" i="1761" s="1"/>
  <c r="O7" i="1761"/>
  <c r="M7" i="1761"/>
  <c r="K7" i="1761"/>
  <c r="AF6" i="1761"/>
  <c r="Q6" i="1761"/>
  <c r="O6" i="1761"/>
  <c r="M6" i="1761"/>
  <c r="AD23" i="1763" l="1"/>
  <c r="AE22" i="1763" s="1"/>
  <c r="AD7" i="1762"/>
  <c r="AD18" i="1762"/>
  <c r="AD15" i="1762"/>
  <c r="AD21" i="1762"/>
  <c r="AD11" i="1762"/>
  <c r="M25" i="1762"/>
  <c r="K25" i="1762"/>
  <c r="AD6" i="1762"/>
  <c r="AC25" i="1762"/>
  <c r="AB25" i="1762"/>
  <c r="P25" i="1762"/>
  <c r="P23" i="1761"/>
  <c r="AC23" i="1761" s="1"/>
  <c r="AD23" i="1761" s="1"/>
  <c r="M23" i="1761"/>
  <c r="AB23" i="1761"/>
  <c r="O23" i="1761"/>
  <c r="K23" i="1761"/>
  <c r="K24" i="1761" s="1"/>
  <c r="AD19" i="1761"/>
  <c r="M19" i="1761"/>
  <c r="AD17" i="1761"/>
  <c r="AD11" i="1761"/>
  <c r="AD20" i="1761"/>
  <c r="P12" i="1761"/>
  <c r="AC12" i="1761" s="1"/>
  <c r="AD12" i="1761" s="1"/>
  <c r="M12" i="1761"/>
  <c r="Q24" i="1761"/>
  <c r="AD8" i="1761"/>
  <c r="P6" i="1761"/>
  <c r="AC6" i="1761" s="1"/>
  <c r="AB6" i="1761"/>
  <c r="AD14" i="1761"/>
  <c r="AD18" i="1761"/>
  <c r="AD16" i="1761"/>
  <c r="L24" i="1761"/>
  <c r="O24" i="1761" s="1"/>
  <c r="M10" i="1761"/>
  <c r="AB10" i="1761"/>
  <c r="M13" i="1761"/>
  <c r="AB13" i="1761"/>
  <c r="P21" i="1761"/>
  <c r="AC21" i="1761" s="1"/>
  <c r="AD21" i="1761" s="1"/>
  <c r="AB9" i="1761"/>
  <c r="O10" i="1761"/>
  <c r="O13" i="1761"/>
  <c r="AD13" i="1761" s="1"/>
  <c r="M15" i="1761"/>
  <c r="AB15" i="1761"/>
  <c r="AD15" i="1761" s="1"/>
  <c r="AB22" i="1761"/>
  <c r="AD22" i="1761" s="1"/>
  <c r="M9" i="1761"/>
  <c r="M21" i="1761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0" i="1760"/>
  <c r="L19" i="1760"/>
  <c r="O19" i="1760" s="1"/>
  <c r="K18" i="1760"/>
  <c r="L15" i="1760"/>
  <c r="K15" i="1760" s="1"/>
  <c r="L13" i="1760"/>
  <c r="K13" i="1760" s="1"/>
  <c r="L12" i="1760"/>
  <c r="AB12" i="1760" s="1"/>
  <c r="K12" i="1760"/>
  <c r="L10" i="1760"/>
  <c r="K10" i="1760" s="1"/>
  <c r="L9" i="1760"/>
  <c r="K9" i="1760" s="1"/>
  <c r="K21" i="1760"/>
  <c r="K20" i="1760"/>
  <c r="K19" i="1760"/>
  <c r="K17" i="1760"/>
  <c r="K11" i="1760"/>
  <c r="K8" i="1760"/>
  <c r="A79" i="1760"/>
  <c r="A80" i="1760" s="1"/>
  <c r="A81" i="1760" s="1"/>
  <c r="A82" i="1760" s="1"/>
  <c r="A78" i="1760"/>
  <c r="A77" i="1760"/>
  <c r="AF61" i="1760"/>
  <c r="AF60" i="1760"/>
  <c r="AF63" i="1760" s="1"/>
  <c r="AA22" i="1760"/>
  <c r="Z22" i="1760"/>
  <c r="Y22" i="1760"/>
  <c r="X22" i="1760"/>
  <c r="W22" i="1760"/>
  <c r="V22" i="1760"/>
  <c r="U22" i="1760"/>
  <c r="T22" i="1760"/>
  <c r="S22" i="1760"/>
  <c r="R22" i="1760"/>
  <c r="N22" i="1760"/>
  <c r="J22" i="1760"/>
  <c r="I22" i="1760"/>
  <c r="AF21" i="1760"/>
  <c r="AB21" i="1760"/>
  <c r="Q21" i="1760"/>
  <c r="M21" i="1760"/>
  <c r="P21" i="1760"/>
  <c r="AC21" i="1760" s="1"/>
  <c r="AF20" i="1760"/>
  <c r="Q20" i="1760"/>
  <c r="P20" i="1760"/>
  <c r="AC20" i="1760" s="1"/>
  <c r="AF19" i="1760"/>
  <c r="Q19" i="1760"/>
  <c r="P19" i="1760"/>
  <c r="AC19" i="1760" s="1"/>
  <c r="AF18" i="1760"/>
  <c r="Q18" i="1760"/>
  <c r="P18" i="1760"/>
  <c r="AC18" i="1760" s="1"/>
  <c r="O18" i="1760"/>
  <c r="M18" i="1760"/>
  <c r="AB18" i="1760"/>
  <c r="AF17" i="1760"/>
  <c r="AB17" i="1760"/>
  <c r="Q17" i="1760"/>
  <c r="M17" i="1760"/>
  <c r="P17" i="1760"/>
  <c r="AC17" i="1760" s="1"/>
  <c r="AF16" i="1760"/>
  <c r="AB16" i="1760"/>
  <c r="Q16" i="1760"/>
  <c r="P16" i="1760"/>
  <c r="AC16" i="1760" s="1"/>
  <c r="O16" i="1760"/>
  <c r="M16" i="1760"/>
  <c r="K16" i="1760"/>
  <c r="AF15" i="1760"/>
  <c r="Q15" i="1760"/>
  <c r="O15" i="1760"/>
  <c r="AB15" i="1760"/>
  <c r="AF14" i="1760"/>
  <c r="AB14" i="1760"/>
  <c r="Q14" i="1760"/>
  <c r="P14" i="1760"/>
  <c r="AC14" i="1760" s="1"/>
  <c r="O14" i="1760"/>
  <c r="M14" i="1760"/>
  <c r="K14" i="1760"/>
  <c r="AF13" i="1760"/>
  <c r="Q13" i="1760"/>
  <c r="P13" i="1760"/>
  <c r="AC13" i="1760" s="1"/>
  <c r="O13" i="1760"/>
  <c r="AF12" i="1760"/>
  <c r="Q12" i="1760"/>
  <c r="O12" i="1760"/>
  <c r="AF11" i="1760"/>
  <c r="AB11" i="1760"/>
  <c r="Q11" i="1760"/>
  <c r="P11" i="1760"/>
  <c r="AC11" i="1760" s="1"/>
  <c r="M11" i="1760"/>
  <c r="O11" i="1760"/>
  <c r="AF10" i="1760"/>
  <c r="Q10" i="1760"/>
  <c r="AF9" i="1760"/>
  <c r="AB9" i="1760"/>
  <c r="Q9" i="1760"/>
  <c r="O9" i="1760"/>
  <c r="M9" i="1760"/>
  <c r="AF8" i="1760"/>
  <c r="Q8" i="1760"/>
  <c r="O8" i="1760"/>
  <c r="AB8" i="1760"/>
  <c r="AF7" i="1760"/>
  <c r="AB7" i="1760"/>
  <c r="Q7" i="1760"/>
  <c r="P7" i="1760"/>
  <c r="AC7" i="1760" s="1"/>
  <c r="AD7" i="1760" s="1"/>
  <c r="O7" i="1760"/>
  <c r="M7" i="1760"/>
  <c r="K7" i="1760"/>
  <c r="AF6" i="1760"/>
  <c r="AB6" i="1760"/>
  <c r="Q6" i="1760"/>
  <c r="P6" i="1760"/>
  <c r="AC6" i="1760" s="1"/>
  <c r="O6" i="1760"/>
  <c r="M6" i="1760"/>
  <c r="K6" i="1760"/>
  <c r="AE15" i="1763" l="1"/>
  <c r="AE16" i="1763"/>
  <c r="AE7" i="1763"/>
  <c r="AE6" i="1763"/>
  <c r="AE17" i="1763"/>
  <c r="AE20" i="1763"/>
  <c r="AE19" i="1763"/>
  <c r="AE18" i="1763"/>
  <c r="AE12" i="1763"/>
  <c r="AE8" i="1763"/>
  <c r="AE14" i="1763"/>
  <c r="AE21" i="1763"/>
  <c r="AE11" i="1763"/>
  <c r="AE9" i="1763"/>
  <c r="AE13" i="1763"/>
  <c r="AE10" i="1763"/>
  <c r="AD25" i="1762"/>
  <c r="AD6" i="1761"/>
  <c r="AD10" i="1761"/>
  <c r="M24" i="1761"/>
  <c r="AB24" i="1761"/>
  <c r="AD9" i="1761"/>
  <c r="P24" i="1761"/>
  <c r="AC24" i="1761"/>
  <c r="M13" i="1760"/>
  <c r="AB13" i="1760"/>
  <c r="AD13" i="1760" s="1"/>
  <c r="Q22" i="1760"/>
  <c r="P10" i="1760"/>
  <c r="AC10" i="1760" s="1"/>
  <c r="P9" i="1760"/>
  <c r="AC9" i="1760" s="1"/>
  <c r="AD9" i="1760" s="1"/>
  <c r="AD16" i="1760"/>
  <c r="AD14" i="1760"/>
  <c r="AD17" i="1760"/>
  <c r="AD11" i="1760"/>
  <c r="AD6" i="1760"/>
  <c r="AD18" i="1760"/>
  <c r="L22" i="1760"/>
  <c r="O22" i="1760" s="1"/>
  <c r="K22" i="1760"/>
  <c r="P8" i="1760"/>
  <c r="AC8" i="1760" s="1"/>
  <c r="AD8" i="1760" s="1"/>
  <c r="M10" i="1760"/>
  <c r="AB10" i="1760"/>
  <c r="P12" i="1760"/>
  <c r="AC12" i="1760" s="1"/>
  <c r="AD12" i="1760" s="1"/>
  <c r="P15" i="1760"/>
  <c r="AC15" i="1760" s="1"/>
  <c r="AD15" i="1760" s="1"/>
  <c r="O17" i="1760"/>
  <c r="M20" i="1760"/>
  <c r="AB20" i="1760"/>
  <c r="O21" i="1760"/>
  <c r="AD21" i="1760" s="1"/>
  <c r="O10" i="1760"/>
  <c r="M19" i="1760"/>
  <c r="AB19" i="1760"/>
  <c r="AD19" i="1760" s="1"/>
  <c r="O20" i="1760"/>
  <c r="M8" i="1760"/>
  <c r="M12" i="1760"/>
  <c r="M15" i="1760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1" i="1759"/>
  <c r="L20" i="1759"/>
  <c r="L19" i="1759"/>
  <c r="L18" i="1759"/>
  <c r="K18" i="1759" s="1"/>
  <c r="L17" i="1759"/>
  <c r="L15" i="1759"/>
  <c r="L13" i="1759"/>
  <c r="L12" i="1759"/>
  <c r="K12" i="1759"/>
  <c r="L11" i="1759"/>
  <c r="K11" i="1759" s="1"/>
  <c r="L10" i="1759"/>
  <c r="L9" i="1759"/>
  <c r="L8" i="1759"/>
  <c r="AE9" i="1762" l="1"/>
  <c r="AE18" i="1762"/>
  <c r="AE14" i="1762"/>
  <c r="AE16" i="1762"/>
  <c r="AE11" i="1762"/>
  <c r="AE21" i="1762"/>
  <c r="AE24" i="1762"/>
  <c r="AE23" i="1762"/>
  <c r="AE20" i="1762"/>
  <c r="AE22" i="1762"/>
  <c r="AE12" i="1762"/>
  <c r="AE7" i="1762"/>
  <c r="AE17" i="1762"/>
  <c r="AE15" i="1762"/>
  <c r="AE10" i="1762"/>
  <c r="AE13" i="1762"/>
  <c r="AE6" i="1762"/>
  <c r="AE19" i="1762"/>
  <c r="AE8" i="1762"/>
  <c r="AD24" i="1761"/>
  <c r="AB22" i="1760"/>
  <c r="M22" i="1760"/>
  <c r="AD20" i="1760"/>
  <c r="AC22" i="1760"/>
  <c r="AD10" i="1760"/>
  <c r="P22" i="1760"/>
  <c r="K21" i="1759"/>
  <c r="K20" i="1759"/>
  <c r="K19" i="1759"/>
  <c r="K17" i="1759"/>
  <c r="K15" i="1759"/>
  <c r="K13" i="1759"/>
  <c r="K10" i="1759"/>
  <c r="K8" i="1759"/>
  <c r="A77" i="1759"/>
  <c r="A78" i="1759" s="1"/>
  <c r="A79" i="1759" s="1"/>
  <c r="A80" i="1759" s="1"/>
  <c r="A81" i="1759" s="1"/>
  <c r="A82" i="1759" s="1"/>
  <c r="AF63" i="1759"/>
  <c r="AF61" i="1759"/>
  <c r="AF60" i="1759"/>
  <c r="AA22" i="1759"/>
  <c r="Z22" i="1759"/>
  <c r="Y22" i="1759"/>
  <c r="X22" i="1759"/>
  <c r="W22" i="1759"/>
  <c r="V22" i="1759"/>
  <c r="U22" i="1759"/>
  <c r="T22" i="1759"/>
  <c r="S22" i="1759"/>
  <c r="R22" i="1759"/>
  <c r="N22" i="1759"/>
  <c r="J22" i="1759"/>
  <c r="I22" i="1759"/>
  <c r="AF21" i="1759"/>
  <c r="Q21" i="1759"/>
  <c r="O21" i="1759"/>
  <c r="P21" i="1759"/>
  <c r="AC21" i="1759" s="1"/>
  <c r="AF20" i="1759"/>
  <c r="AB20" i="1759"/>
  <c r="Q20" i="1759"/>
  <c r="M20" i="1759"/>
  <c r="P20" i="1759"/>
  <c r="AC20" i="1759" s="1"/>
  <c r="AF19" i="1759"/>
  <c r="Q19" i="1759"/>
  <c r="O19" i="1759"/>
  <c r="AF18" i="1759"/>
  <c r="Q18" i="1759"/>
  <c r="P18" i="1759"/>
  <c r="AC18" i="1759" s="1"/>
  <c r="AB18" i="1759"/>
  <c r="AF17" i="1759"/>
  <c r="Q17" i="1759"/>
  <c r="P17" i="1759" s="1"/>
  <c r="AC17" i="1759" s="1"/>
  <c r="O17" i="1759"/>
  <c r="AF16" i="1759"/>
  <c r="AB16" i="1759"/>
  <c r="Q16" i="1759"/>
  <c r="P16" i="1759"/>
  <c r="AC16" i="1759" s="1"/>
  <c r="O16" i="1759"/>
  <c r="M16" i="1759"/>
  <c r="K16" i="1759"/>
  <c r="AF15" i="1759"/>
  <c r="AB15" i="1759"/>
  <c r="Q15" i="1759"/>
  <c r="P15" i="1759" s="1"/>
  <c r="AC15" i="1759" s="1"/>
  <c r="M15" i="1759"/>
  <c r="AF14" i="1759"/>
  <c r="AB14" i="1759"/>
  <c r="Q14" i="1759"/>
  <c r="P14" i="1759"/>
  <c r="AC14" i="1759" s="1"/>
  <c r="O14" i="1759"/>
  <c r="M14" i="1759"/>
  <c r="K14" i="1759"/>
  <c r="AF13" i="1759"/>
  <c r="AB13" i="1759"/>
  <c r="Q13" i="1759"/>
  <c r="O13" i="1759"/>
  <c r="M13" i="1759"/>
  <c r="P13" i="1759"/>
  <c r="AC13" i="1759" s="1"/>
  <c r="AD13" i="1759" s="1"/>
  <c r="AF12" i="1759"/>
  <c r="Q12" i="1759"/>
  <c r="AB12" i="1759"/>
  <c r="AF11" i="1759"/>
  <c r="AB11" i="1759"/>
  <c r="Q11" i="1759"/>
  <c r="P11" i="1759" s="1"/>
  <c r="AC11" i="1759" s="1"/>
  <c r="O11" i="1759"/>
  <c r="M11" i="1759"/>
  <c r="AF10" i="1759"/>
  <c r="AB10" i="1759"/>
  <c r="Q10" i="1759"/>
  <c r="O10" i="1759"/>
  <c r="M10" i="1759"/>
  <c r="P10" i="1759"/>
  <c r="AC10" i="1759" s="1"/>
  <c r="AF9" i="1759"/>
  <c r="AB9" i="1759"/>
  <c r="Q9" i="1759"/>
  <c r="P9" i="1759"/>
  <c r="AC9" i="1759" s="1"/>
  <c r="O9" i="1759"/>
  <c r="M9" i="1759"/>
  <c r="K9" i="1759"/>
  <c r="AF8" i="1759"/>
  <c r="AB8" i="1759"/>
  <c r="Q8" i="1759"/>
  <c r="P8" i="1759"/>
  <c r="AC8" i="1759" s="1"/>
  <c r="O8" i="1759"/>
  <c r="M8" i="1759"/>
  <c r="L22" i="1759"/>
  <c r="O22" i="1759" s="1"/>
  <c r="AF7" i="1759"/>
  <c r="AC7" i="1759"/>
  <c r="AD7" i="1759" s="1"/>
  <c r="AB7" i="1759"/>
  <c r="Q7" i="1759"/>
  <c r="P7" i="1759"/>
  <c r="O7" i="1759"/>
  <c r="M7" i="1759"/>
  <c r="K7" i="1759"/>
  <c r="AF6" i="1759"/>
  <c r="AB6" i="1759"/>
  <c r="Q6" i="1759"/>
  <c r="P6" i="1759"/>
  <c r="AC6" i="1759" s="1"/>
  <c r="O6" i="1759"/>
  <c r="M6" i="1759"/>
  <c r="K6" i="1759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1758"/>
  <c r="P21" i="1758" s="1"/>
  <c r="AC21" i="1758" s="1"/>
  <c r="L20" i="1758"/>
  <c r="L19" i="1758"/>
  <c r="K19" i="1758"/>
  <c r="L18" i="1758"/>
  <c r="K18" i="1758"/>
  <c r="L17" i="1758"/>
  <c r="K17" i="1758" s="1"/>
  <c r="L15" i="1758"/>
  <c r="L13" i="1758"/>
  <c r="K13" i="1758" s="1"/>
  <c r="L12" i="1758"/>
  <c r="AB12" i="1758" s="1"/>
  <c r="K12" i="1758"/>
  <c r="L10" i="1758"/>
  <c r="L8" i="1758"/>
  <c r="P8" i="1758" s="1"/>
  <c r="AC8" i="1758" s="1"/>
  <c r="K21" i="1758"/>
  <c r="K20" i="1758"/>
  <c r="K15" i="1758"/>
  <c r="K11" i="1758"/>
  <c r="K10" i="1758"/>
  <c r="K9" i="1758"/>
  <c r="K7" i="1758"/>
  <c r="A77" i="1758"/>
  <c r="A78" i="1758" s="1"/>
  <c r="A79" i="1758" s="1"/>
  <c r="A80" i="1758" s="1"/>
  <c r="A81" i="1758" s="1"/>
  <c r="A82" i="1758" s="1"/>
  <c r="AF61" i="1758"/>
  <c r="AF60" i="1758"/>
  <c r="AF63" i="1758" s="1"/>
  <c r="AA22" i="1758"/>
  <c r="Z22" i="1758"/>
  <c r="Y22" i="1758"/>
  <c r="X22" i="1758"/>
  <c r="W22" i="1758"/>
  <c r="V22" i="1758"/>
  <c r="U22" i="1758"/>
  <c r="T22" i="1758"/>
  <c r="S22" i="1758"/>
  <c r="R22" i="1758"/>
  <c r="N22" i="1758"/>
  <c r="J22" i="1758"/>
  <c r="I22" i="1758"/>
  <c r="AF21" i="1758"/>
  <c r="Q21" i="1758"/>
  <c r="AF20" i="1758"/>
  <c r="Q20" i="1758"/>
  <c r="P20" i="1758"/>
  <c r="AC20" i="1758" s="1"/>
  <c r="O20" i="1758"/>
  <c r="AB20" i="1758"/>
  <c r="AF19" i="1758"/>
  <c r="AB19" i="1758"/>
  <c r="Q19" i="1758"/>
  <c r="O19" i="1758"/>
  <c r="M19" i="1758"/>
  <c r="AF18" i="1758"/>
  <c r="AB18" i="1758"/>
  <c r="Q18" i="1758"/>
  <c r="P18" i="1758" s="1"/>
  <c r="AC18" i="1758" s="1"/>
  <c r="O18" i="1758"/>
  <c r="M18" i="1758"/>
  <c r="AF17" i="1758"/>
  <c r="Q17" i="1758"/>
  <c r="M17" i="1758"/>
  <c r="AF16" i="1758"/>
  <c r="AB16" i="1758"/>
  <c r="Q16" i="1758"/>
  <c r="P16" i="1758"/>
  <c r="AC16" i="1758" s="1"/>
  <c r="O16" i="1758"/>
  <c r="M16" i="1758"/>
  <c r="K16" i="1758"/>
  <c r="AF15" i="1758"/>
  <c r="Q15" i="1758"/>
  <c r="P15" i="1758" s="1"/>
  <c r="AC15" i="1758" s="1"/>
  <c r="O15" i="1758"/>
  <c r="AB15" i="1758"/>
  <c r="AF14" i="1758"/>
  <c r="AB14" i="1758"/>
  <c r="Q14" i="1758"/>
  <c r="P14" i="1758"/>
  <c r="AC14" i="1758" s="1"/>
  <c r="AD14" i="1758" s="1"/>
  <c r="O14" i="1758"/>
  <c r="M14" i="1758"/>
  <c r="K14" i="1758"/>
  <c r="AF13" i="1758"/>
  <c r="Q13" i="1758"/>
  <c r="P13" i="1758"/>
  <c r="AC13" i="1758" s="1"/>
  <c r="AF12" i="1758"/>
  <c r="Q12" i="1758"/>
  <c r="P12" i="1758" s="1"/>
  <c r="AC12" i="1758" s="1"/>
  <c r="O12" i="1758"/>
  <c r="AF11" i="1758"/>
  <c r="AB11" i="1758"/>
  <c r="Q11" i="1758"/>
  <c r="O11" i="1758"/>
  <c r="M11" i="1758"/>
  <c r="P11" i="1758"/>
  <c r="AC11" i="1758" s="1"/>
  <c r="AD11" i="1758" s="1"/>
  <c r="AF10" i="1758"/>
  <c r="Q10" i="1758"/>
  <c r="P10" i="1758"/>
  <c r="AC10" i="1758" s="1"/>
  <c r="AF9" i="1758"/>
  <c r="Q9" i="1758"/>
  <c r="P9" i="1758"/>
  <c r="AC9" i="1758" s="1"/>
  <c r="O9" i="1758"/>
  <c r="AF8" i="1758"/>
  <c r="Q8" i="1758"/>
  <c r="AB8" i="1758"/>
  <c r="AF7" i="1758"/>
  <c r="AB7" i="1758"/>
  <c r="Q7" i="1758"/>
  <c r="O7" i="1758"/>
  <c r="M7" i="1758"/>
  <c r="AF6" i="1758"/>
  <c r="AB6" i="1758"/>
  <c r="Q6" i="1758"/>
  <c r="P6" i="1758"/>
  <c r="O6" i="1758"/>
  <c r="M6" i="1758"/>
  <c r="K6" i="1758"/>
  <c r="AE17" i="1761" l="1"/>
  <c r="AE19" i="1761"/>
  <c r="AE23" i="1761"/>
  <c r="AE12" i="1761"/>
  <c r="AE13" i="1761"/>
  <c r="AE18" i="1761"/>
  <c r="AE11" i="1761"/>
  <c r="AE10" i="1761"/>
  <c r="AE9" i="1761"/>
  <c r="AE22" i="1761"/>
  <c r="AE14" i="1761"/>
  <c r="AE16" i="1761"/>
  <c r="AE15" i="1761"/>
  <c r="AE8" i="1761"/>
  <c r="AE7" i="1761"/>
  <c r="AE6" i="1761"/>
  <c r="AE21" i="1761"/>
  <c r="AE20" i="1761"/>
  <c r="AD22" i="1760"/>
  <c r="AE21" i="1760" s="1"/>
  <c r="AD10" i="1759"/>
  <c r="Q22" i="1759"/>
  <c r="AD9" i="1759"/>
  <c r="AD8" i="1759"/>
  <c r="AD11" i="1759"/>
  <c r="AD14" i="1759"/>
  <c r="AD16" i="1759"/>
  <c r="AD6" i="1759"/>
  <c r="K22" i="1759"/>
  <c r="O12" i="1759"/>
  <c r="O15" i="1759"/>
  <c r="AD15" i="1759" s="1"/>
  <c r="M17" i="1759"/>
  <c r="AB17" i="1759"/>
  <c r="AD17" i="1759" s="1"/>
  <c r="O18" i="1759"/>
  <c r="AD18" i="1759" s="1"/>
  <c r="P19" i="1759"/>
  <c r="AC19" i="1759" s="1"/>
  <c r="M21" i="1759"/>
  <c r="AB21" i="1759"/>
  <c r="AD21" i="1759" s="1"/>
  <c r="P12" i="1759"/>
  <c r="AC12" i="1759" s="1"/>
  <c r="AD12" i="1759" s="1"/>
  <c r="M19" i="1759"/>
  <c r="AB19" i="1759"/>
  <c r="O20" i="1759"/>
  <c r="AD20" i="1759" s="1"/>
  <c r="M12" i="1759"/>
  <c r="M18" i="1759"/>
  <c r="O21" i="1758"/>
  <c r="L22" i="1758"/>
  <c r="O22" i="1758" s="1"/>
  <c r="P19" i="1758"/>
  <c r="AC19" i="1758" s="1"/>
  <c r="AD19" i="1758" s="1"/>
  <c r="AB17" i="1758"/>
  <c r="O17" i="1758"/>
  <c r="P17" i="1758"/>
  <c r="AC17" i="1758" s="1"/>
  <c r="O13" i="1758"/>
  <c r="Q22" i="1758"/>
  <c r="O8" i="1758"/>
  <c r="K8" i="1758"/>
  <c r="AD16" i="1758"/>
  <c r="AD18" i="1758"/>
  <c r="AD20" i="1758"/>
  <c r="AD8" i="1758"/>
  <c r="AD12" i="1758"/>
  <c r="AD15" i="1758"/>
  <c r="AB10" i="1758"/>
  <c r="AC6" i="1758"/>
  <c r="K22" i="1758"/>
  <c r="P7" i="1758"/>
  <c r="AC7" i="1758" s="1"/>
  <c r="AD7" i="1758" s="1"/>
  <c r="M9" i="1758"/>
  <c r="AB9" i="1758"/>
  <c r="O10" i="1758"/>
  <c r="M13" i="1758"/>
  <c r="AB13" i="1758"/>
  <c r="AD13" i="1758" s="1"/>
  <c r="M21" i="1758"/>
  <c r="AB21" i="1758"/>
  <c r="AD21" i="1758" s="1"/>
  <c r="M10" i="1758"/>
  <c r="M8" i="1758"/>
  <c r="M12" i="1758"/>
  <c r="M15" i="1758"/>
  <c r="M20" i="1758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1757"/>
  <c r="L20" i="1757"/>
  <c r="L19" i="1757"/>
  <c r="K19" i="1757" s="1"/>
  <c r="L15" i="1757"/>
  <c r="K15" i="1757" s="1"/>
  <c r="L13" i="1757"/>
  <c r="O13" i="1757" s="1"/>
  <c r="L12" i="1757"/>
  <c r="L11" i="1757"/>
  <c r="K11" i="1757"/>
  <c r="L10" i="1757"/>
  <c r="O10" i="1757" s="1"/>
  <c r="L9" i="1757"/>
  <c r="M9" i="1757" s="1"/>
  <c r="L8" i="1757"/>
  <c r="L7" i="1757"/>
  <c r="O7" i="1757" s="1"/>
  <c r="K21" i="1757"/>
  <c r="K20" i="1757"/>
  <c r="K18" i="1757"/>
  <c r="K17" i="1757"/>
  <c r="K13" i="1757"/>
  <c r="K12" i="1757"/>
  <c r="K9" i="1757"/>
  <c r="K8" i="1757"/>
  <c r="K6" i="1757"/>
  <c r="A77" i="1757"/>
  <c r="A78" i="1757" s="1"/>
  <c r="A79" i="1757" s="1"/>
  <c r="A80" i="1757" s="1"/>
  <c r="A81" i="1757" s="1"/>
  <c r="A82" i="1757" s="1"/>
  <c r="AF61" i="1757"/>
  <c r="AF60" i="1757"/>
  <c r="AA22" i="1757"/>
  <c r="Z22" i="1757"/>
  <c r="Y22" i="1757"/>
  <c r="X22" i="1757"/>
  <c r="W22" i="1757"/>
  <c r="V22" i="1757"/>
  <c r="U22" i="1757"/>
  <c r="T22" i="1757"/>
  <c r="S22" i="1757"/>
  <c r="R22" i="1757"/>
  <c r="N22" i="1757"/>
  <c r="J22" i="1757"/>
  <c r="I22" i="1757"/>
  <c r="AF21" i="1757"/>
  <c r="AB21" i="1757"/>
  <c r="Q21" i="1757"/>
  <c r="P21" i="1757" s="1"/>
  <c r="AC21" i="1757" s="1"/>
  <c r="M21" i="1757"/>
  <c r="O21" i="1757"/>
  <c r="AF20" i="1757"/>
  <c r="Q20" i="1757"/>
  <c r="P20" i="1757" s="1"/>
  <c r="AC20" i="1757" s="1"/>
  <c r="O20" i="1757"/>
  <c r="AF19" i="1757"/>
  <c r="AB19" i="1757"/>
  <c r="Q19" i="1757"/>
  <c r="P19" i="1757" s="1"/>
  <c r="AC19" i="1757" s="1"/>
  <c r="O19" i="1757"/>
  <c r="M19" i="1757"/>
  <c r="AF18" i="1757"/>
  <c r="Q18" i="1757"/>
  <c r="O18" i="1757"/>
  <c r="P18" i="1757"/>
  <c r="AC18" i="1757" s="1"/>
  <c r="AF17" i="1757"/>
  <c r="AB17" i="1757"/>
  <c r="Q17" i="1757"/>
  <c r="P17" i="1757" s="1"/>
  <c r="AC17" i="1757" s="1"/>
  <c r="M17" i="1757"/>
  <c r="O17" i="1757"/>
  <c r="AF16" i="1757"/>
  <c r="AB16" i="1757"/>
  <c r="Q16" i="1757"/>
  <c r="P16" i="1757"/>
  <c r="AC16" i="1757" s="1"/>
  <c r="O16" i="1757"/>
  <c r="M16" i="1757"/>
  <c r="K16" i="1757"/>
  <c r="AF15" i="1757"/>
  <c r="Q15" i="1757"/>
  <c r="P15" i="1757" s="1"/>
  <c r="AC15" i="1757" s="1"/>
  <c r="O15" i="1757"/>
  <c r="M15" i="1757"/>
  <c r="AF14" i="1757"/>
  <c r="AB14" i="1757"/>
  <c r="Q14" i="1757"/>
  <c r="P14" i="1757"/>
  <c r="AC14" i="1757" s="1"/>
  <c r="O14" i="1757"/>
  <c r="M14" i="1757"/>
  <c r="K14" i="1757"/>
  <c r="AF13" i="1757"/>
  <c r="AB13" i="1757"/>
  <c r="Q13" i="1757"/>
  <c r="P13" i="1757"/>
  <c r="AC13" i="1757" s="1"/>
  <c r="M13" i="1757"/>
  <c r="AF12" i="1757"/>
  <c r="Q12" i="1757"/>
  <c r="P12" i="1757" s="1"/>
  <c r="AC12" i="1757" s="1"/>
  <c r="O12" i="1757"/>
  <c r="AF11" i="1757"/>
  <c r="AB11" i="1757"/>
  <c r="Q11" i="1757"/>
  <c r="P11" i="1757" s="1"/>
  <c r="AC11" i="1757" s="1"/>
  <c r="O11" i="1757"/>
  <c r="M11" i="1757"/>
  <c r="AF10" i="1757"/>
  <c r="Q10" i="1757"/>
  <c r="AF9" i="1757"/>
  <c r="AB9" i="1757"/>
  <c r="Q9" i="1757"/>
  <c r="P9" i="1757" s="1"/>
  <c r="AC9" i="1757" s="1"/>
  <c r="O9" i="1757"/>
  <c r="AF8" i="1757"/>
  <c r="Q8" i="1757"/>
  <c r="AB8" i="1757"/>
  <c r="AF7" i="1757"/>
  <c r="Q7" i="1757"/>
  <c r="P7" i="1757" s="1"/>
  <c r="AC7" i="1757" s="1"/>
  <c r="M7" i="1757"/>
  <c r="AF6" i="1757"/>
  <c r="AB6" i="1757"/>
  <c r="Q6" i="1757"/>
  <c r="P6" i="1757"/>
  <c r="AC6" i="1757" s="1"/>
  <c r="O6" i="1757"/>
  <c r="M6" i="1757"/>
  <c r="AE13" i="1760" l="1"/>
  <c r="AE15" i="1760"/>
  <c r="AE16" i="1760"/>
  <c r="AE11" i="1760"/>
  <c r="AE19" i="1760"/>
  <c r="AE18" i="1760"/>
  <c r="AE6" i="1760"/>
  <c r="AE8" i="1760"/>
  <c r="AE10" i="1760"/>
  <c r="AE17" i="1760"/>
  <c r="AE20" i="1760"/>
  <c r="AE14" i="1760"/>
  <c r="AE9" i="1760"/>
  <c r="AE12" i="1760"/>
  <c r="AE7" i="1760"/>
  <c r="M22" i="1759"/>
  <c r="AD19" i="1759"/>
  <c r="AB22" i="1759"/>
  <c r="AC22" i="1759"/>
  <c r="P22" i="1759"/>
  <c r="AD22" i="1759"/>
  <c r="AD17" i="1758"/>
  <c r="AD10" i="1758"/>
  <c r="AB22" i="1758"/>
  <c r="AD9" i="1758"/>
  <c r="M22" i="1758"/>
  <c r="AC22" i="1758"/>
  <c r="AD6" i="1758"/>
  <c r="P22" i="1758"/>
  <c r="AD21" i="1757"/>
  <c r="K10" i="1757"/>
  <c r="AB7" i="1757"/>
  <c r="AD19" i="1757"/>
  <c r="AF63" i="1757"/>
  <c r="K7" i="1757"/>
  <c r="P10" i="1757"/>
  <c r="AC10" i="1757" s="1"/>
  <c r="L22" i="1757"/>
  <c r="O22" i="1757" s="1"/>
  <c r="AD17" i="1757"/>
  <c r="AB10" i="1757"/>
  <c r="Q22" i="1757"/>
  <c r="AD7" i="1757"/>
  <c r="AD11" i="1757"/>
  <c r="AD14" i="1757"/>
  <c r="AD16" i="1757"/>
  <c r="AD9" i="1757"/>
  <c r="AD13" i="1757"/>
  <c r="AD10" i="1757"/>
  <c r="AD6" i="1757"/>
  <c r="O8" i="1757"/>
  <c r="K22" i="1757"/>
  <c r="P8" i="1757"/>
  <c r="AC8" i="1757" s="1"/>
  <c r="M10" i="1757"/>
  <c r="M12" i="1757"/>
  <c r="AB12" i="1757"/>
  <c r="AD12" i="1757" s="1"/>
  <c r="AB15" i="1757"/>
  <c r="AD15" i="1757" s="1"/>
  <c r="M18" i="1757"/>
  <c r="AB18" i="1757"/>
  <c r="AD18" i="1757" s="1"/>
  <c r="M20" i="1757"/>
  <c r="AB20" i="1757"/>
  <c r="AD20" i="1757" s="1"/>
  <c r="M8" i="1757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AE21" i="1759" l="1"/>
  <c r="AE17" i="1759"/>
  <c r="AE14" i="1759"/>
  <c r="AE11" i="1759"/>
  <c r="AE6" i="1759"/>
  <c r="AE18" i="1759"/>
  <c r="AE15" i="1759"/>
  <c r="AE12" i="1759"/>
  <c r="AE9" i="1759"/>
  <c r="AE19" i="1759"/>
  <c r="AE13" i="1759"/>
  <c r="AE10" i="1759"/>
  <c r="AE7" i="1759"/>
  <c r="AE20" i="1759"/>
  <c r="AE16" i="1759"/>
  <c r="AE8" i="1759"/>
  <c r="AD22" i="1758"/>
  <c r="AE21" i="1758" s="1"/>
  <c r="M22" i="1757"/>
  <c r="AD8" i="1757"/>
  <c r="AD22" i="1757" s="1"/>
  <c r="AB22" i="1757"/>
  <c r="AC22" i="1757"/>
  <c r="P22" i="1757"/>
  <c r="L23" i="1756"/>
  <c r="L22" i="1756"/>
  <c r="L21" i="1756"/>
  <c r="K21" i="1756"/>
  <c r="AF20" i="1756"/>
  <c r="AB20" i="1756"/>
  <c r="Q20" i="1756"/>
  <c r="P20" i="1756" s="1"/>
  <c r="AC20" i="1756" s="1"/>
  <c r="AD20" i="1756" s="1"/>
  <c r="O20" i="1756"/>
  <c r="M20" i="1756"/>
  <c r="K20" i="1756"/>
  <c r="L19" i="1756"/>
  <c r="L18" i="1756"/>
  <c r="K18" i="1756" s="1"/>
  <c r="L16" i="1756"/>
  <c r="L14" i="1756"/>
  <c r="L13" i="1756"/>
  <c r="L12" i="1756"/>
  <c r="K12" i="1756" s="1"/>
  <c r="AF12" i="1756"/>
  <c r="AB12" i="1756"/>
  <c r="Q12" i="1756"/>
  <c r="P12" i="1756" s="1"/>
  <c r="AC12" i="1756" s="1"/>
  <c r="O12" i="1756"/>
  <c r="M12" i="1756"/>
  <c r="L10" i="1756"/>
  <c r="L9" i="1756"/>
  <c r="L8" i="1756"/>
  <c r="L6" i="1756"/>
  <c r="K23" i="1756"/>
  <c r="K22" i="1756"/>
  <c r="K19" i="1756"/>
  <c r="K16" i="1756"/>
  <c r="K14" i="1756"/>
  <c r="K13" i="1756"/>
  <c r="K11" i="1756"/>
  <c r="K10" i="1756"/>
  <c r="K9" i="1756"/>
  <c r="K8" i="1756"/>
  <c r="K6" i="1756"/>
  <c r="A79" i="1756"/>
  <c r="A80" i="1756" s="1"/>
  <c r="A81" i="1756" s="1"/>
  <c r="A82" i="1756" s="1"/>
  <c r="A83" i="1756" s="1"/>
  <c r="A84" i="1756" s="1"/>
  <c r="AF65" i="1756"/>
  <c r="AF63" i="1756"/>
  <c r="AF62" i="1756"/>
  <c r="AA24" i="1756"/>
  <c r="Z24" i="1756"/>
  <c r="Y24" i="1756"/>
  <c r="X24" i="1756"/>
  <c r="W24" i="1756"/>
  <c r="V24" i="1756"/>
  <c r="U24" i="1756"/>
  <c r="T24" i="1756"/>
  <c r="S24" i="1756"/>
  <c r="R24" i="1756"/>
  <c r="N24" i="1756"/>
  <c r="J24" i="1756"/>
  <c r="I24" i="1756"/>
  <c r="AF23" i="1756"/>
  <c r="Q23" i="1756"/>
  <c r="P23" i="1756"/>
  <c r="AC23" i="1756" s="1"/>
  <c r="O23" i="1756"/>
  <c r="AB23" i="1756"/>
  <c r="AF22" i="1756"/>
  <c r="AB22" i="1756"/>
  <c r="Q22" i="1756"/>
  <c r="P22" i="1756" s="1"/>
  <c r="AC22" i="1756" s="1"/>
  <c r="O22" i="1756"/>
  <c r="M22" i="1756"/>
  <c r="AF21" i="1756"/>
  <c r="AB21" i="1756"/>
  <c r="Q21" i="1756"/>
  <c r="P21" i="1756" s="1"/>
  <c r="AC21" i="1756" s="1"/>
  <c r="O21" i="1756"/>
  <c r="M21" i="1756"/>
  <c r="AF19" i="1756"/>
  <c r="Q19" i="1756"/>
  <c r="P19" i="1756" s="1"/>
  <c r="AC19" i="1756" s="1"/>
  <c r="AF18" i="1756"/>
  <c r="Q18" i="1756"/>
  <c r="P18" i="1756"/>
  <c r="AC18" i="1756" s="1"/>
  <c r="O18" i="1756"/>
  <c r="AF17" i="1756"/>
  <c r="AB17" i="1756"/>
  <c r="Q17" i="1756"/>
  <c r="P17" i="1756"/>
  <c r="AC17" i="1756" s="1"/>
  <c r="O17" i="1756"/>
  <c r="M17" i="1756"/>
  <c r="K17" i="1756"/>
  <c r="AF16" i="1756"/>
  <c r="Q16" i="1756"/>
  <c r="P16" i="1756" s="1"/>
  <c r="AC16" i="1756" s="1"/>
  <c r="AF15" i="1756"/>
  <c r="AB15" i="1756"/>
  <c r="Q15" i="1756"/>
  <c r="P15" i="1756"/>
  <c r="AC15" i="1756" s="1"/>
  <c r="O15" i="1756"/>
  <c r="M15" i="1756"/>
  <c r="K15" i="1756"/>
  <c r="AF14" i="1756"/>
  <c r="Q14" i="1756"/>
  <c r="M14" i="1756"/>
  <c r="AF13" i="1756"/>
  <c r="Q13" i="1756"/>
  <c r="P13" i="1756"/>
  <c r="AC13" i="1756" s="1"/>
  <c r="O13" i="1756"/>
  <c r="AF11" i="1756"/>
  <c r="Q11" i="1756"/>
  <c r="P11" i="1756"/>
  <c r="AC11" i="1756" s="1"/>
  <c r="O11" i="1756"/>
  <c r="AB11" i="1756"/>
  <c r="AF10" i="1756"/>
  <c r="AB10" i="1756"/>
  <c r="Q10" i="1756"/>
  <c r="P10" i="1756"/>
  <c r="AC10" i="1756" s="1"/>
  <c r="O10" i="1756"/>
  <c r="M10" i="1756"/>
  <c r="AF9" i="1756"/>
  <c r="Q9" i="1756"/>
  <c r="AB9" i="1756"/>
  <c r="AF8" i="1756"/>
  <c r="Q8" i="1756"/>
  <c r="P8" i="1756"/>
  <c r="AC8" i="1756" s="1"/>
  <c r="O8" i="1756"/>
  <c r="AF7" i="1756"/>
  <c r="AB7" i="1756"/>
  <c r="Q7" i="1756"/>
  <c r="P7" i="1756"/>
  <c r="AC7" i="1756" s="1"/>
  <c r="O7" i="1756"/>
  <c r="M7" i="1756"/>
  <c r="K7" i="1756"/>
  <c r="AF6" i="1756"/>
  <c r="Q6" i="1756"/>
  <c r="AB6" i="1756"/>
  <c r="AE9" i="1758" l="1"/>
  <c r="AE17" i="1758"/>
  <c r="AE18" i="1758"/>
  <c r="AE20" i="1758"/>
  <c r="AE14" i="1758"/>
  <c r="AE19" i="1758"/>
  <c r="AE8" i="1758"/>
  <c r="AE13" i="1758"/>
  <c r="AE10" i="1758"/>
  <c r="AE12" i="1758"/>
  <c r="AE11" i="1758"/>
  <c r="AE16" i="1758"/>
  <c r="AE15" i="1758"/>
  <c r="AE7" i="1758"/>
  <c r="AE6" i="1758"/>
  <c r="AE21" i="1757"/>
  <c r="AE13" i="1757"/>
  <c r="AE7" i="1757"/>
  <c r="AE19" i="1757"/>
  <c r="AE16" i="1757"/>
  <c r="AE11" i="1757"/>
  <c r="AE17" i="1757"/>
  <c r="AE14" i="1757"/>
  <c r="AE9" i="1757"/>
  <c r="AE6" i="1757"/>
  <c r="AE8" i="1757"/>
  <c r="AE20" i="1757"/>
  <c r="AE18" i="1757"/>
  <c r="AE15" i="1757"/>
  <c r="AE12" i="1757"/>
  <c r="AE10" i="1757"/>
  <c r="AD12" i="1756"/>
  <c r="Q24" i="1756"/>
  <c r="AD22" i="1756"/>
  <c r="AD7" i="1756"/>
  <c r="AD10" i="1756"/>
  <c r="AD15" i="1756"/>
  <c r="AD17" i="1756"/>
  <c r="AD21" i="1756"/>
  <c r="AD11" i="1756"/>
  <c r="AD23" i="1756"/>
  <c r="AB14" i="1756"/>
  <c r="AB8" i="1756"/>
  <c r="AD8" i="1756" s="1"/>
  <c r="AB13" i="1756"/>
  <c r="AD13" i="1756" s="1"/>
  <c r="O14" i="1756"/>
  <c r="M16" i="1756"/>
  <c r="AB16" i="1756"/>
  <c r="M19" i="1756"/>
  <c r="AB19" i="1756"/>
  <c r="M23" i="1756"/>
  <c r="L24" i="1756"/>
  <c r="O24" i="1756" s="1"/>
  <c r="M6" i="1756"/>
  <c r="M9" i="1756"/>
  <c r="O6" i="1756"/>
  <c r="M8" i="1756"/>
  <c r="O9" i="1756"/>
  <c r="M13" i="1756"/>
  <c r="K24" i="1756"/>
  <c r="P6" i="1756"/>
  <c r="P9" i="1756"/>
  <c r="AC9" i="1756" s="1"/>
  <c r="AD9" i="1756" s="1"/>
  <c r="M11" i="1756"/>
  <c r="P14" i="1756"/>
  <c r="AC14" i="1756" s="1"/>
  <c r="O16" i="1756"/>
  <c r="M18" i="1756"/>
  <c r="AB18" i="1756"/>
  <c r="AD18" i="1756" s="1"/>
  <c r="O19" i="175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V22" i="1755"/>
  <c r="L21" i="1755"/>
  <c r="L20" i="1755"/>
  <c r="L18" i="1755"/>
  <c r="K18" i="1755" s="1"/>
  <c r="L17" i="1755"/>
  <c r="L15" i="1755"/>
  <c r="L13" i="1755"/>
  <c r="L12" i="1755"/>
  <c r="L11" i="1755"/>
  <c r="L10" i="1755"/>
  <c r="L9" i="1755"/>
  <c r="L8" i="1755"/>
  <c r="L6" i="1755"/>
  <c r="AD16" i="1756" l="1"/>
  <c r="AD19" i="1756"/>
  <c r="AB24" i="1756"/>
  <c r="M24" i="1756"/>
  <c r="AD14" i="1756"/>
  <c r="AC6" i="1756"/>
  <c r="P24" i="1756"/>
  <c r="K21" i="1755"/>
  <c r="K20" i="1755"/>
  <c r="K17" i="1755"/>
  <c r="K13" i="1755"/>
  <c r="K12" i="1755"/>
  <c r="K11" i="1755"/>
  <c r="K9" i="1755"/>
  <c r="K8" i="1755"/>
  <c r="K6" i="1755"/>
  <c r="A77" i="1755"/>
  <c r="A78" i="1755" s="1"/>
  <c r="A79" i="1755" s="1"/>
  <c r="A80" i="1755" s="1"/>
  <c r="A81" i="1755" s="1"/>
  <c r="A82" i="1755" s="1"/>
  <c r="AF61" i="1755"/>
  <c r="AF60" i="1755"/>
  <c r="AF63" i="1755" s="1"/>
  <c r="AA22" i="1755"/>
  <c r="Z22" i="1755"/>
  <c r="Y22" i="1755"/>
  <c r="X22" i="1755"/>
  <c r="W22" i="1755"/>
  <c r="U22" i="1755"/>
  <c r="T22" i="1755"/>
  <c r="R22" i="1755"/>
  <c r="N22" i="1755"/>
  <c r="J22" i="1755"/>
  <c r="I22" i="1755"/>
  <c r="AF21" i="1755"/>
  <c r="Q21" i="1755"/>
  <c r="P21" i="1755" s="1"/>
  <c r="AC21" i="1755" s="1"/>
  <c r="O21" i="1755"/>
  <c r="AF20" i="1755"/>
  <c r="Q20" i="1755"/>
  <c r="P20" i="1755" s="1"/>
  <c r="AC20" i="1755" s="1"/>
  <c r="O20" i="1755"/>
  <c r="AB20" i="1755"/>
  <c r="AF19" i="1755"/>
  <c r="AB19" i="1755"/>
  <c r="Q19" i="1755"/>
  <c r="P19" i="1755"/>
  <c r="AC19" i="1755" s="1"/>
  <c r="O19" i="1755"/>
  <c r="M19" i="1755"/>
  <c r="K19" i="1755"/>
  <c r="AF18" i="1755"/>
  <c r="AB18" i="1755"/>
  <c r="Q18" i="1755"/>
  <c r="P18" i="1755" s="1"/>
  <c r="AC18" i="1755" s="1"/>
  <c r="O18" i="1755"/>
  <c r="M18" i="1755"/>
  <c r="AF17" i="1755"/>
  <c r="AB17" i="1755"/>
  <c r="Q17" i="1755"/>
  <c r="P17" i="1755" s="1"/>
  <c r="AC17" i="1755" s="1"/>
  <c r="O17" i="1755"/>
  <c r="M17" i="1755"/>
  <c r="AF16" i="1755"/>
  <c r="AB16" i="1755"/>
  <c r="Q16" i="1755"/>
  <c r="P16" i="1755"/>
  <c r="AC16" i="1755" s="1"/>
  <c r="AD16" i="1755" s="1"/>
  <c r="O16" i="1755"/>
  <c r="M16" i="1755"/>
  <c r="K16" i="1755"/>
  <c r="AF15" i="1755"/>
  <c r="AB15" i="1755"/>
  <c r="Q15" i="1755"/>
  <c r="P15" i="1755" s="1"/>
  <c r="AC15" i="1755" s="1"/>
  <c r="AD15" i="1755" s="1"/>
  <c r="O15" i="1755"/>
  <c r="M15" i="1755"/>
  <c r="K15" i="1755"/>
  <c r="AF14" i="1755"/>
  <c r="AB14" i="1755"/>
  <c r="Q14" i="1755"/>
  <c r="P14" i="1755"/>
  <c r="AC14" i="1755" s="1"/>
  <c r="AD14" i="1755" s="1"/>
  <c r="O14" i="1755"/>
  <c r="M14" i="1755"/>
  <c r="K14" i="1755"/>
  <c r="AF13" i="1755"/>
  <c r="Q13" i="1755"/>
  <c r="P13" i="1755" s="1"/>
  <c r="AC13" i="1755" s="1"/>
  <c r="O13" i="1755"/>
  <c r="AF12" i="1755"/>
  <c r="AB12" i="1755"/>
  <c r="S22" i="1755"/>
  <c r="Q12" i="1755"/>
  <c r="O12" i="1755"/>
  <c r="P12" i="1755"/>
  <c r="AC12" i="1755" s="1"/>
  <c r="AF11" i="1755"/>
  <c r="AB11" i="1755"/>
  <c r="Q11" i="1755"/>
  <c r="P11" i="1755"/>
  <c r="AC11" i="1755" s="1"/>
  <c r="O11" i="1755"/>
  <c r="M11" i="1755"/>
  <c r="AF10" i="1755"/>
  <c r="Q10" i="1755"/>
  <c r="AB10" i="1755"/>
  <c r="AF9" i="1755"/>
  <c r="AB9" i="1755"/>
  <c r="Q9" i="1755"/>
  <c r="P9" i="1755" s="1"/>
  <c r="AC9" i="1755" s="1"/>
  <c r="M9" i="1755"/>
  <c r="O9" i="1755"/>
  <c r="AF8" i="1755"/>
  <c r="Q8" i="1755"/>
  <c r="P8" i="1755" s="1"/>
  <c r="AC8" i="1755" s="1"/>
  <c r="O8" i="1755"/>
  <c r="AF7" i="1755"/>
  <c r="AB7" i="1755"/>
  <c r="Q7" i="1755"/>
  <c r="P7" i="1755"/>
  <c r="AC7" i="1755" s="1"/>
  <c r="AD7" i="1755" s="1"/>
  <c r="O7" i="1755"/>
  <c r="M7" i="1755"/>
  <c r="K7" i="1755"/>
  <c r="AF6" i="1755"/>
  <c r="AB6" i="1755"/>
  <c r="Q6" i="1755"/>
  <c r="P6" i="1755"/>
  <c r="AC6" i="1755" s="1"/>
  <c r="O6" i="1755"/>
  <c r="M6" i="1755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AC24" i="1756" l="1"/>
  <c r="AD6" i="1756"/>
  <c r="AD24" i="1756" s="1"/>
  <c r="AD17" i="1755"/>
  <c r="Q22" i="1755"/>
  <c r="AD19" i="1755"/>
  <c r="AD11" i="1755"/>
  <c r="AD12" i="1755"/>
  <c r="AD18" i="1755"/>
  <c r="AD20" i="1755"/>
  <c r="AD6" i="1755"/>
  <c r="AD9" i="1755"/>
  <c r="M21" i="1755"/>
  <c r="AB21" i="1755"/>
  <c r="AD21" i="1755" s="1"/>
  <c r="L22" i="1755"/>
  <c r="O22" i="1755" s="1"/>
  <c r="O10" i="1755"/>
  <c r="M8" i="1755"/>
  <c r="AB8" i="1755"/>
  <c r="K10" i="1755"/>
  <c r="K22" i="1755" s="1"/>
  <c r="P10" i="1755"/>
  <c r="AC10" i="1755" s="1"/>
  <c r="AD10" i="1755" s="1"/>
  <c r="M12" i="1755"/>
  <c r="M13" i="1755"/>
  <c r="AB13" i="1755"/>
  <c r="AD13" i="1755" s="1"/>
  <c r="M20" i="1755"/>
  <c r="M10" i="1755"/>
  <c r="L21" i="1754"/>
  <c r="K21" i="1754"/>
  <c r="L20" i="1754"/>
  <c r="L17" i="1754"/>
  <c r="K17" i="1754" s="1"/>
  <c r="AE12" i="1756" l="1"/>
  <c r="AE20" i="1756"/>
  <c r="AE23" i="1756"/>
  <c r="AE19" i="1756"/>
  <c r="AE9" i="1756"/>
  <c r="AE21" i="1756"/>
  <c r="AE17" i="1756"/>
  <c r="AE10" i="1756"/>
  <c r="AE11" i="1756"/>
  <c r="AE7" i="1756"/>
  <c r="AE14" i="1756"/>
  <c r="AE22" i="1756"/>
  <c r="AE18" i="1756"/>
  <c r="AE15" i="1756"/>
  <c r="AE16" i="1756"/>
  <c r="AE13" i="1756"/>
  <c r="AE8" i="1756"/>
  <c r="AE6" i="1756"/>
  <c r="M22" i="1755"/>
  <c r="P22" i="1755"/>
  <c r="AB22" i="1755"/>
  <c r="AD8" i="1755"/>
  <c r="AD22" i="1755" s="1"/>
  <c r="AC22" i="1755"/>
  <c r="L13" i="1754"/>
  <c r="L12" i="1754"/>
  <c r="S12" i="1754"/>
  <c r="L11" i="1754"/>
  <c r="L10" i="1754"/>
  <c r="L9" i="1754"/>
  <c r="L8" i="1754"/>
  <c r="AE21" i="1755" l="1"/>
  <c r="AE18" i="1755"/>
  <c r="AE9" i="1755"/>
  <c r="AE6" i="1755"/>
  <c r="AE14" i="1755"/>
  <c r="AE16" i="1755"/>
  <c r="AE19" i="1755"/>
  <c r="AE17" i="1755"/>
  <c r="AE12" i="1755"/>
  <c r="AE11" i="1755"/>
  <c r="AE7" i="1755"/>
  <c r="AE8" i="1755"/>
  <c r="AE20" i="1755"/>
  <c r="AE15" i="1755"/>
  <c r="AE13" i="1755"/>
  <c r="AE10" i="1755"/>
  <c r="K20" i="1754"/>
  <c r="K18" i="1754"/>
  <c r="K13" i="1754"/>
  <c r="K12" i="1754"/>
  <c r="K11" i="1754"/>
  <c r="K10" i="1754"/>
  <c r="K9" i="1754"/>
  <c r="K8" i="1754"/>
  <c r="K6" i="1754"/>
  <c r="A77" i="1754"/>
  <c r="A78" i="1754" s="1"/>
  <c r="A79" i="1754" s="1"/>
  <c r="A80" i="1754" s="1"/>
  <c r="A81" i="1754" s="1"/>
  <c r="A82" i="1754" s="1"/>
  <c r="AF61" i="1754"/>
  <c r="AF63" i="1754" s="1"/>
  <c r="AF60" i="1754"/>
  <c r="AA22" i="1754"/>
  <c r="Z22" i="1754"/>
  <c r="Y22" i="1754"/>
  <c r="X22" i="1754"/>
  <c r="W22" i="1754"/>
  <c r="V22" i="1754"/>
  <c r="U22" i="1754"/>
  <c r="T22" i="1754"/>
  <c r="S22" i="1754"/>
  <c r="R22" i="1754"/>
  <c r="N22" i="1754"/>
  <c r="J22" i="1754"/>
  <c r="I22" i="1754"/>
  <c r="AF21" i="1754"/>
  <c r="AB21" i="1754"/>
  <c r="Q21" i="1754"/>
  <c r="P21" i="1754" s="1"/>
  <c r="AC21" i="1754" s="1"/>
  <c r="O21" i="1754"/>
  <c r="M21" i="1754"/>
  <c r="AF20" i="1754"/>
  <c r="Q20" i="1754"/>
  <c r="O20" i="1754"/>
  <c r="AF19" i="1754"/>
  <c r="AB19" i="1754"/>
  <c r="Q19" i="1754"/>
  <c r="P19" i="1754"/>
  <c r="AC19" i="1754" s="1"/>
  <c r="AD19" i="1754" s="1"/>
  <c r="O19" i="1754"/>
  <c r="M19" i="1754"/>
  <c r="K19" i="1754"/>
  <c r="AF18" i="1754"/>
  <c r="Q18" i="1754"/>
  <c r="O18" i="1754"/>
  <c r="AF17" i="1754"/>
  <c r="AB17" i="1754"/>
  <c r="Q17" i="1754"/>
  <c r="P17" i="1754" s="1"/>
  <c r="AC17" i="1754" s="1"/>
  <c r="O17" i="1754"/>
  <c r="M17" i="1754"/>
  <c r="AF16" i="1754"/>
  <c r="AB16" i="1754"/>
  <c r="Q16" i="1754"/>
  <c r="P16" i="1754"/>
  <c r="AC16" i="1754" s="1"/>
  <c r="O16" i="1754"/>
  <c r="M16" i="1754"/>
  <c r="K16" i="1754"/>
  <c r="AF15" i="1754"/>
  <c r="AB15" i="1754"/>
  <c r="Q15" i="1754"/>
  <c r="P15" i="1754"/>
  <c r="AC15" i="1754" s="1"/>
  <c r="O15" i="1754"/>
  <c r="M15" i="1754"/>
  <c r="K15" i="1754"/>
  <c r="AF14" i="1754"/>
  <c r="AB14" i="1754"/>
  <c r="Q14" i="1754"/>
  <c r="P14" i="1754"/>
  <c r="AC14" i="1754" s="1"/>
  <c r="O14" i="1754"/>
  <c r="M14" i="1754"/>
  <c r="K14" i="1754"/>
  <c r="AF13" i="1754"/>
  <c r="Q13" i="1754"/>
  <c r="AB13" i="1754"/>
  <c r="AF12" i="1754"/>
  <c r="Q12" i="1754"/>
  <c r="P12" i="1754"/>
  <c r="AC12" i="1754" s="1"/>
  <c r="O12" i="1754"/>
  <c r="AB12" i="1754"/>
  <c r="AF11" i="1754"/>
  <c r="AB11" i="1754"/>
  <c r="Q11" i="1754"/>
  <c r="P11" i="1754"/>
  <c r="AC11" i="1754" s="1"/>
  <c r="O11" i="1754"/>
  <c r="M11" i="1754"/>
  <c r="AF10" i="1754"/>
  <c r="AB10" i="1754"/>
  <c r="Q10" i="1754"/>
  <c r="M10" i="1754"/>
  <c r="O10" i="1754"/>
  <c r="AF9" i="1754"/>
  <c r="Q9" i="1754"/>
  <c r="AB9" i="1754"/>
  <c r="AF8" i="1754"/>
  <c r="Q8" i="1754"/>
  <c r="P8" i="1754" s="1"/>
  <c r="AC8" i="1754" s="1"/>
  <c r="O8" i="1754"/>
  <c r="AB8" i="1754"/>
  <c r="AF7" i="1754"/>
  <c r="AB7" i="1754"/>
  <c r="Q7" i="1754"/>
  <c r="P7" i="1754"/>
  <c r="AC7" i="1754" s="1"/>
  <c r="O7" i="1754"/>
  <c r="M7" i="1754"/>
  <c r="K7" i="1754"/>
  <c r="AF6" i="1754"/>
  <c r="Q6" i="1754"/>
  <c r="AB6" i="1754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1" i="1753"/>
  <c r="K20" i="1753"/>
  <c r="L19" i="1753"/>
  <c r="AF19" i="1753"/>
  <c r="Q19" i="1753"/>
  <c r="O19" i="1753"/>
  <c r="AB19" i="1753"/>
  <c r="L18" i="1753"/>
  <c r="K18" i="1753"/>
  <c r="L13" i="1753"/>
  <c r="L12" i="1753"/>
  <c r="L11" i="1753"/>
  <c r="L10" i="1753"/>
  <c r="L9" i="1753"/>
  <c r="L8" i="1753"/>
  <c r="L6" i="1753"/>
  <c r="K6" i="1753" s="1"/>
  <c r="K22" i="1753"/>
  <c r="K21" i="1753"/>
  <c r="K17" i="1753"/>
  <c r="K14" i="1753"/>
  <c r="K13" i="1753"/>
  <c r="K12" i="1753"/>
  <c r="K11" i="1753"/>
  <c r="K10" i="1753"/>
  <c r="K9" i="1753"/>
  <c r="K8" i="1753"/>
  <c r="A78" i="1753"/>
  <c r="A79" i="1753" s="1"/>
  <c r="A80" i="1753" s="1"/>
  <c r="A81" i="1753" s="1"/>
  <c r="A82" i="1753" s="1"/>
  <c r="A83" i="1753" s="1"/>
  <c r="AF64" i="1753"/>
  <c r="AF62" i="1753"/>
  <c r="AF61" i="1753"/>
  <c r="AA23" i="1753"/>
  <c r="Z23" i="1753"/>
  <c r="Y23" i="1753"/>
  <c r="X23" i="1753"/>
  <c r="W23" i="1753"/>
  <c r="V23" i="1753"/>
  <c r="U23" i="1753"/>
  <c r="T23" i="1753"/>
  <c r="S23" i="1753"/>
  <c r="R23" i="1753"/>
  <c r="N23" i="1753"/>
  <c r="J23" i="1753"/>
  <c r="I23" i="1753"/>
  <c r="AF22" i="1753"/>
  <c r="Q22" i="1753"/>
  <c r="P22" i="1753"/>
  <c r="AC22" i="1753" s="1"/>
  <c r="O22" i="1753"/>
  <c r="AB22" i="1753"/>
  <c r="AF21" i="1753"/>
  <c r="AB21" i="1753"/>
  <c r="Q21" i="1753"/>
  <c r="P21" i="1753"/>
  <c r="AC21" i="1753" s="1"/>
  <c r="O21" i="1753"/>
  <c r="M21" i="1753"/>
  <c r="AF20" i="1753"/>
  <c r="Q20" i="1753"/>
  <c r="O20" i="1753"/>
  <c r="AF18" i="1753"/>
  <c r="AB18" i="1753"/>
  <c r="Q18" i="1753"/>
  <c r="P18" i="1753" s="1"/>
  <c r="AC18" i="1753" s="1"/>
  <c r="AD18" i="1753" s="1"/>
  <c r="O18" i="1753"/>
  <c r="M18" i="1753"/>
  <c r="AF17" i="1753"/>
  <c r="AB17" i="1753"/>
  <c r="Q17" i="1753"/>
  <c r="P17" i="1753" s="1"/>
  <c r="AC17" i="1753" s="1"/>
  <c r="O17" i="1753"/>
  <c r="M17" i="1753"/>
  <c r="AF16" i="1753"/>
  <c r="AB16" i="1753"/>
  <c r="Q16" i="1753"/>
  <c r="P16" i="1753"/>
  <c r="AC16" i="1753" s="1"/>
  <c r="O16" i="1753"/>
  <c r="M16" i="1753"/>
  <c r="K16" i="1753"/>
  <c r="AF15" i="1753"/>
  <c r="AB15" i="1753"/>
  <c r="Q15" i="1753"/>
  <c r="P15" i="1753"/>
  <c r="AC15" i="1753" s="1"/>
  <c r="O15" i="1753"/>
  <c r="M15" i="1753"/>
  <c r="K15" i="1753"/>
  <c r="AF14" i="1753"/>
  <c r="AB14" i="1753"/>
  <c r="Q14" i="1753"/>
  <c r="P14" i="1753"/>
  <c r="AC14" i="1753" s="1"/>
  <c r="O14" i="1753"/>
  <c r="M14" i="1753"/>
  <c r="AF13" i="1753"/>
  <c r="Q13" i="1753"/>
  <c r="P13" i="1753" s="1"/>
  <c r="AC13" i="1753" s="1"/>
  <c r="M13" i="1753"/>
  <c r="AF12" i="1753"/>
  <c r="Q12" i="1753"/>
  <c r="O12" i="1753"/>
  <c r="AF11" i="1753"/>
  <c r="Q11" i="1753"/>
  <c r="P11" i="1753"/>
  <c r="AC11" i="1753" s="1"/>
  <c r="O11" i="1753"/>
  <c r="AB11" i="1753"/>
  <c r="AF10" i="1753"/>
  <c r="AB10" i="1753"/>
  <c r="Q10" i="1753"/>
  <c r="P10" i="1753"/>
  <c r="AC10" i="1753" s="1"/>
  <c r="O10" i="1753"/>
  <c r="M10" i="1753"/>
  <c r="AF9" i="1753"/>
  <c r="Q9" i="1753"/>
  <c r="P9" i="1753" s="1"/>
  <c r="AC9" i="1753" s="1"/>
  <c r="AF8" i="1753"/>
  <c r="Q8" i="1753"/>
  <c r="P8" i="1753" s="1"/>
  <c r="AC8" i="1753" s="1"/>
  <c r="O8" i="1753"/>
  <c r="AF7" i="1753"/>
  <c r="AB7" i="1753"/>
  <c r="Q7" i="1753"/>
  <c r="P7" i="1753"/>
  <c r="AC7" i="1753" s="1"/>
  <c r="O7" i="1753"/>
  <c r="M7" i="1753"/>
  <c r="K7" i="1753"/>
  <c r="AF6" i="1753"/>
  <c r="Q6" i="1753"/>
  <c r="P6" i="1753"/>
  <c r="AD21" i="1754" l="1"/>
  <c r="AD16" i="1754"/>
  <c r="AD7" i="1754"/>
  <c r="AD15" i="1754"/>
  <c r="AD14" i="1754"/>
  <c r="Q22" i="1754"/>
  <c r="AD11" i="1754"/>
  <c r="AD8" i="1754"/>
  <c r="AD12" i="1754"/>
  <c r="AD17" i="1754"/>
  <c r="K22" i="1754"/>
  <c r="O6" i="1754"/>
  <c r="M8" i="1754"/>
  <c r="O9" i="1754"/>
  <c r="P10" i="1754"/>
  <c r="AC10" i="1754" s="1"/>
  <c r="AD10" i="1754" s="1"/>
  <c r="M12" i="1754"/>
  <c r="O13" i="1754"/>
  <c r="P18" i="1754"/>
  <c r="AC18" i="1754" s="1"/>
  <c r="P20" i="1754"/>
  <c r="AC20" i="1754" s="1"/>
  <c r="L22" i="1754"/>
  <c r="O22" i="1754" s="1"/>
  <c r="P6" i="1754"/>
  <c r="P9" i="1754"/>
  <c r="AC9" i="1754" s="1"/>
  <c r="AD9" i="1754" s="1"/>
  <c r="P13" i="1754"/>
  <c r="AC13" i="1754" s="1"/>
  <c r="M18" i="1754"/>
  <c r="AB18" i="1754"/>
  <c r="M20" i="1754"/>
  <c r="AB20" i="1754"/>
  <c r="M6" i="1754"/>
  <c r="M9" i="1754"/>
  <c r="M13" i="1754"/>
  <c r="AD17" i="1753"/>
  <c r="K19" i="1753"/>
  <c r="P19" i="1753"/>
  <c r="AC19" i="1753" s="1"/>
  <c r="AD19" i="1753" s="1"/>
  <c r="AD16" i="1753"/>
  <c r="M19" i="1753"/>
  <c r="Q23" i="1753"/>
  <c r="AD7" i="1753"/>
  <c r="AD15" i="1753"/>
  <c r="AD21" i="1753"/>
  <c r="AD11" i="1753"/>
  <c r="AD10" i="1753"/>
  <c r="AD14" i="1753"/>
  <c r="AC6" i="1753"/>
  <c r="AD22" i="1753"/>
  <c r="P12" i="1753"/>
  <c r="AC12" i="1753" s="1"/>
  <c r="P20" i="1753"/>
  <c r="AC20" i="1753" s="1"/>
  <c r="M22" i="1753"/>
  <c r="L23" i="1753"/>
  <c r="O23" i="1753" s="1"/>
  <c r="AB6" i="1753"/>
  <c r="AB13" i="1753"/>
  <c r="AB9" i="1753"/>
  <c r="O6" i="1753"/>
  <c r="M8" i="1753"/>
  <c r="AB8" i="1753"/>
  <c r="AD8" i="1753" s="1"/>
  <c r="O9" i="1753"/>
  <c r="M12" i="1753"/>
  <c r="AB12" i="1753"/>
  <c r="O13" i="1753"/>
  <c r="M20" i="1753"/>
  <c r="AB20" i="1753"/>
  <c r="M6" i="1753"/>
  <c r="M9" i="1753"/>
  <c r="K23" i="1753"/>
  <c r="M11" i="1753"/>
  <c r="AD20" i="1754" l="1"/>
  <c r="AB22" i="1754"/>
  <c r="M22" i="1754"/>
  <c r="AD13" i="1754"/>
  <c r="P22" i="1754"/>
  <c r="AC6" i="1754"/>
  <c r="AD18" i="1754"/>
  <c r="AD13" i="1753"/>
  <c r="AD9" i="1753"/>
  <c r="AD20" i="1753"/>
  <c r="M23" i="1753"/>
  <c r="AB23" i="1753"/>
  <c r="AD6" i="1753"/>
  <c r="AC23" i="1753"/>
  <c r="AD12" i="1753"/>
  <c r="P23" i="1753"/>
  <c r="AC22" i="1754" l="1"/>
  <c r="AD6" i="1754"/>
  <c r="AD22" i="1754" s="1"/>
  <c r="AD23" i="1753"/>
  <c r="AE21" i="1754" l="1"/>
  <c r="AE12" i="1754"/>
  <c r="AE8" i="1754"/>
  <c r="AE15" i="1754"/>
  <c r="AE13" i="1754"/>
  <c r="AE19" i="1754"/>
  <c r="AE17" i="1754"/>
  <c r="AE20" i="1754"/>
  <c r="AE18" i="1754"/>
  <c r="AE10" i="1754"/>
  <c r="AE16" i="1754"/>
  <c r="AE14" i="1754"/>
  <c r="AE11" i="1754"/>
  <c r="AE7" i="1754"/>
  <c r="AE9" i="1754"/>
  <c r="AE6" i="1754"/>
  <c r="AE22" i="1753"/>
  <c r="AE19" i="1753"/>
  <c r="AE6" i="1753"/>
  <c r="AE17" i="1753"/>
  <c r="AE20" i="1753"/>
  <c r="AE18" i="1753"/>
  <c r="AE9" i="1753"/>
  <c r="AE21" i="1753"/>
  <c r="AE11" i="1753"/>
  <c r="AE7" i="1753"/>
  <c r="AE13" i="1753"/>
  <c r="AE8" i="1753"/>
  <c r="AE14" i="1753"/>
  <c r="AE10" i="1753"/>
  <c r="AE15" i="1753"/>
  <c r="AE12" i="1753"/>
  <c r="AE16" i="1753"/>
  <c r="F19" i="16" l="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1752"/>
  <c r="L20" i="1752"/>
  <c r="L19" i="1752"/>
  <c r="K19" i="1752" s="1"/>
  <c r="K17" i="1752"/>
  <c r="L13" i="1752"/>
  <c r="L12" i="1752"/>
  <c r="AB12" i="1752" s="1"/>
  <c r="L11" i="1752"/>
  <c r="O11" i="1752" s="1"/>
  <c r="L10" i="1752"/>
  <c r="L9" i="1752"/>
  <c r="AB9" i="1752" s="1"/>
  <c r="L8" i="1752"/>
  <c r="K8" i="1752" s="1"/>
  <c r="L6" i="1752"/>
  <c r="K6" i="1752" s="1"/>
  <c r="K21" i="1752"/>
  <c r="K20" i="1752"/>
  <c r="K18" i="1752"/>
  <c r="K16" i="1752"/>
  <c r="K14" i="1752"/>
  <c r="K13" i="1752"/>
  <c r="K12" i="1752"/>
  <c r="K11" i="1752"/>
  <c r="A77" i="1752"/>
  <c r="A78" i="1752" s="1"/>
  <c r="A79" i="1752" s="1"/>
  <c r="A80" i="1752" s="1"/>
  <c r="A81" i="1752" s="1"/>
  <c r="A82" i="1752" s="1"/>
  <c r="AF61" i="1752"/>
  <c r="AF60" i="1752"/>
  <c r="AF63" i="1752" s="1"/>
  <c r="AA22" i="1752"/>
  <c r="Z22" i="1752"/>
  <c r="Y22" i="1752"/>
  <c r="X22" i="1752"/>
  <c r="W22" i="1752"/>
  <c r="V22" i="1752"/>
  <c r="U22" i="1752"/>
  <c r="T22" i="1752"/>
  <c r="S22" i="1752"/>
  <c r="R22" i="1752"/>
  <c r="N22" i="1752"/>
  <c r="J22" i="1752"/>
  <c r="I22" i="1752"/>
  <c r="AF21" i="1752"/>
  <c r="Q21" i="1752"/>
  <c r="AF20" i="1752"/>
  <c r="AB20" i="1752"/>
  <c r="Q20" i="1752"/>
  <c r="P20" i="1752" s="1"/>
  <c r="AC20" i="1752" s="1"/>
  <c r="O20" i="1752"/>
  <c r="M20" i="1752"/>
  <c r="AF19" i="1752"/>
  <c r="AB19" i="1752"/>
  <c r="Q19" i="1752"/>
  <c r="P19" i="1752" s="1"/>
  <c r="AC19" i="1752" s="1"/>
  <c r="O19" i="1752"/>
  <c r="M19" i="1752"/>
  <c r="AF18" i="1752"/>
  <c r="AB18" i="1752"/>
  <c r="Q18" i="1752"/>
  <c r="P18" i="1752"/>
  <c r="AC18" i="1752" s="1"/>
  <c r="O18" i="1752"/>
  <c r="M18" i="1752"/>
  <c r="AF17" i="1752"/>
  <c r="AB17" i="1752"/>
  <c r="Q17" i="1752"/>
  <c r="P17" i="1752" s="1"/>
  <c r="AC17" i="1752" s="1"/>
  <c r="O17" i="1752"/>
  <c r="M17" i="1752"/>
  <c r="AF16" i="1752"/>
  <c r="AB16" i="1752"/>
  <c r="Q16" i="1752"/>
  <c r="P16" i="1752" s="1"/>
  <c r="AC16" i="1752" s="1"/>
  <c r="O16" i="1752"/>
  <c r="M16" i="1752"/>
  <c r="AF15" i="1752"/>
  <c r="AB15" i="1752"/>
  <c r="Q15" i="1752"/>
  <c r="P15" i="1752"/>
  <c r="AC15" i="1752" s="1"/>
  <c r="O15" i="1752"/>
  <c r="M15" i="1752"/>
  <c r="K15" i="1752"/>
  <c r="AF14" i="1752"/>
  <c r="AB14" i="1752"/>
  <c r="Q14" i="1752"/>
  <c r="P14" i="1752" s="1"/>
  <c r="AC14" i="1752" s="1"/>
  <c r="O14" i="1752"/>
  <c r="M14" i="1752"/>
  <c r="AF13" i="1752"/>
  <c r="Q13" i="1752"/>
  <c r="M13" i="1752"/>
  <c r="O13" i="1752"/>
  <c r="AF12" i="1752"/>
  <c r="Q12" i="1752"/>
  <c r="AF11" i="1752"/>
  <c r="Q11" i="1752"/>
  <c r="AF10" i="1752"/>
  <c r="Q10" i="1752"/>
  <c r="AF9" i="1752"/>
  <c r="Q9" i="1752"/>
  <c r="O9" i="1752"/>
  <c r="AF8" i="1752"/>
  <c r="Q8" i="1752"/>
  <c r="AB8" i="1752"/>
  <c r="AF7" i="1752"/>
  <c r="AB7" i="1752"/>
  <c r="Q7" i="1752"/>
  <c r="P7" i="1752"/>
  <c r="AC7" i="1752" s="1"/>
  <c r="O7" i="1752"/>
  <c r="M7" i="1752"/>
  <c r="K7" i="1752"/>
  <c r="AF6" i="1752"/>
  <c r="AB6" i="1752"/>
  <c r="Q6" i="1752"/>
  <c r="P21" i="1752" l="1"/>
  <c r="AC21" i="1752" s="1"/>
  <c r="O6" i="1752"/>
  <c r="AD7" i="1752"/>
  <c r="AB11" i="1752"/>
  <c r="M6" i="1752"/>
  <c r="P11" i="1752"/>
  <c r="AC11" i="1752" s="1"/>
  <c r="P10" i="1752"/>
  <c r="AC10" i="1752" s="1"/>
  <c r="M10" i="1752"/>
  <c r="AB10" i="1752"/>
  <c r="O10" i="1752"/>
  <c r="AD17" i="1752"/>
  <c r="K10" i="1752"/>
  <c r="M9" i="1752"/>
  <c r="K9" i="1752"/>
  <c r="Q22" i="1752"/>
  <c r="AD14" i="1752"/>
  <c r="AD15" i="1752"/>
  <c r="AD18" i="1752"/>
  <c r="AD19" i="1752"/>
  <c r="AD20" i="1752"/>
  <c r="AD11" i="1752"/>
  <c r="AD16" i="1752"/>
  <c r="P6" i="1752"/>
  <c r="O8" i="1752"/>
  <c r="P9" i="1752"/>
  <c r="AC9" i="1752" s="1"/>
  <c r="AD9" i="1752" s="1"/>
  <c r="M11" i="1752"/>
  <c r="O12" i="1752"/>
  <c r="P13" i="1752"/>
  <c r="AC13" i="1752" s="1"/>
  <c r="M21" i="1752"/>
  <c r="AB21" i="1752"/>
  <c r="L22" i="1752"/>
  <c r="O22" i="1752" s="1"/>
  <c r="P8" i="1752"/>
  <c r="AC8" i="1752" s="1"/>
  <c r="P12" i="1752"/>
  <c r="AC12" i="1752" s="1"/>
  <c r="O21" i="1752"/>
  <c r="AB13" i="1752"/>
  <c r="M8" i="1752"/>
  <c r="M12" i="1752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6" i="1751"/>
  <c r="K26" i="1751" s="1"/>
  <c r="L25" i="1751"/>
  <c r="AF22" i="1751"/>
  <c r="AB22" i="1751"/>
  <c r="Q22" i="1751"/>
  <c r="P22" i="1751" s="1"/>
  <c r="AC22" i="1751" s="1"/>
  <c r="O22" i="1751"/>
  <c r="M22" i="1751"/>
  <c r="K22" i="1751"/>
  <c r="AF21" i="1751"/>
  <c r="AB21" i="1751"/>
  <c r="Q21" i="1751"/>
  <c r="P21" i="1751"/>
  <c r="AC21" i="1751" s="1"/>
  <c r="O21" i="1751"/>
  <c r="M21" i="1751"/>
  <c r="K21" i="1751"/>
  <c r="AF23" i="1751"/>
  <c r="Q23" i="1751"/>
  <c r="P23" i="1751" s="1"/>
  <c r="AC23" i="1751" s="1"/>
  <c r="O23" i="1751"/>
  <c r="L23" i="1751"/>
  <c r="AB23" i="1751" s="1"/>
  <c r="K23" i="1751"/>
  <c r="K24" i="1751"/>
  <c r="AF20" i="1751"/>
  <c r="AB20" i="1751"/>
  <c r="Q20" i="1751"/>
  <c r="P20" i="1751"/>
  <c r="AC20" i="1751" s="1"/>
  <c r="O20" i="1751"/>
  <c r="M20" i="1751"/>
  <c r="K20" i="1751"/>
  <c r="K19" i="1751"/>
  <c r="L18" i="1751"/>
  <c r="K18" i="1751"/>
  <c r="K17" i="1751"/>
  <c r="K15" i="1751"/>
  <c r="AF15" i="1751"/>
  <c r="AB15" i="1751"/>
  <c r="Q15" i="1751"/>
  <c r="P15" i="1751" s="1"/>
  <c r="AC15" i="1751" s="1"/>
  <c r="O15" i="1751"/>
  <c r="M15" i="1751"/>
  <c r="K14" i="1751"/>
  <c r="L13" i="1751"/>
  <c r="L12" i="1751"/>
  <c r="L11" i="1751"/>
  <c r="K11" i="1751" s="1"/>
  <c r="L10" i="1751"/>
  <c r="L9" i="1751"/>
  <c r="L8" i="1751"/>
  <c r="L6" i="1751"/>
  <c r="K6" i="1751" s="1"/>
  <c r="K25" i="1751"/>
  <c r="K13" i="1751"/>
  <c r="K10" i="1751"/>
  <c r="K8" i="1751"/>
  <c r="A82" i="1751"/>
  <c r="A83" i="1751" s="1"/>
  <c r="A84" i="1751" s="1"/>
  <c r="A85" i="1751" s="1"/>
  <c r="A86" i="1751" s="1"/>
  <c r="A87" i="1751" s="1"/>
  <c r="AF66" i="1751"/>
  <c r="AF65" i="1751"/>
  <c r="AF68" i="1751" s="1"/>
  <c r="AA27" i="1751"/>
  <c r="Z27" i="1751"/>
  <c r="Y27" i="1751"/>
  <c r="X27" i="1751"/>
  <c r="W27" i="1751"/>
  <c r="V27" i="1751"/>
  <c r="U27" i="1751"/>
  <c r="T27" i="1751"/>
  <c r="S27" i="1751"/>
  <c r="R27" i="1751"/>
  <c r="N27" i="1751"/>
  <c r="J27" i="1751"/>
  <c r="I27" i="1751"/>
  <c r="AF26" i="1751"/>
  <c r="AB26" i="1751"/>
  <c r="Q26" i="1751"/>
  <c r="P26" i="1751"/>
  <c r="AC26" i="1751" s="1"/>
  <c r="O26" i="1751"/>
  <c r="M26" i="1751"/>
  <c r="AF25" i="1751"/>
  <c r="Q25" i="1751"/>
  <c r="P25" i="1751" s="1"/>
  <c r="AC25" i="1751" s="1"/>
  <c r="O25" i="1751"/>
  <c r="AF24" i="1751"/>
  <c r="AB24" i="1751"/>
  <c r="Q24" i="1751"/>
  <c r="P24" i="1751" s="1"/>
  <c r="AC24" i="1751" s="1"/>
  <c r="O24" i="1751"/>
  <c r="M24" i="1751"/>
  <c r="AF19" i="1751"/>
  <c r="AB19" i="1751"/>
  <c r="Q19" i="1751"/>
  <c r="P19" i="1751" s="1"/>
  <c r="AC19" i="1751" s="1"/>
  <c r="O19" i="1751"/>
  <c r="M19" i="1751"/>
  <c r="AF18" i="1751"/>
  <c r="Q18" i="1751"/>
  <c r="P18" i="1751" s="1"/>
  <c r="AC18" i="1751" s="1"/>
  <c r="O18" i="1751"/>
  <c r="AF17" i="1751"/>
  <c r="AB17" i="1751"/>
  <c r="Q17" i="1751"/>
  <c r="P17" i="1751" s="1"/>
  <c r="AC17" i="1751" s="1"/>
  <c r="O17" i="1751"/>
  <c r="M17" i="1751"/>
  <c r="AF16" i="1751"/>
  <c r="AB16" i="1751"/>
  <c r="Q16" i="1751"/>
  <c r="P16" i="1751"/>
  <c r="AC16" i="1751" s="1"/>
  <c r="O16" i="1751"/>
  <c r="M16" i="1751"/>
  <c r="K16" i="1751"/>
  <c r="AF14" i="1751"/>
  <c r="AB14" i="1751"/>
  <c r="Q14" i="1751"/>
  <c r="P14" i="1751" s="1"/>
  <c r="AC14" i="1751" s="1"/>
  <c r="O14" i="1751"/>
  <c r="M14" i="1751"/>
  <c r="AF13" i="1751"/>
  <c r="AB13" i="1751"/>
  <c r="Q13" i="1751"/>
  <c r="P13" i="1751" s="1"/>
  <c r="AC13" i="1751" s="1"/>
  <c r="M13" i="1751"/>
  <c r="O13" i="1751"/>
  <c r="AF12" i="1751"/>
  <c r="AB12" i="1751"/>
  <c r="Q12" i="1751"/>
  <c r="P12" i="1751" s="1"/>
  <c r="AC12" i="1751" s="1"/>
  <c r="O12" i="1751"/>
  <c r="M12" i="1751"/>
  <c r="K12" i="1751"/>
  <c r="AF11" i="1751"/>
  <c r="Q11" i="1751"/>
  <c r="AB11" i="1751"/>
  <c r="AF10" i="1751"/>
  <c r="AB10" i="1751"/>
  <c r="Q10" i="1751"/>
  <c r="P10" i="1751" s="1"/>
  <c r="AC10" i="1751" s="1"/>
  <c r="M10" i="1751"/>
  <c r="O10" i="1751"/>
  <c r="AF9" i="1751"/>
  <c r="AB9" i="1751"/>
  <c r="Q9" i="1751"/>
  <c r="P9" i="1751" s="1"/>
  <c r="AC9" i="1751" s="1"/>
  <c r="O9" i="1751"/>
  <c r="M9" i="1751"/>
  <c r="K9" i="1751"/>
  <c r="AF8" i="1751"/>
  <c r="Q8" i="1751"/>
  <c r="AB8" i="1751"/>
  <c r="AF7" i="1751"/>
  <c r="AB7" i="1751"/>
  <c r="Q7" i="1751"/>
  <c r="P7" i="1751"/>
  <c r="AC7" i="1751" s="1"/>
  <c r="O7" i="1751"/>
  <c r="M7" i="1751"/>
  <c r="K7" i="1751"/>
  <c r="AF6" i="1751"/>
  <c r="Q6" i="1751"/>
  <c r="AD10" i="1752" l="1"/>
  <c r="AB22" i="1752"/>
  <c r="AD8" i="1752"/>
  <c r="M22" i="1752"/>
  <c r="AD21" i="1752"/>
  <c r="AD13" i="1752"/>
  <c r="K22" i="1752"/>
  <c r="AD12" i="1752"/>
  <c r="AC6" i="1752"/>
  <c r="P22" i="1752"/>
  <c r="AD22" i="1751"/>
  <c r="AD7" i="1751"/>
  <c r="AD21" i="1751"/>
  <c r="AD23" i="1751"/>
  <c r="M23" i="1751"/>
  <c r="AD20" i="1751"/>
  <c r="AD15" i="1751"/>
  <c r="AD19" i="1751"/>
  <c r="AD26" i="1751"/>
  <c r="AD14" i="1751"/>
  <c r="AD12" i="1751"/>
  <c r="AD10" i="1751"/>
  <c r="Q27" i="1751"/>
  <c r="AD9" i="1751"/>
  <c r="AB6" i="1751"/>
  <c r="O6" i="1751"/>
  <c r="M6" i="1751"/>
  <c r="P6" i="1751"/>
  <c r="AC6" i="1751" s="1"/>
  <c r="AD17" i="1751"/>
  <c r="AD24" i="1751"/>
  <c r="AD16" i="1751"/>
  <c r="AD13" i="1751"/>
  <c r="O8" i="1751"/>
  <c r="O11" i="1751"/>
  <c r="L27" i="1751"/>
  <c r="O27" i="1751" s="1"/>
  <c r="K27" i="1751"/>
  <c r="P8" i="1751"/>
  <c r="AC8" i="1751" s="1"/>
  <c r="P11" i="1751"/>
  <c r="AC11" i="1751" s="1"/>
  <c r="M18" i="1751"/>
  <c r="AB18" i="1751"/>
  <c r="AD18" i="1751" s="1"/>
  <c r="M25" i="1751"/>
  <c r="AB25" i="1751"/>
  <c r="AD25" i="1751" s="1"/>
  <c r="M8" i="1751"/>
  <c r="M11" i="1751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1" i="1750"/>
  <c r="L20" i="1750"/>
  <c r="K20" i="1750" s="1"/>
  <c r="K19" i="1750"/>
  <c r="L18" i="1750"/>
  <c r="K18" i="1750" s="1"/>
  <c r="L17" i="1750"/>
  <c r="K17" i="1750" s="1"/>
  <c r="L13" i="1750"/>
  <c r="L11" i="1750"/>
  <c r="L10" i="1750"/>
  <c r="L8" i="1750"/>
  <c r="K8" i="1750" s="1"/>
  <c r="K21" i="1750"/>
  <c r="K14" i="1750"/>
  <c r="K13" i="1750"/>
  <c r="K11" i="1750"/>
  <c r="K10" i="1750"/>
  <c r="K6" i="1750"/>
  <c r="A78" i="1750"/>
  <c r="A79" i="1750" s="1"/>
  <c r="A80" i="1750" s="1"/>
  <c r="A81" i="1750" s="1"/>
  <c r="A82" i="1750" s="1"/>
  <c r="A77" i="1750"/>
  <c r="AF61" i="1750"/>
  <c r="AF60" i="1750"/>
  <c r="AF63" i="1750" s="1"/>
  <c r="AA22" i="1750"/>
  <c r="Z22" i="1750"/>
  <c r="Y22" i="1750"/>
  <c r="X22" i="1750"/>
  <c r="W22" i="1750"/>
  <c r="V22" i="1750"/>
  <c r="U22" i="1750"/>
  <c r="T22" i="1750"/>
  <c r="S22" i="1750"/>
  <c r="R22" i="1750"/>
  <c r="N22" i="1750"/>
  <c r="J22" i="1750"/>
  <c r="I22" i="1750"/>
  <c r="AF21" i="1750"/>
  <c r="Q21" i="1750"/>
  <c r="P21" i="1750"/>
  <c r="AC21" i="1750" s="1"/>
  <c r="AF20" i="1750"/>
  <c r="Q20" i="1750"/>
  <c r="P20" i="1750" s="1"/>
  <c r="AC20" i="1750" s="1"/>
  <c r="O20" i="1750"/>
  <c r="AF19" i="1750"/>
  <c r="AB19" i="1750"/>
  <c r="Q19" i="1750"/>
  <c r="P19" i="1750" s="1"/>
  <c r="AC19" i="1750" s="1"/>
  <c r="O19" i="1750"/>
  <c r="M19" i="1750"/>
  <c r="AF18" i="1750"/>
  <c r="AB18" i="1750"/>
  <c r="Q18" i="1750"/>
  <c r="P18" i="1750"/>
  <c r="AC18" i="1750" s="1"/>
  <c r="O18" i="1750"/>
  <c r="M18" i="1750"/>
  <c r="AF17" i="1750"/>
  <c r="AB17" i="1750"/>
  <c r="Q17" i="1750"/>
  <c r="P17" i="1750" s="1"/>
  <c r="AC17" i="1750" s="1"/>
  <c r="O17" i="1750"/>
  <c r="M17" i="1750"/>
  <c r="AF16" i="1750"/>
  <c r="AC16" i="1750"/>
  <c r="AB16" i="1750"/>
  <c r="Q16" i="1750"/>
  <c r="P16" i="1750"/>
  <c r="O16" i="1750"/>
  <c r="M16" i="1750"/>
  <c r="K16" i="1750"/>
  <c r="AF15" i="1750"/>
  <c r="AB15" i="1750"/>
  <c r="Q15" i="1750"/>
  <c r="P15" i="1750"/>
  <c r="AC15" i="1750" s="1"/>
  <c r="O15" i="1750"/>
  <c r="M15" i="1750"/>
  <c r="K15" i="1750"/>
  <c r="AF14" i="1750"/>
  <c r="AB14" i="1750"/>
  <c r="Q14" i="1750"/>
  <c r="O14" i="1750"/>
  <c r="M14" i="1750"/>
  <c r="P14" i="1750"/>
  <c r="AC14" i="1750" s="1"/>
  <c r="AD14" i="1750" s="1"/>
  <c r="AF13" i="1750"/>
  <c r="Q13" i="1750"/>
  <c r="P13" i="1750"/>
  <c r="AC13" i="1750" s="1"/>
  <c r="AF12" i="1750"/>
  <c r="AB12" i="1750"/>
  <c r="Q12" i="1750"/>
  <c r="P12" i="1750"/>
  <c r="AC12" i="1750" s="1"/>
  <c r="O12" i="1750"/>
  <c r="M12" i="1750"/>
  <c r="K12" i="1750"/>
  <c r="AF11" i="1750"/>
  <c r="AB11" i="1750"/>
  <c r="Q11" i="1750"/>
  <c r="O11" i="1750"/>
  <c r="M11" i="1750"/>
  <c r="P11" i="1750"/>
  <c r="AC11" i="1750" s="1"/>
  <c r="AF10" i="1750"/>
  <c r="Q10" i="1750"/>
  <c r="P10" i="1750"/>
  <c r="AC10" i="1750" s="1"/>
  <c r="AF9" i="1750"/>
  <c r="AB9" i="1750"/>
  <c r="Q9" i="1750"/>
  <c r="P9" i="1750"/>
  <c r="AC9" i="1750" s="1"/>
  <c r="O9" i="1750"/>
  <c r="M9" i="1750"/>
  <c r="K9" i="1750"/>
  <c r="AF8" i="1750"/>
  <c r="AB8" i="1750"/>
  <c r="Q8" i="1750"/>
  <c r="P8" i="1750"/>
  <c r="AC8" i="1750" s="1"/>
  <c r="O8" i="1750"/>
  <c r="M8" i="1750"/>
  <c r="AF7" i="1750"/>
  <c r="AB7" i="1750"/>
  <c r="Q7" i="1750"/>
  <c r="P7" i="1750"/>
  <c r="AC7" i="1750" s="1"/>
  <c r="O7" i="1750"/>
  <c r="M7" i="1750"/>
  <c r="K7" i="1750"/>
  <c r="AF6" i="1750"/>
  <c r="AB6" i="1750"/>
  <c r="Q6" i="1750"/>
  <c r="O6" i="1750"/>
  <c r="M6" i="1750"/>
  <c r="AC22" i="1752" l="1"/>
  <c r="AD6" i="1752"/>
  <c r="AD22" i="1752" s="1"/>
  <c r="AD11" i="1751"/>
  <c r="AD6" i="1751"/>
  <c r="M27" i="1751"/>
  <c r="P27" i="1751"/>
  <c r="AB27" i="1751"/>
  <c r="AD8" i="1751"/>
  <c r="AD27" i="1751" s="1"/>
  <c r="AE22" i="1751" s="1"/>
  <c r="AC27" i="1751"/>
  <c r="AD19" i="1750"/>
  <c r="AD18" i="1750"/>
  <c r="AD17" i="1750"/>
  <c r="AD11" i="1750"/>
  <c r="Q22" i="1750"/>
  <c r="AD9" i="1750"/>
  <c r="AD12" i="1750"/>
  <c r="AD15" i="1750"/>
  <c r="AD16" i="1750"/>
  <c r="AD8" i="1750"/>
  <c r="AD7" i="1750"/>
  <c r="M10" i="1750"/>
  <c r="AB10" i="1750"/>
  <c r="M13" i="1750"/>
  <c r="AB13" i="1750"/>
  <c r="AD13" i="1750" s="1"/>
  <c r="M21" i="1750"/>
  <c r="AB21" i="1750"/>
  <c r="L22" i="1750"/>
  <c r="O22" i="1750" s="1"/>
  <c r="P6" i="1750"/>
  <c r="O10" i="1750"/>
  <c r="O13" i="1750"/>
  <c r="M20" i="1750"/>
  <c r="AB20" i="1750"/>
  <c r="AD20" i="1750" s="1"/>
  <c r="O21" i="1750"/>
  <c r="AD21" i="1750" s="1"/>
  <c r="K22" i="1750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1" i="1749"/>
  <c r="K21" i="1749" s="1"/>
  <c r="L20" i="1749"/>
  <c r="K20" i="1749" s="1"/>
  <c r="L17" i="1749"/>
  <c r="M17" i="1749" s="1"/>
  <c r="L14" i="1749"/>
  <c r="K14" i="1749"/>
  <c r="L13" i="1749"/>
  <c r="K13" i="1749" s="1"/>
  <c r="L11" i="1749"/>
  <c r="L10" i="1749"/>
  <c r="O10" i="1749" s="1"/>
  <c r="K15" i="1749"/>
  <c r="K12" i="1749"/>
  <c r="K9" i="1749"/>
  <c r="K6" i="1749"/>
  <c r="A78" i="1749"/>
  <c r="A79" i="1749" s="1"/>
  <c r="A80" i="1749" s="1"/>
  <c r="A81" i="1749" s="1"/>
  <c r="A82" i="1749" s="1"/>
  <c r="A77" i="1749"/>
  <c r="AF61" i="1749"/>
  <c r="AF60" i="1749"/>
  <c r="AF63" i="1749" s="1"/>
  <c r="AA22" i="1749"/>
  <c r="Z22" i="1749"/>
  <c r="Y22" i="1749"/>
  <c r="X22" i="1749"/>
  <c r="W22" i="1749"/>
  <c r="V22" i="1749"/>
  <c r="U22" i="1749"/>
  <c r="T22" i="1749"/>
  <c r="S22" i="1749"/>
  <c r="R22" i="1749"/>
  <c r="N22" i="1749"/>
  <c r="J22" i="1749"/>
  <c r="I22" i="1749"/>
  <c r="AF21" i="1749"/>
  <c r="Q21" i="1749"/>
  <c r="P21" i="1749"/>
  <c r="AC21" i="1749" s="1"/>
  <c r="AF20" i="1749"/>
  <c r="Q20" i="1749"/>
  <c r="P20" i="1749" s="1"/>
  <c r="AC20" i="1749" s="1"/>
  <c r="M20" i="1749"/>
  <c r="AF19" i="1749"/>
  <c r="AB19" i="1749"/>
  <c r="Q19" i="1749"/>
  <c r="P19" i="1749"/>
  <c r="AC19" i="1749" s="1"/>
  <c r="O19" i="1749"/>
  <c r="M19" i="1749"/>
  <c r="K19" i="1749"/>
  <c r="AF18" i="1749"/>
  <c r="AB18" i="1749"/>
  <c r="Q18" i="1749"/>
  <c r="P18" i="1749"/>
  <c r="AC18" i="1749" s="1"/>
  <c r="O18" i="1749"/>
  <c r="M18" i="1749"/>
  <c r="K18" i="1749"/>
  <c r="AF17" i="1749"/>
  <c r="Q17" i="1749"/>
  <c r="AF16" i="1749"/>
  <c r="AB16" i="1749"/>
  <c r="Q16" i="1749"/>
  <c r="P16" i="1749"/>
  <c r="AC16" i="1749" s="1"/>
  <c r="O16" i="1749"/>
  <c r="M16" i="1749"/>
  <c r="K16" i="1749"/>
  <c r="AF15" i="1749"/>
  <c r="Q15" i="1749"/>
  <c r="M15" i="1749"/>
  <c r="AB15" i="1749"/>
  <c r="AF14" i="1749"/>
  <c r="AB14" i="1749"/>
  <c r="Q14" i="1749"/>
  <c r="P14" i="1749"/>
  <c r="AC14" i="1749" s="1"/>
  <c r="O14" i="1749"/>
  <c r="M14" i="1749"/>
  <c r="AF13" i="1749"/>
  <c r="Q13" i="1749"/>
  <c r="AF12" i="1749"/>
  <c r="Q12" i="1749"/>
  <c r="AB12" i="1749"/>
  <c r="AF11" i="1749"/>
  <c r="Q11" i="1749"/>
  <c r="AF10" i="1749"/>
  <c r="Q10" i="1749"/>
  <c r="P10" i="1749" s="1"/>
  <c r="AC10" i="1749" s="1"/>
  <c r="AF9" i="1749"/>
  <c r="Q9" i="1749"/>
  <c r="M9" i="1749"/>
  <c r="AB9" i="1749"/>
  <c r="AF8" i="1749"/>
  <c r="AB8" i="1749"/>
  <c r="Q8" i="1749"/>
  <c r="P8" i="1749"/>
  <c r="AC8" i="1749" s="1"/>
  <c r="O8" i="1749"/>
  <c r="M8" i="1749"/>
  <c r="K8" i="1749"/>
  <c r="AF7" i="1749"/>
  <c r="AC7" i="1749"/>
  <c r="AB7" i="1749"/>
  <c r="Q7" i="1749"/>
  <c r="P7" i="1749"/>
  <c r="O7" i="1749"/>
  <c r="M7" i="1749"/>
  <c r="K7" i="1749"/>
  <c r="AF6" i="1749"/>
  <c r="Q6" i="1749"/>
  <c r="O6" i="1749"/>
  <c r="AE21" i="1752" l="1"/>
  <c r="AE15" i="1752"/>
  <c r="AE14" i="1752"/>
  <c r="AE11" i="1752"/>
  <c r="AE7" i="1752"/>
  <c r="AE19" i="1752"/>
  <c r="AE18" i="1752"/>
  <c r="AE12" i="1752"/>
  <c r="AE8" i="1752"/>
  <c r="AE16" i="1752"/>
  <c r="AE13" i="1752"/>
  <c r="AE9" i="1752"/>
  <c r="AE6" i="1752"/>
  <c r="AE20" i="1752"/>
  <c r="AE17" i="1752"/>
  <c r="AE10" i="1752"/>
  <c r="AE23" i="1751"/>
  <c r="AE21" i="1751"/>
  <c r="AE15" i="1751"/>
  <c r="AE20" i="1751"/>
  <c r="AE26" i="1751"/>
  <c r="AE19" i="1751"/>
  <c r="AE16" i="1751"/>
  <c r="AE13" i="1751"/>
  <c r="AE10" i="1751"/>
  <c r="AE7" i="1751"/>
  <c r="AE8" i="1751"/>
  <c r="AE24" i="1751"/>
  <c r="AE17" i="1751"/>
  <c r="AE14" i="1751"/>
  <c r="AE6" i="1751"/>
  <c r="AE25" i="1751"/>
  <c r="AE18" i="1751"/>
  <c r="AE12" i="1751"/>
  <c r="AE9" i="1751"/>
  <c r="AE11" i="1751"/>
  <c r="AD10" i="1750"/>
  <c r="M22" i="1750"/>
  <c r="AC6" i="1750"/>
  <c r="P22" i="1750"/>
  <c r="AB22" i="1750"/>
  <c r="AB20" i="1749"/>
  <c r="O20" i="1749"/>
  <c r="O17" i="1749"/>
  <c r="P17" i="1749"/>
  <c r="AC17" i="1749" s="1"/>
  <c r="K17" i="1749"/>
  <c r="AB17" i="1749"/>
  <c r="P13" i="1749"/>
  <c r="AC13" i="1749" s="1"/>
  <c r="AB13" i="1749"/>
  <c r="O13" i="1749"/>
  <c r="M13" i="1749"/>
  <c r="Q22" i="1749"/>
  <c r="P11" i="1749"/>
  <c r="AC11" i="1749" s="1"/>
  <c r="K11" i="1749"/>
  <c r="M10" i="1749"/>
  <c r="AB10" i="1749"/>
  <c r="AD10" i="1749" s="1"/>
  <c r="K10" i="1749"/>
  <c r="P6" i="1749"/>
  <c r="AC6" i="1749" s="1"/>
  <c r="AD7" i="1749"/>
  <c r="AD20" i="1749"/>
  <c r="AD8" i="1749"/>
  <c r="AD19" i="1749"/>
  <c r="AD16" i="1749"/>
  <c r="AD18" i="1749"/>
  <c r="AD14" i="1749"/>
  <c r="M6" i="1749"/>
  <c r="AB6" i="1749"/>
  <c r="AD6" i="1749" s="1"/>
  <c r="O9" i="1749"/>
  <c r="M11" i="1749"/>
  <c r="AB11" i="1749"/>
  <c r="O12" i="1749"/>
  <c r="O15" i="1749"/>
  <c r="M21" i="1749"/>
  <c r="AB21" i="1749"/>
  <c r="L22" i="1749"/>
  <c r="O22" i="1749" s="1"/>
  <c r="K22" i="1749"/>
  <c r="P9" i="1749"/>
  <c r="AC9" i="1749" s="1"/>
  <c r="O11" i="1749"/>
  <c r="P12" i="1749"/>
  <c r="AC12" i="1749" s="1"/>
  <c r="AD12" i="1749" s="1"/>
  <c r="P15" i="1749"/>
  <c r="AC15" i="1749" s="1"/>
  <c r="AD15" i="1749" s="1"/>
  <c r="O21" i="1749"/>
  <c r="M12" i="1749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1" i="1748"/>
  <c r="K17" i="1748"/>
  <c r="L15" i="1748"/>
  <c r="K15" i="1748" s="1"/>
  <c r="L13" i="1748"/>
  <c r="K13" i="1748" s="1"/>
  <c r="L12" i="1748"/>
  <c r="L11" i="1748"/>
  <c r="K11" i="1748" s="1"/>
  <c r="L9" i="1748"/>
  <c r="L6" i="1748"/>
  <c r="AC22" i="1750" l="1"/>
  <c r="AD6" i="1750"/>
  <c r="AD22" i="1750" s="1"/>
  <c r="AD21" i="1749"/>
  <c r="AD17" i="1749"/>
  <c r="AD13" i="1749"/>
  <c r="AD11" i="1749"/>
  <c r="M22" i="1749"/>
  <c r="AD9" i="1749"/>
  <c r="AB22" i="1749"/>
  <c r="P22" i="1749"/>
  <c r="AC22" i="1749"/>
  <c r="K21" i="1748"/>
  <c r="K19" i="1748"/>
  <c r="K18" i="1748"/>
  <c r="K12" i="1748"/>
  <c r="K9" i="1748"/>
  <c r="K6" i="1748"/>
  <c r="AE18" i="1750" l="1"/>
  <c r="AE16" i="1750"/>
  <c r="AE14" i="1750"/>
  <c r="AE11" i="1750"/>
  <c r="AE8" i="1750"/>
  <c r="AE6" i="1750"/>
  <c r="AE10" i="1750"/>
  <c r="AE19" i="1750"/>
  <c r="AE17" i="1750"/>
  <c r="AE20" i="1750"/>
  <c r="AE15" i="1750"/>
  <c r="AE12" i="1750"/>
  <c r="AE9" i="1750"/>
  <c r="AE7" i="1750"/>
  <c r="AE21" i="1750"/>
  <c r="AE13" i="1750"/>
  <c r="AD22" i="1749"/>
  <c r="AE21" i="1749" s="1"/>
  <c r="AF19" i="1748"/>
  <c r="AB19" i="1748"/>
  <c r="Q19" i="1748"/>
  <c r="P19" i="1748" s="1"/>
  <c r="AC19" i="1748" s="1"/>
  <c r="O19" i="1748"/>
  <c r="M19" i="1748"/>
  <c r="AE15" i="1749" l="1"/>
  <c r="AE16" i="1749"/>
  <c r="AE17" i="1749"/>
  <c r="AE18" i="1749"/>
  <c r="AE8" i="1749"/>
  <c r="AE7" i="1749"/>
  <c r="AE10" i="1749"/>
  <c r="AE13" i="1749"/>
  <c r="AE11" i="1749"/>
  <c r="AE9" i="1749"/>
  <c r="AE19" i="1749"/>
  <c r="AE14" i="1749"/>
  <c r="AE20" i="1749"/>
  <c r="AE12" i="1749"/>
  <c r="AE6" i="1749"/>
  <c r="AD19" i="1748"/>
  <c r="K20" i="1748" l="1"/>
  <c r="A77" i="1748"/>
  <c r="A78" i="1748" s="1"/>
  <c r="A79" i="1748" s="1"/>
  <c r="A80" i="1748" s="1"/>
  <c r="A81" i="1748" s="1"/>
  <c r="A82" i="1748" s="1"/>
  <c r="AF61" i="1748"/>
  <c r="AF63" i="1748" s="1"/>
  <c r="AF60" i="1748"/>
  <c r="AA22" i="1748"/>
  <c r="Z22" i="1748"/>
  <c r="Y22" i="1748"/>
  <c r="X22" i="1748"/>
  <c r="W22" i="1748"/>
  <c r="V22" i="1748"/>
  <c r="U22" i="1748"/>
  <c r="T22" i="1748"/>
  <c r="S22" i="1748"/>
  <c r="R22" i="1748"/>
  <c r="N22" i="1748"/>
  <c r="J22" i="1748"/>
  <c r="I22" i="1748"/>
  <c r="AF21" i="1748"/>
  <c r="AB21" i="1748"/>
  <c r="Q21" i="1748"/>
  <c r="O21" i="1748"/>
  <c r="M21" i="1748"/>
  <c r="P21" i="1748"/>
  <c r="AC21" i="1748" s="1"/>
  <c r="AF20" i="1748"/>
  <c r="Q20" i="1748"/>
  <c r="P20" i="1748"/>
  <c r="AC20" i="1748" s="1"/>
  <c r="AF18" i="1748"/>
  <c r="AB18" i="1748"/>
  <c r="Q18" i="1748"/>
  <c r="P18" i="1748" s="1"/>
  <c r="AC18" i="1748" s="1"/>
  <c r="O18" i="1748"/>
  <c r="M18" i="1748"/>
  <c r="AF17" i="1748"/>
  <c r="AB17" i="1748"/>
  <c r="Q17" i="1748"/>
  <c r="P17" i="1748" s="1"/>
  <c r="AC17" i="1748" s="1"/>
  <c r="O17" i="1748"/>
  <c r="M17" i="1748"/>
  <c r="AF16" i="1748"/>
  <c r="AB16" i="1748"/>
  <c r="Q16" i="1748"/>
  <c r="P16" i="1748"/>
  <c r="AC16" i="1748" s="1"/>
  <c r="O16" i="1748"/>
  <c r="M16" i="1748"/>
  <c r="K16" i="1748"/>
  <c r="AF15" i="1748"/>
  <c r="AB15" i="1748"/>
  <c r="Q15" i="1748"/>
  <c r="P15" i="1748" s="1"/>
  <c r="AC15" i="1748" s="1"/>
  <c r="O15" i="1748"/>
  <c r="M15" i="1748"/>
  <c r="AF14" i="1748"/>
  <c r="AB14" i="1748"/>
  <c r="Q14" i="1748"/>
  <c r="P14" i="1748"/>
  <c r="AC14" i="1748" s="1"/>
  <c r="O14" i="1748"/>
  <c r="M14" i="1748"/>
  <c r="K14" i="1748"/>
  <c r="AF13" i="1748"/>
  <c r="AB13" i="1748"/>
  <c r="Q13" i="1748"/>
  <c r="P13" i="1748" s="1"/>
  <c r="AC13" i="1748" s="1"/>
  <c r="O13" i="1748"/>
  <c r="M13" i="1748"/>
  <c r="AF12" i="1748"/>
  <c r="AB12" i="1748"/>
  <c r="Q12" i="1748"/>
  <c r="P12" i="1748" s="1"/>
  <c r="AC12" i="1748" s="1"/>
  <c r="O12" i="1748"/>
  <c r="M12" i="1748"/>
  <c r="AF11" i="1748"/>
  <c r="Q11" i="1748"/>
  <c r="P11" i="1748" s="1"/>
  <c r="AC11" i="1748" s="1"/>
  <c r="O11" i="1748"/>
  <c r="AB11" i="1748"/>
  <c r="AF10" i="1748"/>
  <c r="AB10" i="1748"/>
  <c r="Q10" i="1748"/>
  <c r="P10" i="1748"/>
  <c r="AC10" i="1748" s="1"/>
  <c r="O10" i="1748"/>
  <c r="M10" i="1748"/>
  <c r="K10" i="1748"/>
  <c r="AF9" i="1748"/>
  <c r="AB9" i="1748"/>
  <c r="Q9" i="1748"/>
  <c r="P9" i="1748" s="1"/>
  <c r="AC9" i="1748" s="1"/>
  <c r="O9" i="1748"/>
  <c r="M9" i="1748"/>
  <c r="AF8" i="1748"/>
  <c r="AC8" i="1748"/>
  <c r="AB8" i="1748"/>
  <c r="Q8" i="1748"/>
  <c r="P8" i="1748"/>
  <c r="O8" i="1748"/>
  <c r="M8" i="1748"/>
  <c r="K8" i="1748"/>
  <c r="AF7" i="1748"/>
  <c r="AB7" i="1748"/>
  <c r="Q7" i="1748"/>
  <c r="P7" i="1748"/>
  <c r="AC7" i="1748" s="1"/>
  <c r="O7" i="1748"/>
  <c r="M7" i="1748"/>
  <c r="K7" i="1748"/>
  <c r="AF6" i="1748"/>
  <c r="AB6" i="1748"/>
  <c r="Q6" i="1748"/>
  <c r="P6" i="1748" s="1"/>
  <c r="AC6" i="1748" s="1"/>
  <c r="O6" i="1748"/>
  <c r="M6" i="1748"/>
  <c r="AD7" i="1748" l="1"/>
  <c r="AD21" i="1748"/>
  <c r="AD6" i="1748"/>
  <c r="AD10" i="1748"/>
  <c r="AD8" i="1748"/>
  <c r="AD18" i="1748"/>
  <c r="AD15" i="1748"/>
  <c r="Q22" i="1748"/>
  <c r="AD9" i="1748"/>
  <c r="AD17" i="1748"/>
  <c r="AD12" i="1748"/>
  <c r="AD13" i="1748"/>
  <c r="AD16" i="1748"/>
  <c r="AD14" i="1748"/>
  <c r="AD11" i="1748"/>
  <c r="L22" i="1748"/>
  <c r="O22" i="1748" s="1"/>
  <c r="P22" i="1748"/>
  <c r="M20" i="1748"/>
  <c r="AC22" i="1748"/>
  <c r="O20" i="1748"/>
  <c r="AB20" i="1748"/>
  <c r="M11" i="1748"/>
  <c r="K22" i="1748"/>
  <c r="AD20" i="1748" l="1"/>
  <c r="M22" i="1748"/>
  <c r="AB22" i="1748"/>
  <c r="AD22" i="1748" l="1"/>
  <c r="AE15" i="1748" s="1"/>
  <c r="AE7" i="1748" l="1"/>
  <c r="AE10" i="1748"/>
  <c r="AE14" i="1748"/>
  <c r="AE12" i="1748"/>
  <c r="AE20" i="1748"/>
  <c r="AE18" i="1748"/>
  <c r="AE16" i="1748"/>
  <c r="AE19" i="1748"/>
  <c r="AE13" i="1748"/>
  <c r="AE8" i="1748"/>
  <c r="AE11" i="1748"/>
  <c r="AE6" i="1748"/>
  <c r="AE17" i="1748"/>
  <c r="AE21" i="1748"/>
  <c r="AE9" i="1748"/>
</calcChain>
</file>

<file path=xl/sharedStrings.xml><?xml version="1.0" encoding="utf-8"?>
<sst xmlns="http://schemas.openxmlformats.org/spreadsheetml/2006/main" count="6439" uniqueCount="628">
  <si>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</si>
  <si>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</si>
  <si>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</si>
  <si>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</si>
  <si>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</si>
  <si>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</si>
  <si>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</si>
  <si>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</si>
  <si>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</si>
  <si>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</si>
  <si>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</si>
  <si>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</si>
  <si>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</si>
  <si>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</si>
  <si>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</si>
  <si>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</si>
  <si>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</si>
  <si>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</si>
  <si>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</si>
  <si>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</si>
  <si>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</si>
  <si>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</si>
  <si>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</si>
  <si>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</si>
  <si>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</si>
  <si>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</si>
  <si>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</si>
  <si>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</si>
  <si>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</si>
  <si>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</si>
  <si>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</si>
  <si>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</si>
  <si>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</si>
  <si>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</si>
  <si>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</si>
  <si>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</si>
  <si>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</si>
  <si>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</si>
  <si>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</si>
  <si>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</si>
  <si>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</si>
  <si>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</si>
  <si>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</si>
  <si>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</si>
  <si>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</si>
  <si>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</si>
  <si>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</si>
  <si>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</si>
  <si>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</si>
  <si>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</si>
  <si>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</si>
  <si>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</si>
  <si>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</si>
  <si>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</si>
  <si>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</si>
  <si>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</si>
  <si>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</si>
  <si>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</si>
  <si>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</si>
  <si>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</si>
  <si>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</si>
  <si>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</si>
  <si>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</si>
  <si>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</si>
  <si>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</si>
  <si>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</si>
  <si>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</si>
  <si>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</si>
  <si>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</si>
  <si>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</si>
  <si>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</si>
  <si>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</si>
  <si>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</si>
  <si>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</si>
  <si>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</si>
  <si>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</si>
  <si>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</si>
  <si>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</si>
  <si>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</si>
  <si>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</si>
  <si>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</si>
  <si>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</si>
  <si>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</si>
  <si>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</si>
  <si>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</si>
  <si>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</si>
  <si>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</si>
  <si>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</si>
  <si>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</si>
  <si>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</si>
  <si>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</si>
  <si>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</si>
  <si>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</si>
  <si>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</si>
  <si>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</si>
  <si>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</si>
  <si>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</si>
  <si>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</si>
  <si>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</si>
  <si>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</si>
  <si>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</si>
  <si>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</si>
  <si>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</si>
  <si>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</si>
  <si>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</si>
  <si>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</si>
  <si>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</si>
  <si>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</si>
  <si>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</si>
  <si>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</si>
  <si>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</si>
  <si>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</si>
  <si>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</si>
  <si>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</si>
  <si>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</si>
  <si>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</si>
  <si>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</si>
  <si>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</si>
  <si>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</si>
  <si>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</si>
  <si>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</si>
  <si>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</si>
  <si>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</si>
  <si>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</si>
  <si>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SGF2041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</si>
  <si>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</si>
  <si>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</si>
  <si>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</si>
  <si>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SF2255 I/V</t>
    <phoneticPr fontId="2" type="noConversion"/>
  </si>
  <si>
    <t>SF2255</t>
    <phoneticPr fontId="2" type="noConversion"/>
  </si>
  <si>
    <t>ADAPTER</t>
    <phoneticPr fontId="2" type="noConversion"/>
  </si>
  <si>
    <t>JD4901</t>
    <phoneticPr fontId="2" type="noConversion"/>
  </si>
  <si>
    <t>7301</t>
    <phoneticPr fontId="2" type="noConversion"/>
  </si>
  <si>
    <t>ACTUATOR</t>
    <phoneticPr fontId="2" type="noConversion"/>
  </si>
  <si>
    <t>22P</t>
    <phoneticPr fontId="2" type="noConversion"/>
  </si>
  <si>
    <t>전일 ISSUE 사항(01일)</t>
    <phoneticPr fontId="2" type="noConversion"/>
  </si>
  <si>
    <t>당일 진행 사항(02일)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</si>
  <si>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</si>
  <si>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</si>
  <si>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</si>
  <si>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SGP2030R N/P</t>
    <phoneticPr fontId="2" type="noConversion"/>
  </si>
  <si>
    <t>LEAD GUIDE</t>
    <phoneticPr fontId="2" type="noConversion"/>
  </si>
  <si>
    <t>BOTTOM</t>
    <phoneticPr fontId="2" type="noConversion"/>
  </si>
  <si>
    <t>AMB0467A-KAA-R1</t>
    <phoneticPr fontId="2" type="noConversion"/>
  </si>
  <si>
    <t>8</t>
    <phoneticPr fontId="2" type="noConversion"/>
  </si>
  <si>
    <t>KR6166-E02TB</t>
    <phoneticPr fontId="2" type="noConversion"/>
  </si>
  <si>
    <t>LATCH</t>
    <phoneticPr fontId="2" type="noConversion"/>
  </si>
  <si>
    <t>KR6166-B299YA</t>
    <phoneticPr fontId="2" type="noConversion"/>
  </si>
  <si>
    <t>12</t>
    <phoneticPr fontId="2" type="noConversion"/>
  </si>
  <si>
    <t>KR6197BGF254QA</t>
    <phoneticPr fontId="2" type="noConversion"/>
  </si>
  <si>
    <t>STOPPER</t>
    <phoneticPr fontId="2" type="noConversion"/>
  </si>
  <si>
    <t>AMB1933A-KAA-R1</t>
    <phoneticPr fontId="2" type="noConversion"/>
  </si>
  <si>
    <t>AMB0184A-KAA-R1</t>
    <phoneticPr fontId="2" type="noConversion"/>
  </si>
  <si>
    <t>KR6197-D841PB</t>
    <phoneticPr fontId="2" type="noConversion"/>
  </si>
  <si>
    <t>KR6408-GA480PNB</t>
    <phoneticPr fontId="2" type="noConversion"/>
  </si>
  <si>
    <t>HDB75-M01A5-1L</t>
    <phoneticPr fontId="2" type="noConversion"/>
  </si>
  <si>
    <t>SF2250EPR I/V</t>
    <phoneticPr fontId="2" type="noConversion"/>
  </si>
  <si>
    <t>FRONT/REAR</t>
    <phoneticPr fontId="2" type="noConversion"/>
  </si>
  <si>
    <t>2*2</t>
    <phoneticPr fontId="2" type="noConversion"/>
  </si>
  <si>
    <t>BG255-01A1</t>
    <phoneticPr fontId="2" type="noConversion"/>
  </si>
  <si>
    <t>HDB75-M01A1-1L</t>
    <phoneticPr fontId="2" type="noConversion"/>
  </si>
  <si>
    <t>AMB07W9A-KAA-R2</t>
    <phoneticPr fontId="2" type="noConversion"/>
  </si>
  <si>
    <t>NP595-877-014#LB</t>
    <phoneticPr fontId="2" type="noConversion"/>
  </si>
  <si>
    <t>4*4/8*8</t>
    <phoneticPr fontId="2" type="noConversion"/>
  </si>
  <si>
    <t>2*1</t>
    <phoneticPr fontId="2" type="noConversion"/>
  </si>
  <si>
    <r>
      <t>2020년 06월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</si>
  <si>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06월 호기별 가동현황</t>
    <phoneticPr fontId="2" type="noConversion"/>
  </si>
  <si>
    <t>수리후양산-&gt;1C뜯김</t>
    <phoneticPr fontId="2" type="noConversion"/>
  </si>
  <si>
    <t>MCS</t>
    <phoneticPr fontId="2" type="noConversion"/>
  </si>
  <si>
    <t>6</t>
    <phoneticPr fontId="2" type="noConversion"/>
  </si>
  <si>
    <t>LEAD GUIDE</t>
    <phoneticPr fontId="2" type="noConversion"/>
  </si>
  <si>
    <t>AMB0467A-KAA-R1</t>
    <phoneticPr fontId="2" type="noConversion"/>
  </si>
  <si>
    <t>AMB07W9A-KAA-R2</t>
    <phoneticPr fontId="2" type="noConversion"/>
  </si>
  <si>
    <t>승인후양산</t>
    <phoneticPr fontId="2" type="noConversion"/>
  </si>
  <si>
    <t>10</t>
    <phoneticPr fontId="2" type="noConversion"/>
  </si>
  <si>
    <t>ADAPTER</t>
    <phoneticPr fontId="2" type="noConversion"/>
  </si>
  <si>
    <t>발주분양산-&gt;가스정지</t>
    <phoneticPr fontId="2" type="noConversion"/>
  </si>
  <si>
    <t>AYE</t>
    <phoneticPr fontId="2" type="noConversion"/>
  </si>
  <si>
    <t>12</t>
    <phoneticPr fontId="2" type="noConversion"/>
  </si>
  <si>
    <t>NP595-877-014#LB</t>
    <phoneticPr fontId="2" type="noConversion"/>
  </si>
  <si>
    <t>수리후양산</t>
    <phoneticPr fontId="2" type="noConversion"/>
  </si>
  <si>
    <t>30P(4POST)</t>
    <phoneticPr fontId="2" type="noConversion"/>
  </si>
  <si>
    <t>발주분양산</t>
    <phoneticPr fontId="2" type="noConversion"/>
  </si>
  <si>
    <t>DI</t>
    <phoneticPr fontId="2" type="noConversion"/>
  </si>
  <si>
    <t>16</t>
    <phoneticPr fontId="2" type="noConversion"/>
  </si>
  <si>
    <t>HDB08NL-78S2</t>
    <phoneticPr fontId="2" type="noConversion"/>
  </si>
  <si>
    <t>SLIDER</t>
    <phoneticPr fontId="2" type="noConversion"/>
  </si>
  <si>
    <t>SGF2030 N/P</t>
    <phoneticPr fontId="2" type="noConversion"/>
  </si>
  <si>
    <t>수정</t>
    <phoneticPr fontId="2" type="noConversion"/>
  </si>
  <si>
    <t>2</t>
    <phoneticPr fontId="2" type="noConversion"/>
  </si>
  <si>
    <t>HDB08NL-78T4</t>
    <phoneticPr fontId="2" type="noConversion"/>
  </si>
  <si>
    <t>SGF2041</t>
    <phoneticPr fontId="2" type="noConversion"/>
  </si>
  <si>
    <t>5</t>
    <phoneticPr fontId="2" type="noConversion"/>
  </si>
  <si>
    <t>HICON</t>
    <phoneticPr fontId="2" type="noConversion"/>
  </si>
  <si>
    <t>STOPPER</t>
    <phoneticPr fontId="2" type="noConversion"/>
  </si>
  <si>
    <t>HDB08PL-96L5</t>
    <phoneticPr fontId="2" type="noConversion"/>
  </si>
  <si>
    <t>신작</t>
    <phoneticPr fontId="2" type="noConversion"/>
  </si>
  <si>
    <t>13</t>
    <phoneticPr fontId="2" type="noConversion"/>
  </si>
  <si>
    <t>HDB08PL-96T4</t>
    <phoneticPr fontId="2" type="noConversion"/>
  </si>
  <si>
    <t>오조립</t>
    <phoneticPr fontId="2" type="noConversion"/>
  </si>
  <si>
    <t>HDB08NL-78B1</t>
    <phoneticPr fontId="2" type="noConversion"/>
  </si>
  <si>
    <t>14</t>
    <phoneticPr fontId="2" type="noConversion"/>
  </si>
  <si>
    <t>HDB08NL-78L5</t>
    <phoneticPr fontId="2" type="noConversion"/>
  </si>
  <si>
    <t>15</t>
    <phoneticPr fontId="2" type="noConversion"/>
  </si>
  <si>
    <r>
      <t>2020년 06월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</si>
  <si>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AMM0890A-KAD-R1</t>
    <phoneticPr fontId="2" type="noConversion"/>
  </si>
  <si>
    <t>30P</t>
    <phoneticPr fontId="2" type="noConversion"/>
  </si>
  <si>
    <t>전일 ISSUE 사항(02일)</t>
    <phoneticPr fontId="2" type="noConversion"/>
  </si>
  <si>
    <t>수리후양산-&gt;1C파손진행</t>
    <phoneticPr fontId="2" type="noConversion"/>
  </si>
  <si>
    <t>발주분양산-&gt;밀핀수리</t>
    <phoneticPr fontId="2" type="noConversion"/>
  </si>
  <si>
    <t>9</t>
    <phoneticPr fontId="2" type="noConversion"/>
  </si>
  <si>
    <t>당일 진행 사항(03일)</t>
    <phoneticPr fontId="2" type="noConversion"/>
  </si>
  <si>
    <t>LEAD IN</t>
    <phoneticPr fontId="2" type="noConversion"/>
  </si>
  <si>
    <t>K-JR01936-M01ABB</t>
    <phoneticPr fontId="2" type="noConversion"/>
  </si>
  <si>
    <t>11</t>
    <phoneticPr fontId="2" type="noConversion"/>
  </si>
  <si>
    <t>COVER</t>
    <phoneticPr fontId="2" type="noConversion"/>
  </si>
  <si>
    <t>K-JR01936-C01AWA</t>
    <phoneticPr fontId="2" type="noConversion"/>
  </si>
  <si>
    <t>K-JR01936-A153AWB</t>
    <phoneticPr fontId="2" type="noConversion"/>
  </si>
  <si>
    <t>FLOAT</t>
    <phoneticPr fontId="2" type="noConversion"/>
  </si>
  <si>
    <t>SAMPLE 진행 사항(02일)</t>
    <phoneticPr fontId="2" type="noConversion"/>
  </si>
  <si>
    <t>KR6458AB456CA</t>
    <phoneticPr fontId="2" type="noConversion"/>
  </si>
  <si>
    <t>SGF2033 B/K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</si>
  <si>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</si>
  <si>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</si>
  <si>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06월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</si>
  <si>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SGF2030</t>
    <phoneticPr fontId="2" type="noConversion"/>
  </si>
  <si>
    <t>AMM0899A-KAB-R1</t>
    <phoneticPr fontId="2" type="noConversion"/>
  </si>
  <si>
    <t>SF2255 O/R</t>
    <phoneticPr fontId="2" type="noConversion"/>
  </si>
  <si>
    <t>전일 ISSUE 사항(03일)</t>
    <phoneticPr fontId="2" type="noConversion"/>
  </si>
  <si>
    <t>3</t>
    <phoneticPr fontId="2" type="noConversion"/>
  </si>
  <si>
    <t>30P(구형)</t>
    <phoneticPr fontId="2" type="noConversion"/>
  </si>
  <si>
    <t>코아파손수리</t>
    <phoneticPr fontId="2" type="noConversion"/>
  </si>
  <si>
    <t>미성형수리</t>
    <phoneticPr fontId="2" type="noConversion"/>
  </si>
  <si>
    <t>2829HQN05-5632-C4</t>
    <phoneticPr fontId="2" type="noConversion"/>
  </si>
  <si>
    <t>뜯김수리-&gt;런너코아빠짐정지</t>
    <phoneticPr fontId="2" type="noConversion"/>
  </si>
  <si>
    <t>당일 진행 사항(04일)</t>
    <phoneticPr fontId="2" type="noConversion"/>
  </si>
  <si>
    <t>AMM0849A-KAA-R2</t>
    <phoneticPr fontId="2" type="noConversion"/>
  </si>
  <si>
    <t>AMM0850A-KAA-R2</t>
    <phoneticPr fontId="2" type="noConversion"/>
  </si>
  <si>
    <t>KR6166-GD200QB</t>
    <phoneticPr fontId="2" type="noConversion"/>
  </si>
  <si>
    <t>1</t>
    <phoneticPr fontId="2" type="noConversion"/>
  </si>
  <si>
    <t>SAMPLE 진행 사항(03일)</t>
    <phoneticPr fontId="2" type="noConversion"/>
  </si>
  <si>
    <t>KR6166-GP200JA</t>
    <phoneticPr fontId="2" type="noConversion"/>
  </si>
  <si>
    <t>옵션</t>
    <phoneticPr fontId="2" type="noConversion"/>
  </si>
  <si>
    <t>원재료 잘못찍음</t>
    <phoneticPr fontId="2" type="noConversion"/>
  </si>
  <si>
    <t>HDB08PL-96S2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</si>
  <si>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</si>
  <si>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</si>
  <si>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2020년 06월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</si>
  <si>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AMB0230A-KAA-R1</t>
    <phoneticPr fontId="2" type="noConversion"/>
  </si>
  <si>
    <t>GN2330</t>
    <phoneticPr fontId="2" type="noConversion"/>
  </si>
  <si>
    <t>FLOATING</t>
    <phoneticPr fontId="2" type="noConversion"/>
  </si>
  <si>
    <t>2829HQN05-3225-F3</t>
    <phoneticPr fontId="2" type="noConversion"/>
  </si>
  <si>
    <t>8301</t>
    <phoneticPr fontId="2" type="noConversion"/>
  </si>
  <si>
    <t>KR6157-B038UA</t>
    <phoneticPr fontId="2" type="noConversion"/>
  </si>
  <si>
    <t>KR6157-C038TA</t>
    <phoneticPr fontId="2" type="noConversion"/>
  </si>
  <si>
    <t>KR6157-D038UA</t>
    <phoneticPr fontId="2" type="noConversion"/>
  </si>
  <si>
    <t>KR6157-F038UA</t>
    <phoneticPr fontId="2" type="noConversion"/>
  </si>
  <si>
    <t>HOLDER</t>
    <phoneticPr fontId="2" type="noConversion"/>
  </si>
  <si>
    <t>KR6157-H038TA</t>
    <phoneticPr fontId="2" type="noConversion"/>
  </si>
  <si>
    <t>KR6157-E038TA</t>
    <phoneticPr fontId="2" type="noConversion"/>
  </si>
  <si>
    <t>전일 ISSUE 사항(04일)</t>
    <phoneticPr fontId="2" type="noConversion"/>
  </si>
  <si>
    <t>미성형수리-&gt;미성형정지</t>
    <phoneticPr fontId="2" type="noConversion"/>
  </si>
  <si>
    <t>런너코아빠짐수리-&gt;미성형정지</t>
    <phoneticPr fontId="2" type="noConversion"/>
  </si>
  <si>
    <t>13.14</t>
    <phoneticPr fontId="2" type="noConversion"/>
  </si>
  <si>
    <t>이관금형 6종 양산</t>
    <phoneticPr fontId="2" type="noConversion"/>
  </si>
  <si>
    <t>당일 진행 사항(05일)</t>
    <phoneticPr fontId="2" type="noConversion"/>
  </si>
  <si>
    <t>발주분양산-&gt;칼퀴파손정지</t>
    <phoneticPr fontId="2" type="noConversion"/>
  </si>
  <si>
    <t>7</t>
    <phoneticPr fontId="2" type="noConversion"/>
  </si>
  <si>
    <t>발주분양산-&gt;코아파손정지</t>
    <phoneticPr fontId="2" type="noConversion"/>
  </si>
  <si>
    <t>2829HQN05-3225-B1</t>
    <phoneticPr fontId="2" type="noConversion"/>
  </si>
  <si>
    <t>SAMPLE 진행 사항(04일)</t>
    <phoneticPr fontId="2" type="noConversion"/>
  </si>
  <si>
    <t>K-JR01887-G03ABB</t>
    <phoneticPr fontId="2" type="noConversion"/>
  </si>
  <si>
    <t>이관</t>
    <phoneticPr fontId="2" type="noConversion"/>
  </si>
  <si>
    <t>품  명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</si>
  <si>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</si>
  <si>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</si>
  <si>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2020년 06월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</si>
  <si>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KR6157-GB038AA</t>
    <phoneticPr fontId="2" type="noConversion"/>
  </si>
  <si>
    <t>HDB08PL-96B1</t>
    <phoneticPr fontId="2" type="noConversion"/>
  </si>
  <si>
    <t>전일 ISSUE 사항(05일)</t>
    <phoneticPr fontId="2" type="noConversion"/>
  </si>
  <si>
    <t>수리후양산-&gt;칼퀴수리양산</t>
    <phoneticPr fontId="2" type="noConversion"/>
  </si>
  <si>
    <t>당일 진행 사항(06일)</t>
    <phoneticPr fontId="2" type="noConversion"/>
  </si>
  <si>
    <t>2829HQN05-3225-B2</t>
    <phoneticPr fontId="2" type="noConversion"/>
  </si>
  <si>
    <t>수정후양산</t>
    <phoneticPr fontId="2" type="noConversion"/>
  </si>
  <si>
    <t>4</t>
    <phoneticPr fontId="2" type="noConversion"/>
  </si>
  <si>
    <t>SAMPLE 진행 사항(05일)</t>
    <phoneticPr fontId="2" type="noConversion"/>
  </si>
  <si>
    <t>HDB75-M01A2(증)</t>
    <phoneticPr fontId="2" type="noConversion"/>
  </si>
  <si>
    <t>하측뜯김 2회진행</t>
    <phoneticPr fontId="2" type="noConversion"/>
  </si>
  <si>
    <t>HL192-10M3/M4</t>
    <phoneticPr fontId="2" type="noConversion"/>
  </si>
  <si>
    <t>50*2</t>
    <phoneticPr fontId="2" type="noConversion"/>
  </si>
  <si>
    <t>런너박힘2회진행</t>
    <phoneticPr fontId="2" type="noConversion"/>
  </si>
  <si>
    <t>HL192-10A-M5</t>
    <phoneticPr fontId="2" type="noConversion"/>
  </si>
  <si>
    <t>HL192-10A1-M1/M2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</si>
  <si>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</si>
  <si>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</si>
  <si>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t>형체이상</t>
    <phoneticPr fontId="2" type="noConversion"/>
  </si>
  <si>
    <t>엥겔</t>
    <phoneticPr fontId="2" type="noConversion"/>
  </si>
  <si>
    <t>드라이버 교체</t>
    <phoneticPr fontId="2" type="noConversion"/>
  </si>
  <si>
    <t>수리예정</t>
    <phoneticPr fontId="2" type="noConversion"/>
  </si>
  <si>
    <r>
      <t>2020년 06월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</si>
  <si>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NP595-352-012#IN</t>
    <phoneticPr fontId="2" type="noConversion"/>
  </si>
  <si>
    <t>SGP2030R</t>
    <phoneticPr fontId="2" type="noConversion"/>
  </si>
  <si>
    <t>전일 ISSUE 사항(06일)</t>
    <phoneticPr fontId="2" type="noConversion"/>
  </si>
  <si>
    <t>미성형2회수리-&gt;미성형정지</t>
    <phoneticPr fontId="2" type="noConversion"/>
  </si>
  <si>
    <t>수리후양산-&gt;칼퀴수리-&gt;1C파손양산</t>
    <phoneticPr fontId="2" type="noConversion"/>
  </si>
  <si>
    <t>발주분양산-&gt;뜯김</t>
    <phoneticPr fontId="2" type="noConversion"/>
  </si>
  <si>
    <t>당일 진행 사항(07일)</t>
    <phoneticPr fontId="2" type="noConversion"/>
  </si>
  <si>
    <t>NP595-352-012#LB</t>
    <phoneticPr fontId="2" type="noConversion"/>
  </si>
  <si>
    <t>SAMPLE 진행 사항(06일)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</si>
  <si>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</si>
  <si>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</si>
  <si>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06월 07일(주간)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</si>
  <si>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72P</t>
    <phoneticPr fontId="2" type="noConversion"/>
  </si>
  <si>
    <t>전일 ISSUE 사항(07일)</t>
    <phoneticPr fontId="2" type="noConversion"/>
  </si>
  <si>
    <t>코아파손정지</t>
    <phoneticPr fontId="2" type="noConversion"/>
  </si>
  <si>
    <t>당일 진행 사항(08일)</t>
    <phoneticPr fontId="2" type="noConversion"/>
  </si>
  <si>
    <t>DI</t>
    <phoneticPr fontId="2" type="noConversion"/>
  </si>
  <si>
    <t>16</t>
    <phoneticPr fontId="2" type="noConversion"/>
  </si>
  <si>
    <t>72P</t>
    <phoneticPr fontId="2" type="noConversion"/>
  </si>
  <si>
    <t>NP595-877-014#LB</t>
    <phoneticPr fontId="2" type="noConversion"/>
  </si>
  <si>
    <t>치수확인후양산</t>
    <phoneticPr fontId="2" type="noConversion"/>
  </si>
  <si>
    <t>HDB08NL-78T4</t>
    <phoneticPr fontId="2" type="noConversion"/>
  </si>
  <si>
    <t>세척후양산</t>
    <phoneticPr fontId="2" type="noConversion"/>
  </si>
  <si>
    <t>5</t>
    <phoneticPr fontId="2" type="noConversion"/>
  </si>
  <si>
    <t>STOPPER</t>
    <phoneticPr fontId="2" type="noConversion"/>
  </si>
  <si>
    <t>SAMPLE 진행 사항(07일)</t>
    <phoneticPr fontId="2" type="noConversion"/>
  </si>
  <si>
    <t>KR6166-GP200JA</t>
    <phoneticPr fontId="2" type="noConversion"/>
  </si>
  <si>
    <t>BLUE</t>
    <phoneticPr fontId="2" type="noConversion"/>
  </si>
  <si>
    <t>신작</t>
    <phoneticPr fontId="2" type="noConversion"/>
  </si>
  <si>
    <t>2</t>
    <phoneticPr fontId="2" type="noConversion"/>
  </si>
  <si>
    <t>SST</t>
    <phoneticPr fontId="2" type="noConversion"/>
  </si>
  <si>
    <t>ADAPTER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</si>
  <si>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</si>
  <si>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</si>
  <si>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2020년 06월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</si>
  <si>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KR6166CB299YA</t>
    <phoneticPr fontId="2" type="noConversion"/>
  </si>
  <si>
    <t>전일 ISSUE 사항(08일)</t>
    <phoneticPr fontId="2" type="noConversion"/>
  </si>
  <si>
    <t>KR6166CB299YA</t>
    <phoneticPr fontId="2" type="noConversion"/>
  </si>
  <si>
    <t>수정후양산</t>
    <phoneticPr fontId="2" type="noConversion"/>
  </si>
  <si>
    <t>SST</t>
    <phoneticPr fontId="2" type="noConversion"/>
  </si>
  <si>
    <t>13</t>
    <phoneticPr fontId="2" type="noConversion"/>
  </si>
  <si>
    <t>BASE</t>
    <phoneticPr fontId="2" type="noConversion"/>
  </si>
  <si>
    <t>당일 진행 사항(10일)</t>
    <phoneticPr fontId="2" type="noConversion"/>
  </si>
  <si>
    <t>AM0164A-A</t>
    <phoneticPr fontId="2" type="noConversion"/>
  </si>
  <si>
    <t>발주분양산</t>
    <phoneticPr fontId="2" type="noConversion"/>
  </si>
  <si>
    <t>14</t>
    <phoneticPr fontId="2" type="noConversion"/>
  </si>
  <si>
    <t>38P</t>
    <phoneticPr fontId="2" type="noConversion"/>
  </si>
  <si>
    <t>SAMPLE 진행 사항(08일)</t>
    <phoneticPr fontId="2" type="noConversion"/>
  </si>
  <si>
    <t>KR6166-B299YA(증)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</si>
  <si>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</si>
  <si>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</si>
  <si>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06월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</si>
  <si>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E PR</t>
    <phoneticPr fontId="2" type="noConversion"/>
  </si>
  <si>
    <t>BURR정지</t>
    <phoneticPr fontId="2" type="noConversion"/>
  </si>
  <si>
    <t>발주분양산-&gt;뜯김수리</t>
    <phoneticPr fontId="2" type="noConversion"/>
  </si>
  <si>
    <t>전일 ISSUE 사항(09일)</t>
    <phoneticPr fontId="2" type="noConversion"/>
  </si>
  <si>
    <t>당일 진행 사항(09일)</t>
    <phoneticPr fontId="2" type="noConversion"/>
  </si>
  <si>
    <t>KR6181-D221UA</t>
    <phoneticPr fontId="2" type="noConversion"/>
  </si>
  <si>
    <t>KR6181-C221TA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</si>
  <si>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</si>
  <si>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</si>
  <si>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</si>
  <si>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06월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</si>
  <si>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TOP/BOTTOM</t>
    <phoneticPr fontId="2" type="noConversion"/>
  </si>
  <si>
    <t>HL192-10A1-M1/2</t>
    <phoneticPr fontId="2" type="noConversion"/>
  </si>
  <si>
    <t>전일 ISSUE 사항(10일)</t>
    <phoneticPr fontId="2" type="noConversion"/>
  </si>
  <si>
    <t>미성형수리-&gt;런너박힘2회수리</t>
    <phoneticPr fontId="2" type="noConversion"/>
  </si>
  <si>
    <t>발주분양산-&gt;밀핀파손정지</t>
    <phoneticPr fontId="2" type="noConversion"/>
  </si>
  <si>
    <t>미성형정지</t>
    <phoneticPr fontId="2" type="noConversion"/>
  </si>
  <si>
    <t>셈플승인후양산</t>
    <phoneticPr fontId="2" type="noConversion"/>
  </si>
  <si>
    <t>당일 진행 사항(11일)</t>
    <phoneticPr fontId="2" type="noConversion"/>
  </si>
  <si>
    <t>SAMPLE 진행 사항(10일)</t>
    <phoneticPr fontId="2" type="noConversion"/>
  </si>
  <si>
    <t>KR6166AA252TA</t>
    <phoneticPr fontId="2" type="noConversion"/>
  </si>
  <si>
    <t>HL192-10M3/4</t>
    <phoneticPr fontId="2" type="noConversion"/>
  </si>
  <si>
    <t>BODY/LID</t>
    <phoneticPr fontId="2" type="noConversion"/>
  </si>
  <si>
    <t>PLUNGER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</si>
  <si>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</si>
  <si>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</si>
  <si>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06월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</si>
  <si>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KR6166-F299UA</t>
    <phoneticPr fontId="2" type="noConversion"/>
  </si>
  <si>
    <t>전일 ISSUE 사항(11일)</t>
    <phoneticPr fontId="2" type="noConversion"/>
  </si>
  <si>
    <t>수정안됨</t>
    <phoneticPr fontId="2" type="noConversion"/>
  </si>
  <si>
    <t>AMB07W9A-KAA-R1</t>
    <phoneticPr fontId="2" type="noConversion"/>
  </si>
  <si>
    <t>세척후양산-&gt;설비이상정지</t>
    <phoneticPr fontId="2" type="noConversion"/>
  </si>
  <si>
    <t>당일 진행 사항(12일)</t>
    <phoneticPr fontId="2" type="noConversion"/>
  </si>
  <si>
    <t>AM0148A-K-R2</t>
    <phoneticPr fontId="2" type="noConversion"/>
  </si>
  <si>
    <t>SAMPLE 진행 사항(11일)</t>
    <phoneticPr fontId="2" type="noConversion"/>
  </si>
  <si>
    <t>KR6182-GA168QA</t>
    <phoneticPr fontId="2" type="noConversion"/>
  </si>
  <si>
    <t>KR6454-A352YA</t>
    <phoneticPr fontId="2" type="noConversion"/>
  </si>
  <si>
    <t>SGF2050</t>
    <phoneticPr fontId="2" type="noConversion"/>
  </si>
  <si>
    <t>HT00-M64A4-7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</si>
  <si>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</si>
  <si>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</si>
  <si>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2020년 06월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</si>
  <si>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HT00-M64A4-7</t>
    <phoneticPr fontId="2" type="noConversion"/>
  </si>
  <si>
    <t>전일 ISSUE 사항(12일)</t>
    <phoneticPr fontId="2" type="noConversion"/>
  </si>
  <si>
    <t>LATCH</t>
    <phoneticPr fontId="2" type="noConversion"/>
  </si>
  <si>
    <t>당일 진행 사항(13일)</t>
    <phoneticPr fontId="2" type="noConversion"/>
  </si>
  <si>
    <t>AMB0184A-KAA-R1</t>
    <phoneticPr fontId="2" type="noConversion"/>
  </si>
  <si>
    <t>수정후양산</t>
    <phoneticPr fontId="2" type="noConversion"/>
  </si>
  <si>
    <t>4</t>
    <phoneticPr fontId="2" type="noConversion"/>
  </si>
  <si>
    <t>BASE</t>
    <phoneticPr fontId="2" type="noConversion"/>
  </si>
  <si>
    <t>AMB0182A-KAA-R1</t>
    <phoneticPr fontId="2" type="noConversion"/>
  </si>
  <si>
    <t>AMB1932A-KAA-R1</t>
    <phoneticPr fontId="2" type="noConversion"/>
  </si>
  <si>
    <t>SAMPLE 진행 사항(12일)</t>
    <phoneticPr fontId="2" type="noConversion"/>
  </si>
  <si>
    <t>K-AR3532-1A</t>
    <phoneticPr fontId="2" type="noConversion"/>
  </si>
  <si>
    <t>SGF2033 N/P</t>
    <phoneticPr fontId="2" type="noConversion"/>
  </si>
  <si>
    <t>F/ADAPTER</t>
    <phoneticPr fontId="2" type="noConversion"/>
  </si>
  <si>
    <t>AMB20E4B-KAA-R1</t>
    <phoneticPr fontId="2" type="noConversion"/>
  </si>
  <si>
    <t>오조립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</si>
  <si>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</si>
  <si>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</si>
  <si>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2020년 06월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</si>
  <si>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전일 ISSUE 사항(13일)</t>
    <phoneticPr fontId="2" type="noConversion"/>
  </si>
  <si>
    <t>뜯김정지</t>
    <phoneticPr fontId="2" type="noConversion"/>
  </si>
  <si>
    <t>당일 진행 사항(14일)</t>
    <phoneticPr fontId="2" type="noConversion"/>
  </si>
  <si>
    <t>KR6150-E052TA</t>
    <phoneticPr fontId="2" type="noConversion"/>
  </si>
  <si>
    <t>HDB08NL-78B1(4C)</t>
    <phoneticPr fontId="2" type="noConversion"/>
  </si>
  <si>
    <t>증작후양산</t>
    <phoneticPr fontId="2" type="noConversion"/>
  </si>
  <si>
    <t>HDB08NL-78L5(4C)</t>
    <phoneticPr fontId="2" type="noConversion"/>
  </si>
  <si>
    <t>SAMPLE 진행 사항(13일)</t>
    <phoneticPr fontId="2" type="noConversion"/>
  </si>
  <si>
    <t>AMB20E4A-KAA-R6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</si>
  <si>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</si>
  <si>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</si>
  <si>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2020년 06월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</si>
  <si>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KR6166-GG200QB</t>
    <phoneticPr fontId="2" type="noConversion"/>
  </si>
  <si>
    <t>전일 ISSUE 사항(15일)</t>
    <phoneticPr fontId="2" type="noConversion"/>
  </si>
  <si>
    <t>발주분양산-&gt;BURR정지</t>
    <phoneticPr fontId="2" type="noConversion"/>
  </si>
  <si>
    <t>당일 진행 사항(16일)</t>
    <phoneticPr fontId="2" type="noConversion"/>
  </si>
  <si>
    <t>FINE</t>
    <phoneticPr fontId="2" type="noConversion"/>
  </si>
  <si>
    <t>7.5MM BODY</t>
    <phoneticPr fontId="2" type="noConversion"/>
  </si>
  <si>
    <t>7.5MM CAP</t>
    <phoneticPr fontId="2" type="noConversion"/>
  </si>
  <si>
    <t>OKINS</t>
    <phoneticPr fontId="2" type="noConversion"/>
  </si>
  <si>
    <t>25SSD-127-T6-BB</t>
    <phoneticPr fontId="2" type="noConversion"/>
  </si>
  <si>
    <t>SAMPLE 진행 사항(15일)</t>
    <phoneticPr fontId="2" type="noConversion"/>
  </si>
  <si>
    <t>SF2250EPR N/P</t>
    <phoneticPr fontId="2" type="noConversion"/>
  </si>
  <si>
    <t>증작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</si>
  <si>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</si>
  <si>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</si>
  <si>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2020년 06월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</si>
  <si>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K-AR3533-1A</t>
    <phoneticPr fontId="2" type="noConversion"/>
  </si>
  <si>
    <t>7.5MM</t>
    <phoneticPr fontId="2" type="noConversion"/>
  </si>
  <si>
    <t>F11 B/K</t>
    <phoneticPr fontId="2" type="noConversion"/>
  </si>
  <si>
    <t>KR6422DB804CA</t>
    <phoneticPr fontId="2" type="noConversion"/>
  </si>
  <si>
    <t xml:space="preserve">SGF2033 </t>
    <phoneticPr fontId="2" type="noConversion"/>
  </si>
  <si>
    <t>F11 N/P</t>
    <phoneticPr fontId="2" type="noConversion"/>
  </si>
  <si>
    <t>KR6125-B048UA</t>
    <phoneticPr fontId="2" type="noConversion"/>
  </si>
  <si>
    <t>BASE/UNDER</t>
    <phoneticPr fontId="2" type="noConversion"/>
  </si>
  <si>
    <t>전일 ISSUE 사항(16일)</t>
    <phoneticPr fontId="2" type="noConversion"/>
  </si>
  <si>
    <t>7.5MM(BODY)</t>
    <phoneticPr fontId="2" type="noConversion"/>
  </si>
  <si>
    <t>7.5MM(COVER)</t>
    <phoneticPr fontId="2" type="noConversion"/>
  </si>
  <si>
    <t>당일 진행 사항(17일)</t>
    <phoneticPr fontId="2" type="noConversion"/>
  </si>
  <si>
    <t>K-AR3534-1A</t>
    <phoneticPr fontId="2" type="noConversion"/>
  </si>
  <si>
    <t>Rivet</t>
    <phoneticPr fontId="2" type="noConversion"/>
  </si>
  <si>
    <t>SAMPLE 진행 사항(16일)</t>
    <phoneticPr fontId="2" type="noConversion"/>
  </si>
  <si>
    <t>상측박힘2회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</si>
  <si>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</si>
  <si>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</si>
  <si>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06월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</si>
  <si>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K-AR3531-1A</t>
    <phoneticPr fontId="2" type="noConversion"/>
  </si>
  <si>
    <t>전일 ISSUE 사항(17일)</t>
    <phoneticPr fontId="2" type="noConversion"/>
  </si>
  <si>
    <t>이물제거후양산-&gt;런너박힘정지</t>
    <phoneticPr fontId="2" type="noConversion"/>
  </si>
  <si>
    <t>코아파손수리후양산</t>
    <phoneticPr fontId="2" type="noConversion"/>
  </si>
  <si>
    <t>당일 진행 사항(18일)</t>
    <phoneticPr fontId="2" type="noConversion"/>
  </si>
  <si>
    <t>발주분양산-&gt;하측박힘정지</t>
    <phoneticPr fontId="2" type="noConversion"/>
  </si>
  <si>
    <t>NP628-1056-001#IN-B</t>
    <phoneticPr fontId="2" type="noConversion"/>
  </si>
  <si>
    <t>NP628-1056-001#IN-A</t>
    <phoneticPr fontId="2" type="noConversion"/>
  </si>
  <si>
    <t>SAMPLE 진행 사항(17일)</t>
    <phoneticPr fontId="2" type="noConversion"/>
  </si>
  <si>
    <t>KR6125-A048AD</t>
    <phoneticPr fontId="2" type="noConversion"/>
  </si>
  <si>
    <t>KR6152-GD134AA</t>
    <phoneticPr fontId="2" type="noConversion"/>
  </si>
  <si>
    <t>KR6166-GAB178QA</t>
    <phoneticPr fontId="2" type="noConversion"/>
  </si>
  <si>
    <t>뜯김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</si>
  <si>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</si>
  <si>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</si>
  <si>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2020년 06월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</si>
  <si>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RIVET</t>
    <phoneticPr fontId="2" type="noConversion"/>
  </si>
  <si>
    <t>RTP</t>
    <phoneticPr fontId="2" type="noConversion"/>
  </si>
  <si>
    <t>LG35</t>
    <phoneticPr fontId="2" type="noConversion"/>
  </si>
  <si>
    <t>전일 ISSUE 사항(18일)</t>
    <phoneticPr fontId="2" type="noConversion"/>
  </si>
  <si>
    <t>수리후양산-&gt;칼퀴이상정지</t>
    <phoneticPr fontId="2" type="noConversion"/>
  </si>
  <si>
    <t>2C양산</t>
    <phoneticPr fontId="2" type="noConversion"/>
  </si>
  <si>
    <t>당일 진행 사항(19일)</t>
    <phoneticPr fontId="2" type="noConversion"/>
  </si>
  <si>
    <t>LID</t>
    <phoneticPr fontId="2" type="noConversion"/>
  </si>
  <si>
    <t>HL192-10A-M4</t>
    <phoneticPr fontId="2" type="noConversion"/>
  </si>
  <si>
    <t>SAMPLE 진행 사항(18일)</t>
    <phoneticPr fontId="2" type="noConversion"/>
  </si>
  <si>
    <t>KR6182-GG168QA</t>
    <phoneticPr fontId="2" type="noConversion"/>
  </si>
  <si>
    <t>HDB08NL-78T4(4C)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</si>
  <si>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</si>
  <si>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</si>
  <si>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2020년 06월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</si>
  <si>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SPL/발주</t>
    <phoneticPr fontId="2" type="noConversion"/>
  </si>
  <si>
    <t>전일 ISSUE 사항(19일)</t>
    <phoneticPr fontId="2" type="noConversion"/>
  </si>
  <si>
    <t>수리후양산-&gt;설비이상정지</t>
    <phoneticPr fontId="2" type="noConversion"/>
  </si>
  <si>
    <t>단차정지</t>
    <phoneticPr fontId="2" type="noConversion"/>
  </si>
  <si>
    <t>발주분양산-&gt;코아파손2회정지</t>
    <phoneticPr fontId="2" type="noConversion"/>
  </si>
  <si>
    <t>당일 진행 사항(20일)</t>
    <phoneticPr fontId="2" type="noConversion"/>
  </si>
  <si>
    <t>009-019-004</t>
    <phoneticPr fontId="2" type="noConversion"/>
  </si>
  <si>
    <t>SAMPLE 진행 사항(19일)</t>
    <phoneticPr fontId="2" type="noConversion"/>
  </si>
  <si>
    <t>단차2회정지</t>
    <phoneticPr fontId="2" type="noConversion"/>
  </si>
  <si>
    <t>오조립(2C양산)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</si>
  <si>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</si>
  <si>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</si>
  <si>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2020년 06월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</si>
  <si>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4LEAD</t>
    <phoneticPr fontId="2" type="noConversion"/>
  </si>
  <si>
    <t>수리후양산-&gt;이물제거</t>
    <phoneticPr fontId="2" type="noConversion"/>
  </si>
  <si>
    <t>발주분양산-&gt;HOOK파손 2회진행</t>
    <phoneticPr fontId="2" type="noConversion"/>
  </si>
  <si>
    <t>발주분양산-&gt;코아파손</t>
    <phoneticPr fontId="2" type="noConversion"/>
  </si>
  <si>
    <t>전일 ISSUE 사항(20일)</t>
    <phoneticPr fontId="2" type="noConversion"/>
  </si>
  <si>
    <t>당일 진행 사항(22일)</t>
    <phoneticPr fontId="2" type="noConversion"/>
  </si>
  <si>
    <t>NP612-316-003#LB</t>
    <phoneticPr fontId="2" type="noConversion"/>
  </si>
  <si>
    <t>SAMPLE 진행 사항(20일)</t>
    <phoneticPr fontId="2" type="noConversion"/>
  </si>
  <si>
    <t>치수NG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</si>
  <si>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</si>
  <si>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</si>
  <si>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06월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</si>
  <si>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전일 ISSUE 사항(22일)</t>
    <phoneticPr fontId="2" type="noConversion"/>
  </si>
  <si>
    <t>발주분양산-&gt;BURR수리</t>
    <phoneticPr fontId="2" type="noConversion"/>
  </si>
  <si>
    <t>당일 진행 사항(23일)</t>
    <phoneticPr fontId="2" type="noConversion"/>
  </si>
  <si>
    <t>NP612-352-002#IN-B</t>
    <phoneticPr fontId="2" type="noConversion"/>
  </si>
  <si>
    <t>SAMPLE 진행 사항(22일)</t>
    <phoneticPr fontId="2" type="noConversion"/>
  </si>
  <si>
    <t>HDB75-M01A1-1L(4C)</t>
    <phoneticPr fontId="2" type="noConversion"/>
  </si>
  <si>
    <t>SD-013189-32</t>
    <phoneticPr fontId="2" type="noConversion"/>
  </si>
  <si>
    <t>ODT</t>
    <phoneticPr fontId="2" type="noConversion"/>
  </si>
  <si>
    <t>CASE</t>
    <phoneticPr fontId="2" type="noConversion"/>
  </si>
  <si>
    <t>PC B/K</t>
    <phoneticPr fontId="2" type="noConversion"/>
  </si>
  <si>
    <t>1C만수정</t>
    <phoneticPr fontId="2" type="noConversion"/>
  </si>
  <si>
    <t>KR6408-01PA</t>
    <phoneticPr fontId="2" type="noConversion"/>
  </si>
  <si>
    <t>SHAFT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</si>
  <si>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</si>
  <si>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</si>
  <si>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2020년 06월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</si>
  <si>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KR6024-H056UA</t>
    <phoneticPr fontId="2" type="noConversion"/>
  </si>
  <si>
    <t>KR6024-B056UA</t>
    <phoneticPr fontId="2" type="noConversion"/>
  </si>
  <si>
    <t>HRCS-03C13</t>
    <phoneticPr fontId="2" type="noConversion"/>
  </si>
  <si>
    <t>RAIL</t>
    <phoneticPr fontId="2" type="noConversion"/>
  </si>
  <si>
    <t>전일 ISSUE 사항(23일)</t>
    <phoneticPr fontId="2" type="noConversion"/>
  </si>
  <si>
    <t>승인후양산-&gt;코아파손정지</t>
    <phoneticPr fontId="2" type="noConversion"/>
  </si>
  <si>
    <t>3026700</t>
    <phoneticPr fontId="2" type="noConversion"/>
  </si>
  <si>
    <t>당일 진행 사항(24일)</t>
    <phoneticPr fontId="2" type="noConversion"/>
  </si>
  <si>
    <t>SAMPLE 진행 사항(23일)</t>
    <phoneticPr fontId="2" type="noConversion"/>
  </si>
  <si>
    <t>B LUE</t>
    <phoneticPr fontId="2" type="noConversion"/>
  </si>
  <si>
    <t>K-AR3525-1A(증)</t>
    <phoneticPr fontId="2" type="noConversion"/>
  </si>
  <si>
    <t>상측박힘</t>
    <phoneticPr fontId="2" type="noConversion"/>
  </si>
  <si>
    <t>HDB75-M01A4-1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</si>
  <si>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</si>
  <si>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</si>
  <si>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06월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</si>
  <si>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24LEAD</t>
    <phoneticPr fontId="2" type="noConversion"/>
  </si>
  <si>
    <t>009-062-003</t>
    <phoneticPr fontId="2" type="noConversion"/>
  </si>
  <si>
    <t>전일 ISSUE 사항(24일)</t>
    <phoneticPr fontId="2" type="noConversion"/>
  </si>
  <si>
    <t>수리후양산-&gt;1C BURR막음</t>
    <phoneticPr fontId="2" type="noConversion"/>
  </si>
  <si>
    <t>수리후양산-&gt;코아파손정지</t>
    <phoneticPr fontId="2" type="noConversion"/>
  </si>
  <si>
    <t>당일 진행 사항(25일)</t>
    <phoneticPr fontId="2" type="noConversion"/>
  </si>
  <si>
    <t>AMB1930A-KAA-R3</t>
    <phoneticPr fontId="2" type="noConversion"/>
  </si>
  <si>
    <t>AMB0172A-KAA-R2</t>
    <phoneticPr fontId="2" type="noConversion"/>
  </si>
  <si>
    <t>AMM0822A-KAB-R1</t>
    <phoneticPr fontId="2" type="noConversion"/>
  </si>
  <si>
    <t>SAMPLE 진행 사항(24일)</t>
    <phoneticPr fontId="2" type="noConversion"/>
  </si>
  <si>
    <t>K-AR3464-1A</t>
    <phoneticPr fontId="2" type="noConversion"/>
  </si>
  <si>
    <t>하측뜯김 4회진행</t>
    <phoneticPr fontId="2" type="noConversion"/>
  </si>
  <si>
    <t>K-AR3463-1A</t>
    <phoneticPr fontId="2" type="noConversion"/>
  </si>
  <si>
    <t>BURR 사상진행</t>
    <phoneticPr fontId="2" type="noConversion"/>
  </si>
  <si>
    <t>검토</t>
    <phoneticPr fontId="2" type="noConversion"/>
  </si>
  <si>
    <t>BURR검토</t>
    <phoneticPr fontId="2" type="noConversion"/>
  </si>
  <si>
    <t>HRCS-00C13-N</t>
    <phoneticPr fontId="2" type="noConversion"/>
  </si>
  <si>
    <t>기포검토</t>
    <phoneticPr fontId="2" type="noConversion"/>
  </si>
  <si>
    <t>상측뜯김 2회진행</t>
    <phoneticPr fontId="2" type="noConversion"/>
  </si>
  <si>
    <t>K-AR3462-2B</t>
    <phoneticPr fontId="2" type="noConversion"/>
  </si>
  <si>
    <t>하측박힘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</si>
  <si>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</si>
  <si>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</si>
  <si>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2020년 06월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</si>
  <si>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AMB07U9A-KAA-R3</t>
    <phoneticPr fontId="2" type="noConversion"/>
  </si>
  <si>
    <t>NP413-77549#IN-B</t>
    <phoneticPr fontId="2" type="noConversion"/>
  </si>
  <si>
    <t>전일 ISSUE 사항(25일)</t>
    <phoneticPr fontId="2" type="noConversion"/>
  </si>
  <si>
    <t>BURR 수리 3C양산</t>
    <phoneticPr fontId="2" type="noConversion"/>
  </si>
  <si>
    <t>수리후양산-&gt;코아파손수리-&gt;단차정지</t>
    <phoneticPr fontId="2" type="noConversion"/>
  </si>
  <si>
    <t>당일 진행 사항(26일)</t>
    <phoneticPr fontId="2" type="noConversion"/>
  </si>
  <si>
    <t>1C 수리후양산</t>
    <phoneticPr fontId="2" type="noConversion"/>
  </si>
  <si>
    <t>에젝타이상정지</t>
    <phoneticPr fontId="2" type="noConversion"/>
  </si>
  <si>
    <t>SAMPLE 진행 사항(25일)</t>
    <phoneticPr fontId="2" type="noConversion"/>
  </si>
  <si>
    <t>2210EPR</t>
    <phoneticPr fontId="2" type="noConversion"/>
  </si>
  <si>
    <t>온도</t>
    <phoneticPr fontId="2" type="noConversion"/>
  </si>
  <si>
    <t>120/130/140도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</si>
  <si>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</si>
  <si>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</si>
  <si>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2020년 06월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</si>
  <si>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AMB0355A-KAA-R8</t>
    <phoneticPr fontId="2" type="noConversion"/>
  </si>
  <si>
    <t>전일 ISSUE 사항(26일)</t>
    <phoneticPr fontId="2" type="noConversion"/>
  </si>
  <si>
    <t>수리후양산-&gt;1C뜯김-&gt;1C파손</t>
    <phoneticPr fontId="2" type="noConversion"/>
  </si>
  <si>
    <t>발주분양산-&gt;뜯김4회정지</t>
    <phoneticPr fontId="2" type="noConversion"/>
  </si>
  <si>
    <t>당일 진행 사항(27일)</t>
    <phoneticPr fontId="2" type="noConversion"/>
  </si>
  <si>
    <t>12*12</t>
    <phoneticPr fontId="2" type="noConversion"/>
  </si>
  <si>
    <t>SAMPLE 진행 사항(26일)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</si>
  <si>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</si>
  <si>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</si>
  <si>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2020년 06월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</si>
  <si>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전일 ISSUE 사항(27일)</t>
    <phoneticPr fontId="2" type="noConversion"/>
  </si>
  <si>
    <t>수리후양산-&gt;뜯김정지</t>
    <phoneticPr fontId="2" type="noConversion"/>
  </si>
  <si>
    <t>당일 진행 사항(29일)</t>
    <phoneticPr fontId="2" type="noConversion"/>
  </si>
  <si>
    <t>SAMPLE 진행 사항(27일)</t>
    <phoneticPr fontId="2" type="noConversion"/>
  </si>
  <si>
    <t>IC GUIDE</t>
    <phoneticPr fontId="2" type="noConversion"/>
  </si>
  <si>
    <t>HSB05-M008B4</t>
    <phoneticPr fontId="2" type="noConversion"/>
  </si>
  <si>
    <t>요청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</si>
  <si>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</si>
  <si>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</si>
  <si>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06월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</si>
  <si>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수리후양산-&gt;코아파손-&gt;BURR정지</t>
    <phoneticPr fontId="2" type="noConversion"/>
  </si>
  <si>
    <t>전일 ISSUE 사항(29일)</t>
    <phoneticPr fontId="2" type="noConversion"/>
  </si>
  <si>
    <t>당일 진행 사항(30일)</t>
    <phoneticPr fontId="2" type="noConversion"/>
  </si>
  <si>
    <t>SAMPLE 진행 사항(29일)</t>
    <phoneticPr fontId="2" type="noConversion"/>
  </si>
  <si>
    <t>증작금형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</si>
  <si>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</si>
  <si>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</si>
  <si>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2020년 06월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</si>
  <si>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전일 ISSUE 사항(30일)</t>
    <phoneticPr fontId="2" type="noConversion"/>
  </si>
  <si>
    <t>수리후양산-&gt;BURR2회정지</t>
    <phoneticPr fontId="2" type="noConversion"/>
  </si>
  <si>
    <t>게이트막힘수리</t>
    <phoneticPr fontId="2" type="noConversion"/>
  </si>
  <si>
    <t>당일 진행 사항(01일)</t>
    <phoneticPr fontId="2" type="noConversion"/>
  </si>
  <si>
    <t>NP413-187-092#IN-B-1</t>
    <phoneticPr fontId="2" type="noConversion"/>
  </si>
  <si>
    <t>NP413-187-092#IN-A</t>
    <phoneticPr fontId="2" type="noConversion"/>
  </si>
  <si>
    <t>AMB07M4A-KAA-R1</t>
    <phoneticPr fontId="2" type="noConversion"/>
  </si>
  <si>
    <t>AMB0443A-KAA-R1</t>
    <phoneticPr fontId="2" type="noConversion"/>
  </si>
  <si>
    <t>SAMPLE 진행 사항(30일)</t>
    <phoneticPr fontId="2" type="noConversion"/>
  </si>
  <si>
    <t>HDB75-M01A4-1L(4C)</t>
    <phoneticPr fontId="2" type="noConversion"/>
  </si>
  <si>
    <t>4C 증작</t>
    <phoneticPr fontId="2" type="noConversion"/>
  </si>
  <si>
    <t>칼퀴이상2회진행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</si>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</sst>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74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5" xfId="2" applyNumberFormat="1" applyFont="1" applyBorder="1" applyAlignment="1">
      <alignment horizontal="left" vertical="center" shrinkToFit="1"/>
    </xf>
    <xf numFmtId="49" fontId="13" fillId="0" borderId="63" xfId="2" applyNumberFormat="1" applyFont="1" applyBorder="1" applyAlignment="1">
      <alignment horizontal="left" vertical="center" shrinkToFit="1"/>
    </xf>
    <xf numFmtId="49" fontId="13" fillId="0" borderId="64" xfId="2" applyNumberFormat="1" applyFont="1" applyBorder="1" applyAlignment="1">
      <alignment horizontal="left" vertical="center" shrinkToFit="1"/>
    </xf>
    <xf numFmtId="49" fontId="13" fillId="0" borderId="25" xfId="2" applyNumberFormat="1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1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1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1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0">
                  <c:v>5612</c:v>
                </c:pt>
                <c:pt idx="3">
                  <c:v>2490</c:v>
                </c:pt>
                <c:pt idx="5">
                  <c:v>3047</c:v>
                </c:pt>
                <c:pt idx="6">
                  <c:v>2432</c:v>
                </c:pt>
                <c:pt idx="7">
                  <c:v>10230</c:v>
                </c:pt>
                <c:pt idx="9">
                  <c:v>2422</c:v>
                </c:pt>
                <c:pt idx="11">
                  <c:v>1049</c:v>
                </c:pt>
                <c:pt idx="15">
                  <c:v>66628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1-45FA-A8F6-689F889A34C6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5612</c:v>
                </c:pt>
                <c:pt idx="1">
                  <c:v>5300</c:v>
                </c:pt>
                <c:pt idx="2">
                  <c:v>2454</c:v>
                </c:pt>
                <c:pt idx="3">
                  <c:v>2490</c:v>
                </c:pt>
                <c:pt idx="4">
                  <c:v>6524</c:v>
                </c:pt>
                <c:pt idx="5">
                  <c:v>3047</c:v>
                </c:pt>
                <c:pt idx="6">
                  <c:v>2432</c:v>
                </c:pt>
                <c:pt idx="7">
                  <c:v>10230</c:v>
                </c:pt>
                <c:pt idx="8">
                  <c:v>3358</c:v>
                </c:pt>
                <c:pt idx="9">
                  <c:v>2422</c:v>
                </c:pt>
                <c:pt idx="10">
                  <c:v>1640</c:v>
                </c:pt>
                <c:pt idx="11">
                  <c:v>1049</c:v>
                </c:pt>
                <c:pt idx="12">
                  <c:v>5207</c:v>
                </c:pt>
                <c:pt idx="13">
                  <c:v>841</c:v>
                </c:pt>
                <c:pt idx="14">
                  <c:v>4719</c:v>
                </c:pt>
                <c:pt idx="15">
                  <c:v>66628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1-45FA-A8F6-689F889A3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29%</c:v>
                </c:pt>
                <c:pt idx="4">
                  <c:v>0%</c:v>
                </c:pt>
                <c:pt idx="5">
                  <c:v>63%</c:v>
                </c:pt>
                <c:pt idx="6">
                  <c:v>29%</c:v>
                </c:pt>
                <c:pt idx="7">
                  <c:v>100%</c:v>
                </c:pt>
                <c:pt idx="8">
                  <c:v>0%</c:v>
                </c:pt>
                <c:pt idx="9">
                  <c:v>21%</c:v>
                </c:pt>
                <c:pt idx="10">
                  <c:v>0%</c:v>
                </c:pt>
                <c:pt idx="11">
                  <c:v>25%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0.29166666666666669</c:v>
                </c:pt>
                <c:pt idx="4">
                  <c:v>0</c:v>
                </c:pt>
                <c:pt idx="5">
                  <c:v>0.625</c:v>
                </c:pt>
                <c:pt idx="6">
                  <c:v>0.29166666666666669</c:v>
                </c:pt>
                <c:pt idx="7">
                  <c:v>1</c:v>
                </c:pt>
                <c:pt idx="8">
                  <c:v>0</c:v>
                </c:pt>
                <c:pt idx="9">
                  <c:v>0.20833333333333334</c:v>
                </c:pt>
                <c:pt idx="10">
                  <c:v>0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D-4F80-AA93-1C8A0D04E7D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8D-4F80-AA93-1C8A0D04E7D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0.29166666666666669</c:v>
                </c:pt>
                <c:pt idx="2">
                  <c:v>0.29166666666666669</c:v>
                </c:pt>
                <c:pt idx="3">
                  <c:v>0.29166666666666669</c:v>
                </c:pt>
                <c:pt idx="4">
                  <c:v>0.29166666666666669</c:v>
                </c:pt>
                <c:pt idx="5">
                  <c:v>0.29166666666666669</c:v>
                </c:pt>
                <c:pt idx="6">
                  <c:v>0.29166666666666669</c:v>
                </c:pt>
                <c:pt idx="7">
                  <c:v>0.29166666666666669</c:v>
                </c:pt>
                <c:pt idx="8">
                  <c:v>0.29166666666666669</c:v>
                </c:pt>
                <c:pt idx="9">
                  <c:v>0.29166666666666669</c:v>
                </c:pt>
                <c:pt idx="10">
                  <c:v>0.29166666666666669</c:v>
                </c:pt>
                <c:pt idx="11">
                  <c:v>0.29166666666666669</c:v>
                </c:pt>
                <c:pt idx="12">
                  <c:v>0.29166666666666669</c:v>
                </c:pt>
                <c:pt idx="13">
                  <c:v>0.29166666666666669</c:v>
                </c:pt>
                <c:pt idx="14">
                  <c:v>0.29166666666666669</c:v>
                </c:pt>
                <c:pt idx="15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8D-4F80-AA93-1C8A0D04E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'01'!$L$6:$L$21</c:f>
              <c:numCache>
                <c:formatCode>_(* #,##0_);_(* \(#,##0\);_(* "-"_);_(@_)</c:formatCode>
                <c:ptCount val="16"/>
                <c:pt idx="0">
                  <c:v>5612</c:v>
                </c:pt>
                <c:pt idx="3">
                  <c:v>2490</c:v>
                </c:pt>
                <c:pt idx="5">
                  <c:v>3047</c:v>
                </c:pt>
                <c:pt idx="6">
                  <c:v>2432</c:v>
                </c:pt>
                <c:pt idx="7">
                  <c:v>10230</c:v>
                </c:pt>
                <c:pt idx="9">
                  <c:v>2422</c:v>
                </c:pt>
                <c:pt idx="11">
                  <c:v>1049</c:v>
                </c:pt>
                <c:pt idx="15">
                  <c:v>66628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E-45E0-93D2-5119F49D1DD4}"/>
            </c:ext>
          </c:extLst>
        </c:ser>
        <c:ser>
          <c:idx val="1"/>
          <c:order val="1"/>
          <c:tx>
            <c:v>계획</c:v>
          </c:tx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'01'!$J$6:$J$21</c:f>
              <c:numCache>
                <c:formatCode>_(* #,##0_);_(* \(#,##0\);_(* "-"_);_(@_)</c:formatCode>
                <c:ptCount val="16"/>
                <c:pt idx="0">
                  <c:v>5612</c:v>
                </c:pt>
                <c:pt idx="1">
                  <c:v>5300</c:v>
                </c:pt>
                <c:pt idx="2">
                  <c:v>2454</c:v>
                </c:pt>
                <c:pt idx="3">
                  <c:v>2490</c:v>
                </c:pt>
                <c:pt idx="4">
                  <c:v>6524</c:v>
                </c:pt>
                <c:pt idx="5">
                  <c:v>3047</c:v>
                </c:pt>
                <c:pt idx="6">
                  <c:v>2432</c:v>
                </c:pt>
                <c:pt idx="7">
                  <c:v>10230</c:v>
                </c:pt>
                <c:pt idx="8">
                  <c:v>3358</c:v>
                </c:pt>
                <c:pt idx="9">
                  <c:v>2422</c:v>
                </c:pt>
                <c:pt idx="10">
                  <c:v>1640</c:v>
                </c:pt>
                <c:pt idx="11">
                  <c:v>1049</c:v>
                </c:pt>
                <c:pt idx="12">
                  <c:v>5207</c:v>
                </c:pt>
                <c:pt idx="13">
                  <c:v>841</c:v>
                </c:pt>
                <c:pt idx="14">
                  <c:v>4719</c:v>
                </c:pt>
                <c:pt idx="15">
                  <c:v>66628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E-45E0-93D2-5119F49D1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0%</c:v>
                </c:pt>
                <c:pt idx="3">
                  <c:v>29%</c:v>
                </c:pt>
                <c:pt idx="4">
                  <c:v>0%</c:v>
                </c:pt>
                <c:pt idx="5">
                  <c:v>63%</c:v>
                </c:pt>
                <c:pt idx="6">
                  <c:v>29%</c:v>
                </c:pt>
                <c:pt idx="7">
                  <c:v>100%</c:v>
                </c:pt>
                <c:pt idx="8">
                  <c:v>0%</c:v>
                </c:pt>
                <c:pt idx="9">
                  <c:v>21%</c:v>
                </c:pt>
                <c:pt idx="10">
                  <c:v>0%</c:v>
                </c:pt>
                <c:pt idx="11">
                  <c:v>25%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0.29166666666666669</c:v>
                </c:pt>
                <c:pt idx="4">
                  <c:v>0</c:v>
                </c:pt>
                <c:pt idx="5">
                  <c:v>0.625</c:v>
                </c:pt>
                <c:pt idx="6">
                  <c:v>0.29166666666666669</c:v>
                </c:pt>
                <c:pt idx="7">
                  <c:v>1</c:v>
                </c:pt>
                <c:pt idx="8">
                  <c:v>0</c:v>
                </c:pt>
                <c:pt idx="9">
                  <c:v>0.20833333333333334</c:v>
                </c:pt>
                <c:pt idx="10">
                  <c:v>0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5-4E1B-B8CC-0BD881598A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75-4E1B-B8CC-0BD881598A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LEAD GUIDE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FRONT/REAR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'01'!$AE$6:$AE$21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0.29166666666666669</c:v>
                </c:pt>
                <c:pt idx="2">
                  <c:v>0.29166666666666669</c:v>
                </c:pt>
                <c:pt idx="3">
                  <c:v>0.29166666666666669</c:v>
                </c:pt>
                <c:pt idx="4">
                  <c:v>0.29166666666666669</c:v>
                </c:pt>
                <c:pt idx="5">
                  <c:v>0.29166666666666669</c:v>
                </c:pt>
                <c:pt idx="6">
                  <c:v>0.29166666666666669</c:v>
                </c:pt>
                <c:pt idx="7">
                  <c:v>0.29166666666666669</c:v>
                </c:pt>
                <c:pt idx="8">
                  <c:v>0.29166666666666669</c:v>
                </c:pt>
                <c:pt idx="9">
                  <c:v>0.29166666666666669</c:v>
                </c:pt>
                <c:pt idx="10">
                  <c:v>0.29166666666666669</c:v>
                </c:pt>
                <c:pt idx="11">
                  <c:v>0.29166666666666669</c:v>
                </c:pt>
                <c:pt idx="12">
                  <c:v>0.29166666666666669</c:v>
                </c:pt>
                <c:pt idx="13">
                  <c:v>0.29166666666666669</c:v>
                </c:pt>
                <c:pt idx="14">
                  <c:v>0.29166666666666669</c:v>
                </c:pt>
                <c:pt idx="15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5-4E1B-B8CC-0BD88159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96C-489A-BB31-455ED0580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C-489A-BB31-455ED058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96C-489A-BB31-455ED05806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6C-489A-BB31-455ED058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0">
                  <c:v>933</c:v>
                </c:pt>
                <c:pt idx="4">
                  <c:v>5588</c:v>
                </c:pt>
                <c:pt idx="5">
                  <c:v>5891</c:v>
                </c:pt>
                <c:pt idx="7">
                  <c:v>8758</c:v>
                </c:pt>
                <c:pt idx="8">
                  <c:v>226</c:v>
                </c:pt>
                <c:pt idx="11">
                  <c:v>3172</c:v>
                </c:pt>
                <c:pt idx="14">
                  <c:v>6852</c:v>
                </c:pt>
                <c:pt idx="15">
                  <c:v>50076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A-4283-8AF2-5180BA95B2E3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933</c:v>
                </c:pt>
                <c:pt idx="1">
                  <c:v>5300</c:v>
                </c:pt>
                <c:pt idx="2">
                  <c:v>2454</c:v>
                </c:pt>
                <c:pt idx="3">
                  <c:v>2490</c:v>
                </c:pt>
                <c:pt idx="4">
                  <c:v>5588</c:v>
                </c:pt>
                <c:pt idx="5">
                  <c:v>5891</c:v>
                </c:pt>
                <c:pt idx="6">
                  <c:v>2432</c:v>
                </c:pt>
                <c:pt idx="7">
                  <c:v>8758</c:v>
                </c:pt>
                <c:pt idx="8">
                  <c:v>226</c:v>
                </c:pt>
                <c:pt idx="9">
                  <c:v>2422</c:v>
                </c:pt>
                <c:pt idx="10">
                  <c:v>1640</c:v>
                </c:pt>
                <c:pt idx="11">
                  <c:v>3172</c:v>
                </c:pt>
                <c:pt idx="12">
                  <c:v>5207</c:v>
                </c:pt>
                <c:pt idx="13">
                  <c:v>841</c:v>
                </c:pt>
                <c:pt idx="14">
                  <c:v>6852</c:v>
                </c:pt>
                <c:pt idx="15">
                  <c:v>50076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A-4283-8AF2-5180BA95B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21%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67%</c:v>
                </c:pt>
                <c:pt idx="5">
                  <c:v>100%</c:v>
                </c:pt>
                <c:pt idx="6">
                  <c:v>0%</c:v>
                </c:pt>
                <c:pt idx="7">
                  <c:v>88%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71%</c:v>
                </c:pt>
                <c:pt idx="12">
                  <c:v>0%</c:v>
                </c:pt>
                <c:pt idx="13">
                  <c:v>0%</c:v>
                </c:pt>
                <c:pt idx="14">
                  <c:v>75%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0.20833333333333334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0.66666666666666663</c:v>
                </c:pt>
                <c:pt idx="5">
                  <c:v>1</c:v>
                </c:pt>
                <c:pt idx="6">
                  <c:v>0</c:v>
                </c:pt>
                <c:pt idx="7">
                  <c:v>0.875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0.70833333333333337</c:v>
                </c:pt>
                <c:pt idx="12">
                  <c:v>0</c:v>
                </c:pt>
                <c:pt idx="13">
                  <c:v>0</c:v>
                </c:pt>
                <c:pt idx="14">
                  <c:v>0.75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E-4EE1-A567-4C06F3839A5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6E-4EE1-A567-4C06F3839A5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0.33854166666666669</c:v>
                </c:pt>
                <c:pt idx="1">
                  <c:v>0.33854166666666669</c:v>
                </c:pt>
                <c:pt idx="2">
                  <c:v>0.33854166666666669</c:v>
                </c:pt>
                <c:pt idx="3">
                  <c:v>0.33854166666666669</c:v>
                </c:pt>
                <c:pt idx="4">
                  <c:v>0.33854166666666669</c:v>
                </c:pt>
                <c:pt idx="5">
                  <c:v>0.33854166666666669</c:v>
                </c:pt>
                <c:pt idx="6">
                  <c:v>0.33854166666666669</c:v>
                </c:pt>
                <c:pt idx="7">
                  <c:v>0.33854166666666669</c:v>
                </c:pt>
                <c:pt idx="8">
                  <c:v>0.33854166666666669</c:v>
                </c:pt>
                <c:pt idx="9">
                  <c:v>0.33854166666666669</c:v>
                </c:pt>
                <c:pt idx="10">
                  <c:v>0.33854166666666669</c:v>
                </c:pt>
                <c:pt idx="11">
                  <c:v>0.33854166666666669</c:v>
                </c:pt>
                <c:pt idx="12">
                  <c:v>0.33854166666666669</c:v>
                </c:pt>
                <c:pt idx="13">
                  <c:v>0.33854166666666669</c:v>
                </c:pt>
                <c:pt idx="14">
                  <c:v>0.33854166666666669</c:v>
                </c:pt>
                <c:pt idx="15">
                  <c:v>0.33854166666666669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E-4EE1-A567-4C06F3839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0">
                  <c:v>933</c:v>
                </c:pt>
                <c:pt idx="4">
                  <c:v>5588</c:v>
                </c:pt>
                <c:pt idx="5">
                  <c:v>5891</c:v>
                </c:pt>
                <c:pt idx="7">
                  <c:v>8758</c:v>
                </c:pt>
                <c:pt idx="8">
                  <c:v>226</c:v>
                </c:pt>
                <c:pt idx="11">
                  <c:v>3172</c:v>
                </c:pt>
                <c:pt idx="14">
                  <c:v>6852</c:v>
                </c:pt>
                <c:pt idx="15">
                  <c:v>50076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21-4754-A1AE-5D2A2C561745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933</c:v>
                </c:pt>
                <c:pt idx="1">
                  <c:v>5300</c:v>
                </c:pt>
                <c:pt idx="2">
                  <c:v>2454</c:v>
                </c:pt>
                <c:pt idx="3">
                  <c:v>2490</c:v>
                </c:pt>
                <c:pt idx="4">
                  <c:v>5588</c:v>
                </c:pt>
                <c:pt idx="5">
                  <c:v>5891</c:v>
                </c:pt>
                <c:pt idx="6">
                  <c:v>2432</c:v>
                </c:pt>
                <c:pt idx="7">
                  <c:v>8758</c:v>
                </c:pt>
                <c:pt idx="8">
                  <c:v>226</c:v>
                </c:pt>
                <c:pt idx="9">
                  <c:v>2422</c:v>
                </c:pt>
                <c:pt idx="10">
                  <c:v>1640</c:v>
                </c:pt>
                <c:pt idx="11">
                  <c:v>3172</c:v>
                </c:pt>
                <c:pt idx="12">
                  <c:v>5207</c:v>
                </c:pt>
                <c:pt idx="13">
                  <c:v>841</c:v>
                </c:pt>
                <c:pt idx="14">
                  <c:v>6852</c:v>
                </c:pt>
                <c:pt idx="15">
                  <c:v>50076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21-4754-A1AE-5D2A2C56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21%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67%</c:v>
                </c:pt>
                <c:pt idx="5">
                  <c:v>100%</c:v>
                </c:pt>
                <c:pt idx="6">
                  <c:v>0%</c:v>
                </c:pt>
                <c:pt idx="7">
                  <c:v>88%</c:v>
                </c:pt>
                <c:pt idx="8">
                  <c:v>21%</c:v>
                </c:pt>
                <c:pt idx="9">
                  <c:v>0%</c:v>
                </c:pt>
                <c:pt idx="10">
                  <c:v>0%</c:v>
                </c:pt>
                <c:pt idx="11">
                  <c:v>71%</c:v>
                </c:pt>
                <c:pt idx="12">
                  <c:v>0%</c:v>
                </c:pt>
                <c:pt idx="13">
                  <c:v>0%</c:v>
                </c:pt>
                <c:pt idx="14">
                  <c:v>75%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0.20833333333333334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0.66666666666666663</c:v>
                </c:pt>
                <c:pt idx="5">
                  <c:v>1</c:v>
                </c:pt>
                <c:pt idx="6">
                  <c:v>0</c:v>
                </c:pt>
                <c:pt idx="7">
                  <c:v>0.875</c:v>
                </c:pt>
                <c:pt idx="8">
                  <c:v>0.20833333333333334</c:v>
                </c:pt>
                <c:pt idx="9">
                  <c:v>0</c:v>
                </c:pt>
                <c:pt idx="10">
                  <c:v>0</c:v>
                </c:pt>
                <c:pt idx="11">
                  <c:v>0.70833333333333337</c:v>
                </c:pt>
                <c:pt idx="12">
                  <c:v>0</c:v>
                </c:pt>
                <c:pt idx="13">
                  <c:v>0</c:v>
                </c:pt>
                <c:pt idx="14">
                  <c:v>0.75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2-4AF7-BDE6-8B74428B43A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B2-4AF7-BDE6-8B74428B43A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2">
                  <c:v>BASE</c:v>
                </c:pt>
                <c:pt idx="13">
                  <c:v>BOTTOM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0.33854166666666669</c:v>
                </c:pt>
                <c:pt idx="1">
                  <c:v>0.33854166666666669</c:v>
                </c:pt>
                <c:pt idx="2">
                  <c:v>0.33854166666666669</c:v>
                </c:pt>
                <c:pt idx="3">
                  <c:v>0.33854166666666669</c:v>
                </c:pt>
                <c:pt idx="4">
                  <c:v>0.33854166666666669</c:v>
                </c:pt>
                <c:pt idx="5">
                  <c:v>0.33854166666666669</c:v>
                </c:pt>
                <c:pt idx="6">
                  <c:v>0.33854166666666669</c:v>
                </c:pt>
                <c:pt idx="7">
                  <c:v>0.33854166666666669</c:v>
                </c:pt>
                <c:pt idx="8">
                  <c:v>0.33854166666666669</c:v>
                </c:pt>
                <c:pt idx="9">
                  <c:v>0.33854166666666669</c:v>
                </c:pt>
                <c:pt idx="10">
                  <c:v>0.33854166666666669</c:v>
                </c:pt>
                <c:pt idx="11">
                  <c:v>0.33854166666666669</c:v>
                </c:pt>
                <c:pt idx="12">
                  <c:v>0.33854166666666669</c:v>
                </c:pt>
                <c:pt idx="13">
                  <c:v>0.33854166666666669</c:v>
                </c:pt>
                <c:pt idx="14">
                  <c:v>0.33854166666666669</c:v>
                </c:pt>
                <c:pt idx="15">
                  <c:v>0.33854166666666669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2-4AF7-BDE6-8B74428B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118-49FB-BA09-48904F6CFF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8-49FB-BA09-48904F6CF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118-49FB-BA09-48904F6CFF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18-49FB-BA09-48904F6CF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2">
                  <c:v>8404</c:v>
                </c:pt>
                <c:pt idx="4">
                  <c:v>11272</c:v>
                </c:pt>
                <c:pt idx="5">
                  <c:v>4811</c:v>
                </c:pt>
                <c:pt idx="7">
                  <c:v>7458</c:v>
                </c:pt>
                <c:pt idx="11">
                  <c:v>3678</c:v>
                </c:pt>
                <c:pt idx="12">
                  <c:v>3631</c:v>
                </c:pt>
                <c:pt idx="13">
                  <c:v>230</c:v>
                </c:pt>
                <c:pt idx="14">
                  <c:v>6648</c:v>
                </c:pt>
                <c:pt idx="15">
                  <c:v>54231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7-462E-AD47-E9896C7F7B18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933</c:v>
                </c:pt>
                <c:pt idx="1">
                  <c:v>5300</c:v>
                </c:pt>
                <c:pt idx="2">
                  <c:v>8404</c:v>
                </c:pt>
                <c:pt idx="3">
                  <c:v>2490</c:v>
                </c:pt>
                <c:pt idx="4">
                  <c:v>11272</c:v>
                </c:pt>
                <c:pt idx="5">
                  <c:v>4811</c:v>
                </c:pt>
                <c:pt idx="6">
                  <c:v>2432</c:v>
                </c:pt>
                <c:pt idx="7">
                  <c:v>7458</c:v>
                </c:pt>
                <c:pt idx="8">
                  <c:v>226</c:v>
                </c:pt>
                <c:pt idx="9">
                  <c:v>2422</c:v>
                </c:pt>
                <c:pt idx="10">
                  <c:v>1640</c:v>
                </c:pt>
                <c:pt idx="11">
                  <c:v>3678</c:v>
                </c:pt>
                <c:pt idx="12">
                  <c:v>3631</c:v>
                </c:pt>
                <c:pt idx="13">
                  <c:v>230</c:v>
                </c:pt>
                <c:pt idx="14">
                  <c:v>6648</c:v>
                </c:pt>
                <c:pt idx="15">
                  <c:v>54231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7-462E-AD47-E9896C7F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100%</c:v>
                </c:pt>
                <c:pt idx="5">
                  <c:v>92%</c:v>
                </c:pt>
                <c:pt idx="6">
                  <c:v>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88%</c:v>
                </c:pt>
                <c:pt idx="12">
                  <c:v>88%</c:v>
                </c:pt>
                <c:pt idx="13">
                  <c:v>17%</c:v>
                </c:pt>
                <c:pt idx="14">
                  <c:v>83%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1</c:v>
                </c:pt>
                <c:pt idx="5">
                  <c:v>0.91666666666666663</c:v>
                </c:pt>
                <c:pt idx="6">
                  <c:v>0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0.875</c:v>
                </c:pt>
                <c:pt idx="12">
                  <c:v>0.875</c:v>
                </c:pt>
                <c:pt idx="13">
                  <c:v>0.16666666666666666</c:v>
                </c:pt>
                <c:pt idx="14">
                  <c:v>0.83333333333333337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5-4EA1-9E08-7980E9FE47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45-4EA1-9E08-7980E9FE47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0.46354166666666663</c:v>
                </c:pt>
                <c:pt idx="1">
                  <c:v>0.46354166666666663</c:v>
                </c:pt>
                <c:pt idx="2">
                  <c:v>0.46354166666666663</c:v>
                </c:pt>
                <c:pt idx="3">
                  <c:v>0.46354166666666663</c:v>
                </c:pt>
                <c:pt idx="4">
                  <c:v>0.46354166666666663</c:v>
                </c:pt>
                <c:pt idx="5">
                  <c:v>0.46354166666666663</c:v>
                </c:pt>
                <c:pt idx="6">
                  <c:v>0.46354166666666663</c:v>
                </c:pt>
                <c:pt idx="7">
                  <c:v>0.46354166666666663</c:v>
                </c:pt>
                <c:pt idx="8">
                  <c:v>0.46354166666666663</c:v>
                </c:pt>
                <c:pt idx="9">
                  <c:v>0.46354166666666663</c:v>
                </c:pt>
                <c:pt idx="10">
                  <c:v>0.46354166666666663</c:v>
                </c:pt>
                <c:pt idx="11">
                  <c:v>0.46354166666666663</c:v>
                </c:pt>
                <c:pt idx="12">
                  <c:v>0.46354166666666663</c:v>
                </c:pt>
                <c:pt idx="13">
                  <c:v>0.46354166666666663</c:v>
                </c:pt>
                <c:pt idx="14">
                  <c:v>0.46354166666666663</c:v>
                </c:pt>
                <c:pt idx="15">
                  <c:v>0.46354166666666663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5-4EA1-9E08-7980E9FE4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2">
                  <c:v>8404</c:v>
                </c:pt>
                <c:pt idx="4">
                  <c:v>11272</c:v>
                </c:pt>
                <c:pt idx="5">
                  <c:v>4811</c:v>
                </c:pt>
                <c:pt idx="7">
                  <c:v>7458</c:v>
                </c:pt>
                <c:pt idx="11">
                  <c:v>3678</c:v>
                </c:pt>
                <c:pt idx="12">
                  <c:v>3631</c:v>
                </c:pt>
                <c:pt idx="13">
                  <c:v>230</c:v>
                </c:pt>
                <c:pt idx="14">
                  <c:v>6648</c:v>
                </c:pt>
                <c:pt idx="15">
                  <c:v>54231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9-4D1A-A7AD-4E0CEB7934BD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933</c:v>
                </c:pt>
                <c:pt idx="1">
                  <c:v>5300</c:v>
                </c:pt>
                <c:pt idx="2">
                  <c:v>8404</c:v>
                </c:pt>
                <c:pt idx="3">
                  <c:v>2490</c:v>
                </c:pt>
                <c:pt idx="4">
                  <c:v>11272</c:v>
                </c:pt>
                <c:pt idx="5">
                  <c:v>4811</c:v>
                </c:pt>
                <c:pt idx="6">
                  <c:v>2432</c:v>
                </c:pt>
                <c:pt idx="7">
                  <c:v>7458</c:v>
                </c:pt>
                <c:pt idx="8">
                  <c:v>226</c:v>
                </c:pt>
                <c:pt idx="9">
                  <c:v>2422</c:v>
                </c:pt>
                <c:pt idx="10">
                  <c:v>1640</c:v>
                </c:pt>
                <c:pt idx="11">
                  <c:v>3678</c:v>
                </c:pt>
                <c:pt idx="12">
                  <c:v>3631</c:v>
                </c:pt>
                <c:pt idx="13">
                  <c:v>230</c:v>
                </c:pt>
                <c:pt idx="14">
                  <c:v>6648</c:v>
                </c:pt>
                <c:pt idx="15">
                  <c:v>54231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9-4D1A-A7AD-4E0CEB793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0%</c:v>
                </c:pt>
                <c:pt idx="4">
                  <c:v>100%</c:v>
                </c:pt>
                <c:pt idx="5">
                  <c:v>92%</c:v>
                </c:pt>
                <c:pt idx="6">
                  <c:v>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88%</c:v>
                </c:pt>
                <c:pt idx="12">
                  <c:v>88%</c:v>
                </c:pt>
                <c:pt idx="13">
                  <c:v>17%</c:v>
                </c:pt>
                <c:pt idx="14">
                  <c:v>83%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</c:v>
                </c:pt>
                <c:pt idx="4">
                  <c:v>1</c:v>
                </c:pt>
                <c:pt idx="5">
                  <c:v>0.91666666666666663</c:v>
                </c:pt>
                <c:pt idx="6">
                  <c:v>0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0.875</c:v>
                </c:pt>
                <c:pt idx="12">
                  <c:v>0.875</c:v>
                </c:pt>
                <c:pt idx="13">
                  <c:v>0.16666666666666666</c:v>
                </c:pt>
                <c:pt idx="14">
                  <c:v>0.83333333333333337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2-4DDC-8A11-ACB94DF9D25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C2-4DDC-8A11-ACB94DF9D2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LEAD GUIDE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LEAD IN</c:v>
                </c:pt>
                <c:pt idx="12">
                  <c:v>FLOAT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0.46354166666666663</c:v>
                </c:pt>
                <c:pt idx="1">
                  <c:v>0.46354166666666663</c:v>
                </c:pt>
                <c:pt idx="2">
                  <c:v>0.46354166666666663</c:v>
                </c:pt>
                <c:pt idx="3">
                  <c:v>0.46354166666666663</c:v>
                </c:pt>
                <c:pt idx="4">
                  <c:v>0.46354166666666663</c:v>
                </c:pt>
                <c:pt idx="5">
                  <c:v>0.46354166666666663</c:v>
                </c:pt>
                <c:pt idx="6">
                  <c:v>0.46354166666666663</c:v>
                </c:pt>
                <c:pt idx="7">
                  <c:v>0.46354166666666663</c:v>
                </c:pt>
                <c:pt idx="8">
                  <c:v>0.46354166666666663</c:v>
                </c:pt>
                <c:pt idx="9">
                  <c:v>0.46354166666666663</c:v>
                </c:pt>
                <c:pt idx="10">
                  <c:v>0.46354166666666663</c:v>
                </c:pt>
                <c:pt idx="11">
                  <c:v>0.46354166666666663</c:v>
                </c:pt>
                <c:pt idx="12">
                  <c:v>0.46354166666666663</c:v>
                </c:pt>
                <c:pt idx="13">
                  <c:v>0.46354166666666663</c:v>
                </c:pt>
                <c:pt idx="14">
                  <c:v>0.46354166666666663</c:v>
                </c:pt>
                <c:pt idx="15">
                  <c:v>0.46354166666666663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C2-4DDC-8A11-ACB94DF9D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1AD-4E60-A0D0-5828DB27D2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D-4E60-A0D0-5828DB27D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1AD-4E60-A0D0-5828DB27D2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AD-4E60-A0D0-5828DB27D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'04'!$L$6:$L$26</c:f>
              <c:numCache>
                <c:formatCode>_(* #,##0_);_(* \(#,##0\);_(* "-"_);_(@_)</c:formatCode>
                <c:ptCount val="21"/>
                <c:pt idx="0">
                  <c:v>5516</c:v>
                </c:pt>
                <c:pt idx="2">
                  <c:v>12360</c:v>
                </c:pt>
                <c:pt idx="3">
                  <c:v>6946</c:v>
                </c:pt>
                <c:pt idx="4">
                  <c:v>12940</c:v>
                </c:pt>
                <c:pt idx="5">
                  <c:v>3288</c:v>
                </c:pt>
                <c:pt idx="6">
                  <c:v>5144</c:v>
                </c:pt>
                <c:pt idx="7">
                  <c:v>4298</c:v>
                </c:pt>
                <c:pt idx="8">
                  <c:v>242</c:v>
                </c:pt>
                <c:pt idx="9">
                  <c:v>628</c:v>
                </c:pt>
                <c:pt idx="11">
                  <c:v>495</c:v>
                </c:pt>
                <c:pt idx="12">
                  <c:v>1482</c:v>
                </c:pt>
                <c:pt idx="13">
                  <c:v>700</c:v>
                </c:pt>
                <c:pt idx="14">
                  <c:v>680</c:v>
                </c:pt>
                <c:pt idx="15">
                  <c:v>640</c:v>
                </c:pt>
                <c:pt idx="16">
                  <c:v>1500</c:v>
                </c:pt>
                <c:pt idx="17">
                  <c:v>700</c:v>
                </c:pt>
                <c:pt idx="18">
                  <c:v>720</c:v>
                </c:pt>
                <c:pt idx="19">
                  <c:v>9128</c:v>
                </c:pt>
                <c:pt idx="20">
                  <c:v>58936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57-4D39-BBC0-DD37F5C3B5FB}"/>
            </c:ext>
          </c:extLst>
        </c:ser>
        <c:ser>
          <c:idx val="1"/>
          <c:order val="1"/>
          <c:tx>
            <c:v>계획</c:v>
          </c:tx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'04'!$J$6:$J$26</c:f>
              <c:numCache>
                <c:formatCode>_(* #,##0_);_(* \(#,##0\);_(* "-"_);_(@_)</c:formatCode>
                <c:ptCount val="21"/>
                <c:pt idx="0">
                  <c:v>5516</c:v>
                </c:pt>
                <c:pt idx="1">
                  <c:v>5300</c:v>
                </c:pt>
                <c:pt idx="2">
                  <c:v>12360</c:v>
                </c:pt>
                <c:pt idx="3">
                  <c:v>6946</c:v>
                </c:pt>
                <c:pt idx="4">
                  <c:v>12940</c:v>
                </c:pt>
                <c:pt idx="5">
                  <c:v>3288</c:v>
                </c:pt>
                <c:pt idx="6">
                  <c:v>5144</c:v>
                </c:pt>
                <c:pt idx="7">
                  <c:v>4298</c:v>
                </c:pt>
                <c:pt idx="8">
                  <c:v>242</c:v>
                </c:pt>
                <c:pt idx="9">
                  <c:v>628</c:v>
                </c:pt>
                <c:pt idx="10">
                  <c:v>2422</c:v>
                </c:pt>
                <c:pt idx="11">
                  <c:v>495</c:v>
                </c:pt>
                <c:pt idx="12">
                  <c:v>1482</c:v>
                </c:pt>
                <c:pt idx="13">
                  <c:v>700</c:v>
                </c:pt>
                <c:pt idx="14">
                  <c:v>680</c:v>
                </c:pt>
                <c:pt idx="15">
                  <c:v>640</c:v>
                </c:pt>
                <c:pt idx="16">
                  <c:v>1500</c:v>
                </c:pt>
                <c:pt idx="17">
                  <c:v>700</c:v>
                </c:pt>
                <c:pt idx="18">
                  <c:v>720</c:v>
                </c:pt>
                <c:pt idx="19">
                  <c:v>9128</c:v>
                </c:pt>
                <c:pt idx="20">
                  <c:v>58936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57-4D39-BBC0-DD37F5C3B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'04'!$AD$6:$AD$26</c:f>
              <c:strCache>
                <c:ptCount val="21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100%</c:v>
                </c:pt>
                <c:pt idx="5">
                  <c:v>67%</c:v>
                </c:pt>
                <c:pt idx="6">
                  <c:v>58%</c:v>
                </c:pt>
                <c:pt idx="7">
                  <c:v>54%</c:v>
                </c:pt>
                <c:pt idx="8">
                  <c:v>25%</c:v>
                </c:pt>
                <c:pt idx="9">
                  <c:v>42%</c:v>
                </c:pt>
                <c:pt idx="10">
                  <c:v>0%</c:v>
                </c:pt>
                <c:pt idx="11">
                  <c:v>17%</c:v>
                </c:pt>
                <c:pt idx="12">
                  <c:v>33%</c:v>
                </c:pt>
                <c:pt idx="13">
                  <c:v>21%</c:v>
                </c:pt>
                <c:pt idx="14">
                  <c:v>21%</c:v>
                </c:pt>
                <c:pt idx="15">
                  <c:v>21%</c:v>
                </c:pt>
                <c:pt idx="16">
                  <c:v>29%</c:v>
                </c:pt>
                <c:pt idx="17">
                  <c:v>21%</c:v>
                </c:pt>
                <c:pt idx="18">
                  <c:v>21%</c:v>
                </c:pt>
                <c:pt idx="19">
                  <c:v>88%</c:v>
                </c:pt>
                <c:pt idx="20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'04'!$AD$6:$AD$26</c:f>
              <c:numCache>
                <c:formatCode>0%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0.66666666666666663</c:v>
                </c:pt>
                <c:pt idx="6">
                  <c:v>0.58333333333333337</c:v>
                </c:pt>
                <c:pt idx="7">
                  <c:v>0.54166666666666663</c:v>
                </c:pt>
                <c:pt idx="8">
                  <c:v>0.25</c:v>
                </c:pt>
                <c:pt idx="9">
                  <c:v>0.41666666666666669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0.33333333333333331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0.20833333333333334</c:v>
                </c:pt>
                <c:pt idx="16">
                  <c:v>0.29166666666666669</c:v>
                </c:pt>
                <c:pt idx="17">
                  <c:v>0.20833333333333334</c:v>
                </c:pt>
                <c:pt idx="18">
                  <c:v>0.20833333333333334</c:v>
                </c:pt>
                <c:pt idx="19">
                  <c:v>0.875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C-4A5E-A790-46E73A37C9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BC-4A5E-A790-46E73A37C9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'04'!$AE$6:$AE$26</c:f>
              <c:numCache>
                <c:formatCode>0%</c:formatCode>
                <c:ptCount val="21"/>
                <c:pt idx="0">
                  <c:v>0.47619047619047616</c:v>
                </c:pt>
                <c:pt idx="1">
                  <c:v>0.47619047619047616</c:v>
                </c:pt>
                <c:pt idx="2">
                  <c:v>0.47619047619047616</c:v>
                </c:pt>
                <c:pt idx="3">
                  <c:v>0.47619047619047616</c:v>
                </c:pt>
                <c:pt idx="4">
                  <c:v>0.47619047619047616</c:v>
                </c:pt>
                <c:pt idx="5">
                  <c:v>0.47619047619047616</c:v>
                </c:pt>
                <c:pt idx="6">
                  <c:v>0.47619047619047616</c:v>
                </c:pt>
                <c:pt idx="7">
                  <c:v>0.47619047619047616</c:v>
                </c:pt>
                <c:pt idx="8">
                  <c:v>0.47619047619047616</c:v>
                </c:pt>
                <c:pt idx="9">
                  <c:v>0.47619047619047616</c:v>
                </c:pt>
                <c:pt idx="10">
                  <c:v>0.47619047619047616</c:v>
                </c:pt>
                <c:pt idx="11">
                  <c:v>0.47619047619047616</c:v>
                </c:pt>
                <c:pt idx="12">
                  <c:v>0.47619047619047616</c:v>
                </c:pt>
                <c:pt idx="13">
                  <c:v>0.47619047619047616</c:v>
                </c:pt>
                <c:pt idx="14">
                  <c:v>0.47619047619047616</c:v>
                </c:pt>
                <c:pt idx="15">
                  <c:v>0.47619047619047616</c:v>
                </c:pt>
                <c:pt idx="16">
                  <c:v>0.47619047619047616</c:v>
                </c:pt>
                <c:pt idx="17">
                  <c:v>0.47619047619047616</c:v>
                </c:pt>
                <c:pt idx="18">
                  <c:v>0.47619047619047616</c:v>
                </c:pt>
                <c:pt idx="19">
                  <c:v>0.47619047619047616</c:v>
                </c:pt>
                <c:pt idx="20">
                  <c:v>0.47619047619047616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C-4A5E-A790-46E73A37C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'04'!$L$6:$L$26</c:f>
              <c:numCache>
                <c:formatCode>_(* #,##0_);_(* \(#,##0\);_(* "-"_);_(@_)</c:formatCode>
                <c:ptCount val="21"/>
                <c:pt idx="0">
                  <c:v>5516</c:v>
                </c:pt>
                <c:pt idx="2">
                  <c:v>12360</c:v>
                </c:pt>
                <c:pt idx="3">
                  <c:v>6946</c:v>
                </c:pt>
                <c:pt idx="4">
                  <c:v>12940</c:v>
                </c:pt>
                <c:pt idx="5">
                  <c:v>3288</c:v>
                </c:pt>
                <c:pt idx="6">
                  <c:v>5144</c:v>
                </c:pt>
                <c:pt idx="7">
                  <c:v>4298</c:v>
                </c:pt>
                <c:pt idx="8">
                  <c:v>242</c:v>
                </c:pt>
                <c:pt idx="9">
                  <c:v>628</c:v>
                </c:pt>
                <c:pt idx="11">
                  <c:v>495</c:v>
                </c:pt>
                <c:pt idx="12">
                  <c:v>1482</c:v>
                </c:pt>
                <c:pt idx="13">
                  <c:v>700</c:v>
                </c:pt>
                <c:pt idx="14">
                  <c:v>680</c:v>
                </c:pt>
                <c:pt idx="15">
                  <c:v>640</c:v>
                </c:pt>
                <c:pt idx="16">
                  <c:v>1500</c:v>
                </c:pt>
                <c:pt idx="17">
                  <c:v>700</c:v>
                </c:pt>
                <c:pt idx="18">
                  <c:v>720</c:v>
                </c:pt>
                <c:pt idx="19">
                  <c:v>9128</c:v>
                </c:pt>
                <c:pt idx="20">
                  <c:v>58936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0-4BC5-9504-EC43D72D5DF4}"/>
            </c:ext>
          </c:extLst>
        </c:ser>
        <c:ser>
          <c:idx val="1"/>
          <c:order val="1"/>
          <c:tx>
            <c:v>계획</c:v>
          </c:tx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'04'!$J$6:$J$26</c:f>
              <c:numCache>
                <c:formatCode>_(* #,##0_);_(* \(#,##0\);_(* "-"_);_(@_)</c:formatCode>
                <c:ptCount val="21"/>
                <c:pt idx="0">
                  <c:v>5516</c:v>
                </c:pt>
                <c:pt idx="1">
                  <c:v>5300</c:v>
                </c:pt>
                <c:pt idx="2">
                  <c:v>12360</c:v>
                </c:pt>
                <c:pt idx="3">
                  <c:v>6946</c:v>
                </c:pt>
                <c:pt idx="4">
                  <c:v>12940</c:v>
                </c:pt>
                <c:pt idx="5">
                  <c:v>3288</c:v>
                </c:pt>
                <c:pt idx="6">
                  <c:v>5144</c:v>
                </c:pt>
                <c:pt idx="7">
                  <c:v>4298</c:v>
                </c:pt>
                <c:pt idx="8">
                  <c:v>242</c:v>
                </c:pt>
                <c:pt idx="9">
                  <c:v>628</c:v>
                </c:pt>
                <c:pt idx="10">
                  <c:v>2422</c:v>
                </c:pt>
                <c:pt idx="11">
                  <c:v>495</c:v>
                </c:pt>
                <c:pt idx="12">
                  <c:v>1482</c:v>
                </c:pt>
                <c:pt idx="13">
                  <c:v>700</c:v>
                </c:pt>
                <c:pt idx="14">
                  <c:v>680</c:v>
                </c:pt>
                <c:pt idx="15">
                  <c:v>640</c:v>
                </c:pt>
                <c:pt idx="16">
                  <c:v>1500</c:v>
                </c:pt>
                <c:pt idx="17">
                  <c:v>700</c:v>
                </c:pt>
                <c:pt idx="18">
                  <c:v>720</c:v>
                </c:pt>
                <c:pt idx="19">
                  <c:v>9128</c:v>
                </c:pt>
                <c:pt idx="20">
                  <c:v>58936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0-4BC5-9504-EC43D72D5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'04'!$AD$6:$AD$26</c:f>
              <c:strCache>
                <c:ptCount val="21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100%</c:v>
                </c:pt>
                <c:pt idx="5">
                  <c:v>67%</c:v>
                </c:pt>
                <c:pt idx="6">
                  <c:v>58%</c:v>
                </c:pt>
                <c:pt idx="7">
                  <c:v>54%</c:v>
                </c:pt>
                <c:pt idx="8">
                  <c:v>25%</c:v>
                </c:pt>
                <c:pt idx="9">
                  <c:v>42%</c:v>
                </c:pt>
                <c:pt idx="10">
                  <c:v>0%</c:v>
                </c:pt>
                <c:pt idx="11">
                  <c:v>17%</c:v>
                </c:pt>
                <c:pt idx="12">
                  <c:v>33%</c:v>
                </c:pt>
                <c:pt idx="13">
                  <c:v>21%</c:v>
                </c:pt>
                <c:pt idx="14">
                  <c:v>21%</c:v>
                </c:pt>
                <c:pt idx="15">
                  <c:v>21%</c:v>
                </c:pt>
                <c:pt idx="16">
                  <c:v>29%</c:v>
                </c:pt>
                <c:pt idx="17">
                  <c:v>21%</c:v>
                </c:pt>
                <c:pt idx="18">
                  <c:v>21%</c:v>
                </c:pt>
                <c:pt idx="19">
                  <c:v>88%</c:v>
                </c:pt>
                <c:pt idx="20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'04'!$AD$6:$AD$26</c:f>
              <c:numCache>
                <c:formatCode>0%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0.66666666666666663</c:v>
                </c:pt>
                <c:pt idx="6">
                  <c:v>0.58333333333333337</c:v>
                </c:pt>
                <c:pt idx="7">
                  <c:v>0.54166666666666663</c:v>
                </c:pt>
                <c:pt idx="8">
                  <c:v>0.25</c:v>
                </c:pt>
                <c:pt idx="9">
                  <c:v>0.41666666666666669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0.33333333333333331</c:v>
                </c:pt>
                <c:pt idx="13">
                  <c:v>0.20833333333333334</c:v>
                </c:pt>
                <c:pt idx="14">
                  <c:v>0.20833333333333334</c:v>
                </c:pt>
                <c:pt idx="15">
                  <c:v>0.20833333333333334</c:v>
                </c:pt>
                <c:pt idx="16">
                  <c:v>0.29166666666666669</c:v>
                </c:pt>
                <c:pt idx="17">
                  <c:v>0.20833333333333334</c:v>
                </c:pt>
                <c:pt idx="18">
                  <c:v>0.20833333333333334</c:v>
                </c:pt>
                <c:pt idx="19">
                  <c:v>0.875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9-47E7-9F1F-A2060BF1005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09-47E7-9F1F-A2060BF100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'04'!$D$6:$D$26</c:f>
              <c:strCache>
                <c:ptCount val="20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FLOATING</c:v>
                </c:pt>
                <c:pt idx="13">
                  <c:v>BASE</c:v>
                </c:pt>
                <c:pt idx="14">
                  <c:v>COVER</c:v>
                </c:pt>
                <c:pt idx="15">
                  <c:v>HOLDER</c:v>
                </c:pt>
                <c:pt idx="16">
                  <c:v>LATCH</c:v>
                </c:pt>
                <c:pt idx="17">
                  <c:v>STOPPER</c:v>
                </c:pt>
                <c:pt idx="18">
                  <c:v>LEAD GUIDE</c:v>
                </c:pt>
                <c:pt idx="19">
                  <c:v>BASE</c:v>
                </c:pt>
              </c:strCache>
            </c:strRef>
          </c:cat>
          <c:val>
            <c:numRef>
              <c:f>'04'!$AE$6:$AE$26</c:f>
              <c:numCache>
                <c:formatCode>0%</c:formatCode>
                <c:ptCount val="21"/>
                <c:pt idx="0">
                  <c:v>0.47619047619047616</c:v>
                </c:pt>
                <c:pt idx="1">
                  <c:v>0.47619047619047616</c:v>
                </c:pt>
                <c:pt idx="2">
                  <c:v>0.47619047619047616</c:v>
                </c:pt>
                <c:pt idx="3">
                  <c:v>0.47619047619047616</c:v>
                </c:pt>
                <c:pt idx="4">
                  <c:v>0.47619047619047616</c:v>
                </c:pt>
                <c:pt idx="5">
                  <c:v>0.47619047619047616</c:v>
                </c:pt>
                <c:pt idx="6">
                  <c:v>0.47619047619047616</c:v>
                </c:pt>
                <c:pt idx="7">
                  <c:v>0.47619047619047616</c:v>
                </c:pt>
                <c:pt idx="8">
                  <c:v>0.47619047619047616</c:v>
                </c:pt>
                <c:pt idx="9">
                  <c:v>0.47619047619047616</c:v>
                </c:pt>
                <c:pt idx="10">
                  <c:v>0.47619047619047616</c:v>
                </c:pt>
                <c:pt idx="11">
                  <c:v>0.47619047619047616</c:v>
                </c:pt>
                <c:pt idx="12">
                  <c:v>0.47619047619047616</c:v>
                </c:pt>
                <c:pt idx="13">
                  <c:v>0.47619047619047616</c:v>
                </c:pt>
                <c:pt idx="14">
                  <c:v>0.47619047619047616</c:v>
                </c:pt>
                <c:pt idx="15">
                  <c:v>0.47619047619047616</c:v>
                </c:pt>
                <c:pt idx="16">
                  <c:v>0.47619047619047616</c:v>
                </c:pt>
                <c:pt idx="17">
                  <c:v>0.47619047619047616</c:v>
                </c:pt>
                <c:pt idx="18">
                  <c:v>0.47619047619047616</c:v>
                </c:pt>
                <c:pt idx="19">
                  <c:v>0.47619047619047616</c:v>
                </c:pt>
                <c:pt idx="20">
                  <c:v>0.47619047619047616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09-47E7-9F1F-A2060BF10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594-453A-A65B-02B0AC1064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4-453A-A65B-02B0AC106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594-453A-A65B-02B0AC1064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94-453A-A65B-02B0AC106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6003</c:v>
                </c:pt>
                <c:pt idx="2">
                  <c:v>9142</c:v>
                </c:pt>
                <c:pt idx="3">
                  <c:v>9726</c:v>
                </c:pt>
                <c:pt idx="4">
                  <c:v>13030</c:v>
                </c:pt>
                <c:pt idx="5">
                  <c:v>5717</c:v>
                </c:pt>
                <c:pt idx="6">
                  <c:v>6184</c:v>
                </c:pt>
                <c:pt idx="7">
                  <c:v>5694</c:v>
                </c:pt>
                <c:pt idx="8">
                  <c:v>329</c:v>
                </c:pt>
                <c:pt idx="11">
                  <c:v>700</c:v>
                </c:pt>
                <c:pt idx="13">
                  <c:v>1611</c:v>
                </c:pt>
                <c:pt idx="14">
                  <c:v>6400</c:v>
                </c:pt>
                <c:pt idx="15">
                  <c:v>34764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2FC-B8D2-E85AC742C93D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6003</c:v>
                </c:pt>
                <c:pt idx="1">
                  <c:v>5300</c:v>
                </c:pt>
                <c:pt idx="2">
                  <c:v>9142</c:v>
                </c:pt>
                <c:pt idx="3">
                  <c:v>9726</c:v>
                </c:pt>
                <c:pt idx="4">
                  <c:v>13030</c:v>
                </c:pt>
                <c:pt idx="5">
                  <c:v>5717</c:v>
                </c:pt>
                <c:pt idx="6">
                  <c:v>6184</c:v>
                </c:pt>
                <c:pt idx="7">
                  <c:v>5694</c:v>
                </c:pt>
                <c:pt idx="8">
                  <c:v>329</c:v>
                </c:pt>
                <c:pt idx="9">
                  <c:v>2422</c:v>
                </c:pt>
                <c:pt idx="10">
                  <c:v>495</c:v>
                </c:pt>
                <c:pt idx="11">
                  <c:v>700</c:v>
                </c:pt>
                <c:pt idx="12">
                  <c:v>700</c:v>
                </c:pt>
                <c:pt idx="13">
                  <c:v>1611</c:v>
                </c:pt>
                <c:pt idx="14">
                  <c:v>6400</c:v>
                </c:pt>
                <c:pt idx="15">
                  <c:v>34764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2FC-B8D2-E85AC742C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88%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67%</c:v>
                </c:pt>
                <c:pt idx="7">
                  <c:v>67%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38%</c:v>
                </c:pt>
                <c:pt idx="14">
                  <c:v>75%</c:v>
                </c:pt>
                <c:pt idx="15">
                  <c:v>67%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0.375</c:v>
                </c:pt>
                <c:pt idx="14">
                  <c:v>0.75</c:v>
                </c:pt>
                <c:pt idx="15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C-42EC-A8BC-10D9012AA9A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8C-42EC-A8BC-10D9012AA9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0.52864583333333337</c:v>
                </c:pt>
                <c:pt idx="1">
                  <c:v>0.52864583333333337</c:v>
                </c:pt>
                <c:pt idx="2">
                  <c:v>0.52864583333333337</c:v>
                </c:pt>
                <c:pt idx="3">
                  <c:v>0.52864583333333337</c:v>
                </c:pt>
                <c:pt idx="4">
                  <c:v>0.52864583333333337</c:v>
                </c:pt>
                <c:pt idx="5">
                  <c:v>0.52864583333333337</c:v>
                </c:pt>
                <c:pt idx="6">
                  <c:v>0.52864583333333337</c:v>
                </c:pt>
                <c:pt idx="7">
                  <c:v>0.52864583333333337</c:v>
                </c:pt>
                <c:pt idx="8">
                  <c:v>0.52864583333333337</c:v>
                </c:pt>
                <c:pt idx="9">
                  <c:v>0.52864583333333337</c:v>
                </c:pt>
                <c:pt idx="10">
                  <c:v>0.52864583333333337</c:v>
                </c:pt>
                <c:pt idx="11">
                  <c:v>0.52864583333333337</c:v>
                </c:pt>
                <c:pt idx="12">
                  <c:v>0.52864583333333337</c:v>
                </c:pt>
                <c:pt idx="13">
                  <c:v>0.52864583333333337</c:v>
                </c:pt>
                <c:pt idx="14">
                  <c:v>0.52864583333333337</c:v>
                </c:pt>
                <c:pt idx="15">
                  <c:v>0.52864583333333337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C-42EC-A8BC-10D9012AA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6003</c:v>
                </c:pt>
                <c:pt idx="2">
                  <c:v>9142</c:v>
                </c:pt>
                <c:pt idx="3">
                  <c:v>9726</c:v>
                </c:pt>
                <c:pt idx="4">
                  <c:v>13030</c:v>
                </c:pt>
                <c:pt idx="5">
                  <c:v>5717</c:v>
                </c:pt>
                <c:pt idx="6">
                  <c:v>6184</c:v>
                </c:pt>
                <c:pt idx="7">
                  <c:v>5694</c:v>
                </c:pt>
                <c:pt idx="8">
                  <c:v>329</c:v>
                </c:pt>
                <c:pt idx="11">
                  <c:v>700</c:v>
                </c:pt>
                <c:pt idx="13">
                  <c:v>1611</c:v>
                </c:pt>
                <c:pt idx="14">
                  <c:v>6400</c:v>
                </c:pt>
                <c:pt idx="15">
                  <c:v>34764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81-4128-BCB3-DDC319335252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6003</c:v>
                </c:pt>
                <c:pt idx="1">
                  <c:v>5300</c:v>
                </c:pt>
                <c:pt idx="2">
                  <c:v>9142</c:v>
                </c:pt>
                <c:pt idx="3">
                  <c:v>9726</c:v>
                </c:pt>
                <c:pt idx="4">
                  <c:v>13030</c:v>
                </c:pt>
                <c:pt idx="5">
                  <c:v>5717</c:v>
                </c:pt>
                <c:pt idx="6">
                  <c:v>6184</c:v>
                </c:pt>
                <c:pt idx="7">
                  <c:v>5694</c:v>
                </c:pt>
                <c:pt idx="8">
                  <c:v>329</c:v>
                </c:pt>
                <c:pt idx="9">
                  <c:v>2422</c:v>
                </c:pt>
                <c:pt idx="10">
                  <c:v>495</c:v>
                </c:pt>
                <c:pt idx="11">
                  <c:v>700</c:v>
                </c:pt>
                <c:pt idx="12">
                  <c:v>700</c:v>
                </c:pt>
                <c:pt idx="13">
                  <c:v>1611</c:v>
                </c:pt>
                <c:pt idx="14">
                  <c:v>6400</c:v>
                </c:pt>
                <c:pt idx="15">
                  <c:v>34764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81-4128-BCB3-DDC319335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88%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67%</c:v>
                </c:pt>
                <c:pt idx="7">
                  <c:v>67%</c:v>
                </c:pt>
                <c:pt idx="8">
                  <c:v>25%</c:v>
                </c:pt>
                <c:pt idx="9">
                  <c:v>0%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38%</c:v>
                </c:pt>
                <c:pt idx="14">
                  <c:v>75%</c:v>
                </c:pt>
                <c:pt idx="15">
                  <c:v>67%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0.25</c:v>
                </c:pt>
                <c:pt idx="9">
                  <c:v>0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0.375</c:v>
                </c:pt>
                <c:pt idx="14">
                  <c:v>0.75</c:v>
                </c:pt>
                <c:pt idx="15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2-4259-85F4-23B2E4E0251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F2-4259-85F4-23B2E4E025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0.52864583333333337</c:v>
                </c:pt>
                <c:pt idx="1">
                  <c:v>0.52864583333333337</c:v>
                </c:pt>
                <c:pt idx="2">
                  <c:v>0.52864583333333337</c:v>
                </c:pt>
                <c:pt idx="3">
                  <c:v>0.52864583333333337</c:v>
                </c:pt>
                <c:pt idx="4">
                  <c:v>0.52864583333333337</c:v>
                </c:pt>
                <c:pt idx="5">
                  <c:v>0.52864583333333337</c:v>
                </c:pt>
                <c:pt idx="6">
                  <c:v>0.52864583333333337</c:v>
                </c:pt>
                <c:pt idx="7">
                  <c:v>0.52864583333333337</c:v>
                </c:pt>
                <c:pt idx="8">
                  <c:v>0.52864583333333337</c:v>
                </c:pt>
                <c:pt idx="9">
                  <c:v>0.52864583333333337</c:v>
                </c:pt>
                <c:pt idx="10">
                  <c:v>0.52864583333333337</c:v>
                </c:pt>
                <c:pt idx="11">
                  <c:v>0.52864583333333337</c:v>
                </c:pt>
                <c:pt idx="12">
                  <c:v>0.52864583333333337</c:v>
                </c:pt>
                <c:pt idx="13">
                  <c:v>0.52864583333333337</c:v>
                </c:pt>
                <c:pt idx="14">
                  <c:v>0.52864583333333337</c:v>
                </c:pt>
                <c:pt idx="15">
                  <c:v>0.52864583333333337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F2-4259-85F4-23B2E4E02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37C-4F1F-8587-B250C55B1D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7C-4F1F-8587-B250C55B1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37C-4F1F-8587-B250C55B1D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7C-4F1F-8587-B250C55B1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'06'!$L$6:$L$22</c:f>
              <c:numCache>
                <c:formatCode>_(* #,##0_);_(* \(#,##0\);_(* "-"_);_(@_)</c:formatCode>
                <c:ptCount val="17"/>
                <c:pt idx="0">
                  <c:v>6004</c:v>
                </c:pt>
                <c:pt idx="2">
                  <c:v>12426</c:v>
                </c:pt>
                <c:pt idx="3">
                  <c:v>6834</c:v>
                </c:pt>
                <c:pt idx="4">
                  <c:v>13250</c:v>
                </c:pt>
                <c:pt idx="5">
                  <c:v>5730</c:v>
                </c:pt>
                <c:pt idx="6">
                  <c:v>11076</c:v>
                </c:pt>
                <c:pt idx="7">
                  <c:v>7524</c:v>
                </c:pt>
                <c:pt idx="12">
                  <c:v>1115</c:v>
                </c:pt>
                <c:pt idx="13">
                  <c:v>3028</c:v>
                </c:pt>
                <c:pt idx="15">
                  <c:v>11510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2-403A-929B-FD059E220FA4}"/>
            </c:ext>
          </c:extLst>
        </c:ser>
        <c:ser>
          <c:idx val="1"/>
          <c:order val="1"/>
          <c:tx>
            <c:v>계획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'06'!$J$6:$J$22</c:f>
              <c:numCache>
                <c:formatCode>_(* #,##0_);_(* \(#,##0\);_(* "-"_);_(@_)</c:formatCode>
                <c:ptCount val="17"/>
                <c:pt idx="0">
                  <c:v>6004</c:v>
                </c:pt>
                <c:pt idx="1">
                  <c:v>5300</c:v>
                </c:pt>
                <c:pt idx="2">
                  <c:v>12426</c:v>
                </c:pt>
                <c:pt idx="3">
                  <c:v>6834</c:v>
                </c:pt>
                <c:pt idx="4">
                  <c:v>13250</c:v>
                </c:pt>
                <c:pt idx="5">
                  <c:v>5730</c:v>
                </c:pt>
                <c:pt idx="6">
                  <c:v>11076</c:v>
                </c:pt>
                <c:pt idx="7">
                  <c:v>7524</c:v>
                </c:pt>
                <c:pt idx="8">
                  <c:v>329</c:v>
                </c:pt>
                <c:pt idx="9">
                  <c:v>2422</c:v>
                </c:pt>
                <c:pt idx="10">
                  <c:v>495</c:v>
                </c:pt>
                <c:pt idx="11">
                  <c:v>700</c:v>
                </c:pt>
                <c:pt idx="12">
                  <c:v>1115</c:v>
                </c:pt>
                <c:pt idx="13">
                  <c:v>3028</c:v>
                </c:pt>
                <c:pt idx="14">
                  <c:v>1611</c:v>
                </c:pt>
                <c:pt idx="15">
                  <c:v>11510</c:v>
                </c:pt>
                <c:pt idx="16">
                  <c:v>34764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2-403A-929B-FD059E220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67%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0.66666666666666663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7-46E0-B2EA-933EAE2899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57-46E0-B2EA-933EAE2899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'06'!$AE$6:$AE$22</c:f>
              <c:numCache>
                <c:formatCode>0%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57-46E0-B2EA-933EAE289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'06'!$L$6:$L$22</c:f>
              <c:numCache>
                <c:formatCode>_(* #,##0_);_(* \(#,##0\);_(* "-"_);_(@_)</c:formatCode>
                <c:ptCount val="17"/>
                <c:pt idx="0">
                  <c:v>6004</c:v>
                </c:pt>
                <c:pt idx="2">
                  <c:v>12426</c:v>
                </c:pt>
                <c:pt idx="3">
                  <c:v>6834</c:v>
                </c:pt>
                <c:pt idx="4">
                  <c:v>13250</c:v>
                </c:pt>
                <c:pt idx="5">
                  <c:v>5730</c:v>
                </c:pt>
                <c:pt idx="6">
                  <c:v>11076</c:v>
                </c:pt>
                <c:pt idx="7">
                  <c:v>7524</c:v>
                </c:pt>
                <c:pt idx="12">
                  <c:v>1115</c:v>
                </c:pt>
                <c:pt idx="13">
                  <c:v>3028</c:v>
                </c:pt>
                <c:pt idx="15">
                  <c:v>11510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C-4949-BE76-C12360EFC9F5}"/>
            </c:ext>
          </c:extLst>
        </c:ser>
        <c:ser>
          <c:idx val="1"/>
          <c:order val="1"/>
          <c:tx>
            <c:v>계획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'06'!$J$6:$J$22</c:f>
              <c:numCache>
                <c:formatCode>_(* #,##0_);_(* \(#,##0\);_(* "-"_);_(@_)</c:formatCode>
                <c:ptCount val="17"/>
                <c:pt idx="0">
                  <c:v>6004</c:v>
                </c:pt>
                <c:pt idx="1">
                  <c:v>5300</c:v>
                </c:pt>
                <c:pt idx="2">
                  <c:v>12426</c:v>
                </c:pt>
                <c:pt idx="3">
                  <c:v>6834</c:v>
                </c:pt>
                <c:pt idx="4">
                  <c:v>13250</c:v>
                </c:pt>
                <c:pt idx="5">
                  <c:v>5730</c:v>
                </c:pt>
                <c:pt idx="6">
                  <c:v>11076</c:v>
                </c:pt>
                <c:pt idx="7">
                  <c:v>7524</c:v>
                </c:pt>
                <c:pt idx="8">
                  <c:v>329</c:v>
                </c:pt>
                <c:pt idx="9">
                  <c:v>2422</c:v>
                </c:pt>
                <c:pt idx="10">
                  <c:v>495</c:v>
                </c:pt>
                <c:pt idx="11">
                  <c:v>700</c:v>
                </c:pt>
                <c:pt idx="12">
                  <c:v>1115</c:v>
                </c:pt>
                <c:pt idx="13">
                  <c:v>3028</c:v>
                </c:pt>
                <c:pt idx="14">
                  <c:v>1611</c:v>
                </c:pt>
                <c:pt idx="15">
                  <c:v>11510</c:v>
                </c:pt>
                <c:pt idx="16">
                  <c:v>34764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8C-4949-BE76-C12360EF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25%</c:v>
                </c:pt>
                <c:pt idx="13">
                  <c:v>67%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0.66666666666666663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9-4ABC-82A3-D76F490D16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79-4ABC-82A3-D76F490D16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'06'!$AE$6:$AE$22</c:f>
              <c:numCache>
                <c:formatCode>0%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79-4ABC-82A3-D76F490D1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12B-4D31-B977-76ED9AF49D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B-4D31-B977-76ED9AF49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12B-4D31-B977-76ED9AF49D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2B-4D31-B977-76ED9AF49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2736</c:v>
                </c:pt>
                <c:pt idx="2">
                  <c:v>5790</c:v>
                </c:pt>
                <c:pt idx="3">
                  <c:v>4580</c:v>
                </c:pt>
                <c:pt idx="4">
                  <c:v>0</c:v>
                </c:pt>
                <c:pt idx="5">
                  <c:v>2661</c:v>
                </c:pt>
                <c:pt idx="6">
                  <c:v>3614</c:v>
                </c:pt>
                <c:pt idx="7">
                  <c:v>3000</c:v>
                </c:pt>
                <c:pt idx="11">
                  <c:v>1840</c:v>
                </c:pt>
                <c:pt idx="14">
                  <c:v>3498</c:v>
                </c:pt>
                <c:pt idx="15">
                  <c:v>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2-4A8A-A896-3E17F414386B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2736</c:v>
                </c:pt>
                <c:pt idx="1">
                  <c:v>5300</c:v>
                </c:pt>
                <c:pt idx="2">
                  <c:v>5790</c:v>
                </c:pt>
                <c:pt idx="3">
                  <c:v>4580</c:v>
                </c:pt>
                <c:pt idx="4">
                  <c:v>13250</c:v>
                </c:pt>
                <c:pt idx="5">
                  <c:v>2661</c:v>
                </c:pt>
                <c:pt idx="6">
                  <c:v>3614</c:v>
                </c:pt>
                <c:pt idx="7">
                  <c:v>3000</c:v>
                </c:pt>
                <c:pt idx="8">
                  <c:v>329</c:v>
                </c:pt>
                <c:pt idx="9">
                  <c:v>2422</c:v>
                </c:pt>
                <c:pt idx="10">
                  <c:v>495</c:v>
                </c:pt>
                <c:pt idx="11">
                  <c:v>1840</c:v>
                </c:pt>
                <c:pt idx="12">
                  <c:v>1115</c:v>
                </c:pt>
                <c:pt idx="13">
                  <c:v>1611</c:v>
                </c:pt>
                <c:pt idx="14">
                  <c:v>3498</c:v>
                </c:pt>
                <c:pt idx="15">
                  <c:v>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2-4A8A-A896-3E17F4143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46%</c:v>
                </c:pt>
                <c:pt idx="1">
                  <c:v>0%</c:v>
                </c:pt>
                <c:pt idx="2">
                  <c:v>46%</c:v>
                </c:pt>
                <c:pt idx="3">
                  <c:v>46%</c:v>
                </c:pt>
                <c:pt idx="4">
                  <c:v>0%</c:v>
                </c:pt>
                <c:pt idx="5">
                  <c:v>46%</c:v>
                </c:pt>
                <c:pt idx="6">
                  <c:v>33%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0%</c:v>
                </c:pt>
                <c:pt idx="14">
                  <c:v>38%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</c:v>
                </c:pt>
                <c:pt idx="5">
                  <c:v>0.45833333333333331</c:v>
                </c:pt>
                <c:pt idx="6">
                  <c:v>0.33333333333333331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0</c:v>
                </c:pt>
                <c:pt idx="14">
                  <c:v>0.375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7-42CB-9B75-05B87F6A629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47-42CB-9B75-05B87F6A62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0.23177083333333334</c:v>
                </c:pt>
                <c:pt idx="1">
                  <c:v>0.23177083333333334</c:v>
                </c:pt>
                <c:pt idx="2">
                  <c:v>0.23177083333333334</c:v>
                </c:pt>
                <c:pt idx="3">
                  <c:v>0.23177083333333334</c:v>
                </c:pt>
                <c:pt idx="4">
                  <c:v>0.23177083333333334</c:v>
                </c:pt>
                <c:pt idx="5">
                  <c:v>0.23177083333333334</c:v>
                </c:pt>
                <c:pt idx="6">
                  <c:v>0.23177083333333334</c:v>
                </c:pt>
                <c:pt idx="7">
                  <c:v>0.23177083333333334</c:v>
                </c:pt>
                <c:pt idx="8">
                  <c:v>0.23177083333333334</c:v>
                </c:pt>
                <c:pt idx="9">
                  <c:v>0.23177083333333334</c:v>
                </c:pt>
                <c:pt idx="10">
                  <c:v>0.23177083333333334</c:v>
                </c:pt>
                <c:pt idx="11">
                  <c:v>0.23177083333333334</c:v>
                </c:pt>
                <c:pt idx="12">
                  <c:v>0.23177083333333334</c:v>
                </c:pt>
                <c:pt idx="13">
                  <c:v>0.23177083333333334</c:v>
                </c:pt>
                <c:pt idx="14">
                  <c:v>0.23177083333333334</c:v>
                </c:pt>
                <c:pt idx="15">
                  <c:v>0.23177083333333334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47-42CB-9B75-05B87F6A6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2736</c:v>
                </c:pt>
                <c:pt idx="2">
                  <c:v>5790</c:v>
                </c:pt>
                <c:pt idx="3">
                  <c:v>4580</c:v>
                </c:pt>
                <c:pt idx="4">
                  <c:v>0</c:v>
                </c:pt>
                <c:pt idx="5">
                  <c:v>2661</c:v>
                </c:pt>
                <c:pt idx="6">
                  <c:v>3614</c:v>
                </c:pt>
                <c:pt idx="7">
                  <c:v>3000</c:v>
                </c:pt>
                <c:pt idx="11">
                  <c:v>1840</c:v>
                </c:pt>
                <c:pt idx="14">
                  <c:v>3498</c:v>
                </c:pt>
                <c:pt idx="15">
                  <c:v>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5-4319-B1F3-D5EA949B1311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2736</c:v>
                </c:pt>
                <c:pt idx="1">
                  <c:v>5300</c:v>
                </c:pt>
                <c:pt idx="2">
                  <c:v>5790</c:v>
                </c:pt>
                <c:pt idx="3">
                  <c:v>4580</c:v>
                </c:pt>
                <c:pt idx="4">
                  <c:v>13250</c:v>
                </c:pt>
                <c:pt idx="5">
                  <c:v>2661</c:v>
                </c:pt>
                <c:pt idx="6">
                  <c:v>3614</c:v>
                </c:pt>
                <c:pt idx="7">
                  <c:v>3000</c:v>
                </c:pt>
                <c:pt idx="8">
                  <c:v>329</c:v>
                </c:pt>
                <c:pt idx="9">
                  <c:v>2422</c:v>
                </c:pt>
                <c:pt idx="10">
                  <c:v>495</c:v>
                </c:pt>
                <c:pt idx="11">
                  <c:v>1840</c:v>
                </c:pt>
                <c:pt idx="12">
                  <c:v>1115</c:v>
                </c:pt>
                <c:pt idx="13">
                  <c:v>1611</c:v>
                </c:pt>
                <c:pt idx="14">
                  <c:v>3498</c:v>
                </c:pt>
                <c:pt idx="15">
                  <c:v>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5-4319-B1F3-D5EA949B1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46%</c:v>
                </c:pt>
                <c:pt idx="1">
                  <c:v>0%</c:v>
                </c:pt>
                <c:pt idx="2">
                  <c:v>46%</c:v>
                </c:pt>
                <c:pt idx="3">
                  <c:v>46%</c:v>
                </c:pt>
                <c:pt idx="4">
                  <c:v>0%</c:v>
                </c:pt>
                <c:pt idx="5">
                  <c:v>46%</c:v>
                </c:pt>
                <c:pt idx="6">
                  <c:v>33%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0%</c:v>
                </c:pt>
                <c:pt idx="14">
                  <c:v>38%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</c:v>
                </c:pt>
                <c:pt idx="5">
                  <c:v>0.45833333333333331</c:v>
                </c:pt>
                <c:pt idx="6">
                  <c:v>0.33333333333333331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0</c:v>
                </c:pt>
                <c:pt idx="14">
                  <c:v>0.375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9-4812-BF3B-5EAB6D5522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E9-4812-BF3B-5EAB6D5522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BOTTOM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0.23177083333333334</c:v>
                </c:pt>
                <c:pt idx="1">
                  <c:v>0.23177083333333334</c:v>
                </c:pt>
                <c:pt idx="2">
                  <c:v>0.23177083333333334</c:v>
                </c:pt>
                <c:pt idx="3">
                  <c:v>0.23177083333333334</c:v>
                </c:pt>
                <c:pt idx="4">
                  <c:v>0.23177083333333334</c:v>
                </c:pt>
                <c:pt idx="5">
                  <c:v>0.23177083333333334</c:v>
                </c:pt>
                <c:pt idx="6">
                  <c:v>0.23177083333333334</c:v>
                </c:pt>
                <c:pt idx="7">
                  <c:v>0.23177083333333334</c:v>
                </c:pt>
                <c:pt idx="8">
                  <c:v>0.23177083333333334</c:v>
                </c:pt>
                <c:pt idx="9">
                  <c:v>0.23177083333333334</c:v>
                </c:pt>
                <c:pt idx="10">
                  <c:v>0.23177083333333334</c:v>
                </c:pt>
                <c:pt idx="11">
                  <c:v>0.23177083333333334</c:v>
                </c:pt>
                <c:pt idx="12">
                  <c:v>0.23177083333333334</c:v>
                </c:pt>
                <c:pt idx="13">
                  <c:v>0.23177083333333334</c:v>
                </c:pt>
                <c:pt idx="14">
                  <c:v>0.23177083333333334</c:v>
                </c:pt>
                <c:pt idx="15">
                  <c:v>0.23177083333333334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9-4812-BF3B-5EAB6D552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E0E-467E-86B2-5F5F28F7FC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E-467E-86B2-5F5F28F7F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E0E-467E-86B2-5F5F28F7FC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0E-467E-86B2-5F5F28F7F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5509</c:v>
                </c:pt>
                <c:pt idx="2">
                  <c:v>11544</c:v>
                </c:pt>
                <c:pt idx="3">
                  <c:v>9464</c:v>
                </c:pt>
                <c:pt idx="4">
                  <c:v>11902</c:v>
                </c:pt>
                <c:pt idx="5">
                  <c:v>5515</c:v>
                </c:pt>
                <c:pt idx="6">
                  <c:v>6628</c:v>
                </c:pt>
                <c:pt idx="7">
                  <c:v>9774</c:v>
                </c:pt>
                <c:pt idx="9">
                  <c:v>7588</c:v>
                </c:pt>
                <c:pt idx="11">
                  <c:v>3071</c:v>
                </c:pt>
                <c:pt idx="12">
                  <c:v>3345</c:v>
                </c:pt>
                <c:pt idx="14">
                  <c:v>11566</c:v>
                </c:pt>
                <c:pt idx="15">
                  <c:v>23540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D-4CBA-81E2-FB017A9F649F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5509</c:v>
                </c:pt>
                <c:pt idx="1">
                  <c:v>5300</c:v>
                </c:pt>
                <c:pt idx="2">
                  <c:v>11544</c:v>
                </c:pt>
                <c:pt idx="3">
                  <c:v>9464</c:v>
                </c:pt>
                <c:pt idx="4">
                  <c:v>11902</c:v>
                </c:pt>
                <c:pt idx="5">
                  <c:v>5515</c:v>
                </c:pt>
                <c:pt idx="6">
                  <c:v>6628</c:v>
                </c:pt>
                <c:pt idx="7">
                  <c:v>9774</c:v>
                </c:pt>
                <c:pt idx="8">
                  <c:v>329</c:v>
                </c:pt>
                <c:pt idx="9">
                  <c:v>7588</c:v>
                </c:pt>
                <c:pt idx="10">
                  <c:v>495</c:v>
                </c:pt>
                <c:pt idx="11">
                  <c:v>3071</c:v>
                </c:pt>
                <c:pt idx="12">
                  <c:v>3345</c:v>
                </c:pt>
                <c:pt idx="13">
                  <c:v>1611</c:v>
                </c:pt>
                <c:pt idx="14">
                  <c:v>11566</c:v>
                </c:pt>
                <c:pt idx="15">
                  <c:v>23540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D-4CBA-81E2-FB017A9F6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67%</c:v>
                </c:pt>
                <c:pt idx="7">
                  <c:v>88%</c:v>
                </c:pt>
                <c:pt idx="8">
                  <c:v>0%</c:v>
                </c:pt>
                <c:pt idx="9">
                  <c:v>75%</c:v>
                </c:pt>
                <c:pt idx="10">
                  <c:v>0%</c:v>
                </c:pt>
                <c:pt idx="11">
                  <c:v>67%</c:v>
                </c:pt>
                <c:pt idx="12">
                  <c:v>79%</c:v>
                </c:pt>
                <c:pt idx="13">
                  <c:v>0%</c:v>
                </c:pt>
                <c:pt idx="14">
                  <c:v>96%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0.66666666666666663</c:v>
                </c:pt>
                <c:pt idx="7">
                  <c:v>0.875</c:v>
                </c:pt>
                <c:pt idx="8">
                  <c:v>0</c:v>
                </c:pt>
                <c:pt idx="9">
                  <c:v>0.75</c:v>
                </c:pt>
                <c:pt idx="10">
                  <c:v>0</c:v>
                </c:pt>
                <c:pt idx="11">
                  <c:v>0.66666666666666663</c:v>
                </c:pt>
                <c:pt idx="12">
                  <c:v>0.79166666666666663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6-4A3A-ADBB-98A84ED735E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66-4A3A-ADBB-98A84ED735E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0.640625</c:v>
                </c:pt>
                <c:pt idx="1">
                  <c:v>0.640625</c:v>
                </c:pt>
                <c:pt idx="2">
                  <c:v>0.640625</c:v>
                </c:pt>
                <c:pt idx="3">
                  <c:v>0.640625</c:v>
                </c:pt>
                <c:pt idx="4">
                  <c:v>0.640625</c:v>
                </c:pt>
                <c:pt idx="5">
                  <c:v>0.640625</c:v>
                </c:pt>
                <c:pt idx="6">
                  <c:v>0.640625</c:v>
                </c:pt>
                <c:pt idx="7">
                  <c:v>0.640625</c:v>
                </c:pt>
                <c:pt idx="8">
                  <c:v>0.640625</c:v>
                </c:pt>
                <c:pt idx="9">
                  <c:v>0.640625</c:v>
                </c:pt>
                <c:pt idx="10">
                  <c:v>0.640625</c:v>
                </c:pt>
                <c:pt idx="11">
                  <c:v>0.640625</c:v>
                </c:pt>
                <c:pt idx="12">
                  <c:v>0.640625</c:v>
                </c:pt>
                <c:pt idx="13">
                  <c:v>0.640625</c:v>
                </c:pt>
                <c:pt idx="14">
                  <c:v>0.640625</c:v>
                </c:pt>
                <c:pt idx="15">
                  <c:v>0.640625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6-4A3A-ADBB-98A84ED7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5509</c:v>
                </c:pt>
                <c:pt idx="2">
                  <c:v>11544</c:v>
                </c:pt>
                <c:pt idx="3">
                  <c:v>9464</c:v>
                </c:pt>
                <c:pt idx="4">
                  <c:v>11902</c:v>
                </c:pt>
                <c:pt idx="5">
                  <c:v>5515</c:v>
                </c:pt>
                <c:pt idx="6">
                  <c:v>6628</c:v>
                </c:pt>
                <c:pt idx="7">
                  <c:v>9774</c:v>
                </c:pt>
                <c:pt idx="9">
                  <c:v>7588</c:v>
                </c:pt>
                <c:pt idx="11">
                  <c:v>3071</c:v>
                </c:pt>
                <c:pt idx="12">
                  <c:v>3345</c:v>
                </c:pt>
                <c:pt idx="14">
                  <c:v>11566</c:v>
                </c:pt>
                <c:pt idx="15">
                  <c:v>23540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2-4567-87F6-6D0145817E6B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5509</c:v>
                </c:pt>
                <c:pt idx="1">
                  <c:v>5300</c:v>
                </c:pt>
                <c:pt idx="2">
                  <c:v>11544</c:v>
                </c:pt>
                <c:pt idx="3">
                  <c:v>9464</c:v>
                </c:pt>
                <c:pt idx="4">
                  <c:v>11902</c:v>
                </c:pt>
                <c:pt idx="5">
                  <c:v>5515</c:v>
                </c:pt>
                <c:pt idx="6">
                  <c:v>6628</c:v>
                </c:pt>
                <c:pt idx="7">
                  <c:v>9774</c:v>
                </c:pt>
                <c:pt idx="8">
                  <c:v>329</c:v>
                </c:pt>
                <c:pt idx="9">
                  <c:v>7588</c:v>
                </c:pt>
                <c:pt idx="10">
                  <c:v>495</c:v>
                </c:pt>
                <c:pt idx="11">
                  <c:v>3071</c:v>
                </c:pt>
                <c:pt idx="12">
                  <c:v>3345</c:v>
                </c:pt>
                <c:pt idx="13">
                  <c:v>1611</c:v>
                </c:pt>
                <c:pt idx="14">
                  <c:v>11566</c:v>
                </c:pt>
                <c:pt idx="15">
                  <c:v>23540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2-4567-87F6-6D0145817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67%</c:v>
                </c:pt>
                <c:pt idx="7">
                  <c:v>88%</c:v>
                </c:pt>
                <c:pt idx="8">
                  <c:v>0%</c:v>
                </c:pt>
                <c:pt idx="9">
                  <c:v>75%</c:v>
                </c:pt>
                <c:pt idx="10">
                  <c:v>0%</c:v>
                </c:pt>
                <c:pt idx="11">
                  <c:v>67%</c:v>
                </c:pt>
                <c:pt idx="12">
                  <c:v>79%</c:v>
                </c:pt>
                <c:pt idx="13">
                  <c:v>0%</c:v>
                </c:pt>
                <c:pt idx="14">
                  <c:v>96%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0.66666666666666663</c:v>
                </c:pt>
                <c:pt idx="7">
                  <c:v>0.875</c:v>
                </c:pt>
                <c:pt idx="8">
                  <c:v>0</c:v>
                </c:pt>
                <c:pt idx="9">
                  <c:v>0.75</c:v>
                </c:pt>
                <c:pt idx="10">
                  <c:v>0</c:v>
                </c:pt>
                <c:pt idx="11">
                  <c:v>0.66666666666666663</c:v>
                </c:pt>
                <c:pt idx="12">
                  <c:v>0.79166666666666663</c:v>
                </c:pt>
                <c:pt idx="13">
                  <c:v>0</c:v>
                </c:pt>
                <c:pt idx="14">
                  <c:v>0.95833333333333337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3-4774-8046-A16540BAD07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33-4774-8046-A16540BAD07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0.640625</c:v>
                </c:pt>
                <c:pt idx="1">
                  <c:v>0.640625</c:v>
                </c:pt>
                <c:pt idx="2">
                  <c:v>0.640625</c:v>
                </c:pt>
                <c:pt idx="3">
                  <c:v>0.640625</c:v>
                </c:pt>
                <c:pt idx="4">
                  <c:v>0.640625</c:v>
                </c:pt>
                <c:pt idx="5">
                  <c:v>0.640625</c:v>
                </c:pt>
                <c:pt idx="6">
                  <c:v>0.640625</c:v>
                </c:pt>
                <c:pt idx="7">
                  <c:v>0.640625</c:v>
                </c:pt>
                <c:pt idx="8">
                  <c:v>0.640625</c:v>
                </c:pt>
                <c:pt idx="9">
                  <c:v>0.640625</c:v>
                </c:pt>
                <c:pt idx="10">
                  <c:v>0.640625</c:v>
                </c:pt>
                <c:pt idx="11">
                  <c:v>0.640625</c:v>
                </c:pt>
                <c:pt idx="12">
                  <c:v>0.640625</c:v>
                </c:pt>
                <c:pt idx="13">
                  <c:v>0.640625</c:v>
                </c:pt>
                <c:pt idx="14">
                  <c:v>0.640625</c:v>
                </c:pt>
                <c:pt idx="15">
                  <c:v>0.640625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3-4774-8046-A16540BAD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B1A-4947-9887-8EE3EF1B3E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A-4947-9887-8EE3EF1B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B1A-4947-9887-8EE3EF1B3E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A-4947-9887-8EE3EF1B3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'09'!$L$6:$L$23</c:f>
              <c:numCache>
                <c:formatCode>_(* #,##0_);_(* \(#,##0\);_(* "-"_);_(@_)</c:formatCode>
                <c:ptCount val="18"/>
                <c:pt idx="0">
                  <c:v>5272</c:v>
                </c:pt>
                <c:pt idx="2">
                  <c:v>12480</c:v>
                </c:pt>
                <c:pt idx="3">
                  <c:v>9990</c:v>
                </c:pt>
                <c:pt idx="4">
                  <c:v>13058</c:v>
                </c:pt>
                <c:pt idx="5">
                  <c:v>1195</c:v>
                </c:pt>
                <c:pt idx="6">
                  <c:v>1773</c:v>
                </c:pt>
                <c:pt idx="7">
                  <c:v>6254</c:v>
                </c:pt>
                <c:pt idx="8">
                  <c:v>6592</c:v>
                </c:pt>
                <c:pt idx="10">
                  <c:v>11556</c:v>
                </c:pt>
                <c:pt idx="12">
                  <c:v>3532</c:v>
                </c:pt>
                <c:pt idx="13">
                  <c:v>2635</c:v>
                </c:pt>
                <c:pt idx="14">
                  <c:v>157</c:v>
                </c:pt>
                <c:pt idx="15">
                  <c:v>3192</c:v>
                </c:pt>
                <c:pt idx="16">
                  <c:v>8822</c:v>
                </c:pt>
                <c:pt idx="17">
                  <c:v>28060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7-4E7D-A52C-A884C9AE3E38}"/>
            </c:ext>
          </c:extLst>
        </c:ser>
        <c:ser>
          <c:idx val="1"/>
          <c:order val="1"/>
          <c:tx>
            <c:v>계획</c:v>
          </c:tx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'09'!$J$6:$J$23</c:f>
              <c:numCache>
                <c:formatCode>_(* #,##0_);_(* \(#,##0\);_(* "-"_);_(@_)</c:formatCode>
                <c:ptCount val="18"/>
                <c:pt idx="0">
                  <c:v>5272</c:v>
                </c:pt>
                <c:pt idx="1">
                  <c:v>5300</c:v>
                </c:pt>
                <c:pt idx="2">
                  <c:v>12480</c:v>
                </c:pt>
                <c:pt idx="3">
                  <c:v>9990</c:v>
                </c:pt>
                <c:pt idx="4">
                  <c:v>13058</c:v>
                </c:pt>
                <c:pt idx="5">
                  <c:v>1195</c:v>
                </c:pt>
                <c:pt idx="6">
                  <c:v>1773</c:v>
                </c:pt>
                <c:pt idx="7">
                  <c:v>6254</c:v>
                </c:pt>
                <c:pt idx="8">
                  <c:v>6592</c:v>
                </c:pt>
                <c:pt idx="9">
                  <c:v>329</c:v>
                </c:pt>
                <c:pt idx="10">
                  <c:v>11556</c:v>
                </c:pt>
                <c:pt idx="11">
                  <c:v>495</c:v>
                </c:pt>
                <c:pt idx="12">
                  <c:v>3532</c:v>
                </c:pt>
                <c:pt idx="13">
                  <c:v>2635</c:v>
                </c:pt>
                <c:pt idx="14">
                  <c:v>157</c:v>
                </c:pt>
                <c:pt idx="15">
                  <c:v>3192</c:v>
                </c:pt>
                <c:pt idx="16">
                  <c:v>8822</c:v>
                </c:pt>
                <c:pt idx="17">
                  <c:v>28060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7-4E7D-A52C-A884C9AE3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25%</c:v>
                </c:pt>
                <c:pt idx="6">
                  <c:v>38%</c:v>
                </c:pt>
                <c:pt idx="7">
                  <c:v>67%</c:v>
                </c:pt>
                <c:pt idx="8">
                  <c:v>67%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83%</c:v>
                </c:pt>
                <c:pt idx="13">
                  <c:v>79%</c:v>
                </c:pt>
                <c:pt idx="14">
                  <c:v>13%</c:v>
                </c:pt>
                <c:pt idx="15">
                  <c:v>79%</c:v>
                </c:pt>
                <c:pt idx="16">
                  <c:v>88%</c:v>
                </c:pt>
                <c:pt idx="17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0.25</c:v>
                </c:pt>
                <c:pt idx="6">
                  <c:v>0.375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0.125</c:v>
                </c:pt>
                <c:pt idx="15">
                  <c:v>0.79166666666666663</c:v>
                </c:pt>
                <c:pt idx="16">
                  <c:v>0.875</c:v>
                </c:pt>
                <c:pt idx="17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5-439F-9D2C-E3064AB536F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E5-439F-9D2C-E3064AB536F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'09'!$AE$6:$AE$23</c:f>
              <c:numCache>
                <c:formatCode>0%</c:formatCode>
                <c:ptCount val="18"/>
                <c:pt idx="0">
                  <c:v>0.6064814814814814</c:v>
                </c:pt>
                <c:pt idx="1">
                  <c:v>0.6064814814814814</c:v>
                </c:pt>
                <c:pt idx="2">
                  <c:v>0.6064814814814814</c:v>
                </c:pt>
                <c:pt idx="3">
                  <c:v>0.6064814814814814</c:v>
                </c:pt>
                <c:pt idx="4">
                  <c:v>0.6064814814814814</c:v>
                </c:pt>
                <c:pt idx="5">
                  <c:v>0.6064814814814814</c:v>
                </c:pt>
                <c:pt idx="6">
                  <c:v>0.6064814814814814</c:v>
                </c:pt>
                <c:pt idx="7">
                  <c:v>0.6064814814814814</c:v>
                </c:pt>
                <c:pt idx="8">
                  <c:v>0.6064814814814814</c:v>
                </c:pt>
                <c:pt idx="9">
                  <c:v>0.6064814814814814</c:v>
                </c:pt>
                <c:pt idx="10">
                  <c:v>0.6064814814814814</c:v>
                </c:pt>
                <c:pt idx="11">
                  <c:v>0.6064814814814814</c:v>
                </c:pt>
                <c:pt idx="12">
                  <c:v>0.6064814814814814</c:v>
                </c:pt>
                <c:pt idx="13">
                  <c:v>0.6064814814814814</c:v>
                </c:pt>
                <c:pt idx="14">
                  <c:v>0.6064814814814814</c:v>
                </c:pt>
                <c:pt idx="15">
                  <c:v>0.6064814814814814</c:v>
                </c:pt>
                <c:pt idx="16">
                  <c:v>0.6064814814814814</c:v>
                </c:pt>
                <c:pt idx="17">
                  <c:v>0.6064814814814814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5-439F-9D2C-E3064AB53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'09'!$L$6:$L$23</c:f>
              <c:numCache>
                <c:formatCode>_(* #,##0_);_(* \(#,##0\);_(* "-"_);_(@_)</c:formatCode>
                <c:ptCount val="18"/>
                <c:pt idx="0">
                  <c:v>5272</c:v>
                </c:pt>
                <c:pt idx="2">
                  <c:v>12480</c:v>
                </c:pt>
                <c:pt idx="3">
                  <c:v>9990</c:v>
                </c:pt>
                <c:pt idx="4">
                  <c:v>13058</c:v>
                </c:pt>
                <c:pt idx="5">
                  <c:v>1195</c:v>
                </c:pt>
                <c:pt idx="6">
                  <c:v>1773</c:v>
                </c:pt>
                <c:pt idx="7">
                  <c:v>6254</c:v>
                </c:pt>
                <c:pt idx="8">
                  <c:v>6592</c:v>
                </c:pt>
                <c:pt idx="10">
                  <c:v>11556</c:v>
                </c:pt>
                <c:pt idx="12">
                  <c:v>3532</c:v>
                </c:pt>
                <c:pt idx="13">
                  <c:v>2635</c:v>
                </c:pt>
                <c:pt idx="14">
                  <c:v>157</c:v>
                </c:pt>
                <c:pt idx="15">
                  <c:v>3192</c:v>
                </c:pt>
                <c:pt idx="16">
                  <c:v>8822</c:v>
                </c:pt>
                <c:pt idx="17">
                  <c:v>28060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D-4A07-AF3B-A7460AFDDE96}"/>
            </c:ext>
          </c:extLst>
        </c:ser>
        <c:ser>
          <c:idx val="1"/>
          <c:order val="1"/>
          <c:tx>
            <c:v>계획</c:v>
          </c:tx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'09'!$J$6:$J$23</c:f>
              <c:numCache>
                <c:formatCode>_(* #,##0_);_(* \(#,##0\);_(* "-"_);_(@_)</c:formatCode>
                <c:ptCount val="18"/>
                <c:pt idx="0">
                  <c:v>5272</c:v>
                </c:pt>
                <c:pt idx="1">
                  <c:v>5300</c:v>
                </c:pt>
                <c:pt idx="2">
                  <c:v>12480</c:v>
                </c:pt>
                <c:pt idx="3">
                  <c:v>9990</c:v>
                </c:pt>
                <c:pt idx="4">
                  <c:v>13058</c:v>
                </c:pt>
                <c:pt idx="5">
                  <c:v>1195</c:v>
                </c:pt>
                <c:pt idx="6">
                  <c:v>1773</c:v>
                </c:pt>
                <c:pt idx="7">
                  <c:v>6254</c:v>
                </c:pt>
                <c:pt idx="8">
                  <c:v>6592</c:v>
                </c:pt>
                <c:pt idx="9">
                  <c:v>329</c:v>
                </c:pt>
                <c:pt idx="10">
                  <c:v>11556</c:v>
                </c:pt>
                <c:pt idx="11">
                  <c:v>495</c:v>
                </c:pt>
                <c:pt idx="12">
                  <c:v>3532</c:v>
                </c:pt>
                <c:pt idx="13">
                  <c:v>2635</c:v>
                </c:pt>
                <c:pt idx="14">
                  <c:v>157</c:v>
                </c:pt>
                <c:pt idx="15">
                  <c:v>3192</c:v>
                </c:pt>
                <c:pt idx="16">
                  <c:v>8822</c:v>
                </c:pt>
                <c:pt idx="17">
                  <c:v>28060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D-4A07-AF3B-A7460AFDD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'09'!$AD$6:$AD$23</c:f>
              <c:strCache>
                <c:ptCount val="18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25%</c:v>
                </c:pt>
                <c:pt idx="6">
                  <c:v>38%</c:v>
                </c:pt>
                <c:pt idx="7">
                  <c:v>67%</c:v>
                </c:pt>
                <c:pt idx="8">
                  <c:v>67%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83%</c:v>
                </c:pt>
                <c:pt idx="13">
                  <c:v>79%</c:v>
                </c:pt>
                <c:pt idx="14">
                  <c:v>13%</c:v>
                </c:pt>
                <c:pt idx="15">
                  <c:v>79%</c:v>
                </c:pt>
                <c:pt idx="16">
                  <c:v>88%</c:v>
                </c:pt>
                <c:pt idx="17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'09'!$AD$6:$AD$23</c:f>
              <c:numCache>
                <c:formatCode>0%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0.25</c:v>
                </c:pt>
                <c:pt idx="6">
                  <c:v>0.375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0.79166666666666663</c:v>
                </c:pt>
                <c:pt idx="14">
                  <c:v>0.125</c:v>
                </c:pt>
                <c:pt idx="15">
                  <c:v>0.79166666666666663</c:v>
                </c:pt>
                <c:pt idx="16">
                  <c:v>0.875</c:v>
                </c:pt>
                <c:pt idx="17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2-44F3-B963-28A00C5424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E2-44F3-B963-28A00C5424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3">
                  <c:v>BASE</c:v>
                </c:pt>
                <c:pt idx="14">
                  <c:v>BASE</c:v>
                </c:pt>
                <c:pt idx="15">
                  <c:v>38P</c:v>
                </c:pt>
                <c:pt idx="16">
                  <c:v>BASE</c:v>
                </c:pt>
              </c:strCache>
            </c:strRef>
          </c:cat>
          <c:val>
            <c:numRef>
              <c:f>'09'!$AE$6:$AE$23</c:f>
              <c:numCache>
                <c:formatCode>0%</c:formatCode>
                <c:ptCount val="18"/>
                <c:pt idx="0">
                  <c:v>0.6064814814814814</c:v>
                </c:pt>
                <c:pt idx="1">
                  <c:v>0.6064814814814814</c:v>
                </c:pt>
                <c:pt idx="2">
                  <c:v>0.6064814814814814</c:v>
                </c:pt>
                <c:pt idx="3">
                  <c:v>0.6064814814814814</c:v>
                </c:pt>
                <c:pt idx="4">
                  <c:v>0.6064814814814814</c:v>
                </c:pt>
                <c:pt idx="5">
                  <c:v>0.6064814814814814</c:v>
                </c:pt>
                <c:pt idx="6">
                  <c:v>0.6064814814814814</c:v>
                </c:pt>
                <c:pt idx="7">
                  <c:v>0.6064814814814814</c:v>
                </c:pt>
                <c:pt idx="8">
                  <c:v>0.6064814814814814</c:v>
                </c:pt>
                <c:pt idx="9">
                  <c:v>0.6064814814814814</c:v>
                </c:pt>
                <c:pt idx="10">
                  <c:v>0.6064814814814814</c:v>
                </c:pt>
                <c:pt idx="11">
                  <c:v>0.6064814814814814</c:v>
                </c:pt>
                <c:pt idx="12">
                  <c:v>0.6064814814814814</c:v>
                </c:pt>
                <c:pt idx="13">
                  <c:v>0.6064814814814814</c:v>
                </c:pt>
                <c:pt idx="14">
                  <c:v>0.6064814814814814</c:v>
                </c:pt>
                <c:pt idx="15">
                  <c:v>0.6064814814814814</c:v>
                </c:pt>
                <c:pt idx="16">
                  <c:v>0.6064814814814814</c:v>
                </c:pt>
                <c:pt idx="17">
                  <c:v>0.6064814814814814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E2-44F3-B963-28A00C542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490-41CF-9517-9C6BE8BDD5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0-41CF-9517-9C6BE8BDD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490-41CF-9517-9C6BE8BDD51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0-41CF-9517-9C6BE8BDD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1">
                  <c:v>2363</c:v>
                </c:pt>
                <c:pt idx="2">
                  <c:v>12502</c:v>
                </c:pt>
                <c:pt idx="3">
                  <c:v>9200</c:v>
                </c:pt>
                <c:pt idx="4">
                  <c:v>13134</c:v>
                </c:pt>
                <c:pt idx="5">
                  <c:v>305</c:v>
                </c:pt>
                <c:pt idx="6">
                  <c:v>3106</c:v>
                </c:pt>
                <c:pt idx="7">
                  <c:v>11326</c:v>
                </c:pt>
                <c:pt idx="9">
                  <c:v>11672</c:v>
                </c:pt>
                <c:pt idx="11">
                  <c:v>2570</c:v>
                </c:pt>
                <c:pt idx="13">
                  <c:v>3052</c:v>
                </c:pt>
                <c:pt idx="14">
                  <c:v>12584</c:v>
                </c:pt>
                <c:pt idx="15">
                  <c:v>28476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C-440C-B2AC-5EFA1D095BAB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12502</c:v>
                </c:pt>
                <c:pt idx="3">
                  <c:v>9200</c:v>
                </c:pt>
                <c:pt idx="4">
                  <c:v>13134</c:v>
                </c:pt>
                <c:pt idx="5">
                  <c:v>305</c:v>
                </c:pt>
                <c:pt idx="6">
                  <c:v>3106</c:v>
                </c:pt>
                <c:pt idx="7">
                  <c:v>11326</c:v>
                </c:pt>
                <c:pt idx="8">
                  <c:v>329</c:v>
                </c:pt>
                <c:pt idx="9">
                  <c:v>11672</c:v>
                </c:pt>
                <c:pt idx="10">
                  <c:v>495</c:v>
                </c:pt>
                <c:pt idx="11">
                  <c:v>2570</c:v>
                </c:pt>
                <c:pt idx="12">
                  <c:v>2635</c:v>
                </c:pt>
                <c:pt idx="13">
                  <c:v>3052</c:v>
                </c:pt>
                <c:pt idx="14">
                  <c:v>12584</c:v>
                </c:pt>
                <c:pt idx="15">
                  <c:v>28476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C-440C-B2AC-5EFA1D095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25%</c:v>
                </c:pt>
                <c:pt idx="7">
                  <c:v>88%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83%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0.25</c:v>
                </c:pt>
                <c:pt idx="7">
                  <c:v>0.875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2-419B-B1C9-7DA0BA10B1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52-419B-B1C9-7DA0BA10B1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0.546875</c:v>
                </c:pt>
                <c:pt idx="1">
                  <c:v>0.546875</c:v>
                </c:pt>
                <c:pt idx="2">
                  <c:v>0.546875</c:v>
                </c:pt>
                <c:pt idx="3">
                  <c:v>0.546875</c:v>
                </c:pt>
                <c:pt idx="4">
                  <c:v>0.546875</c:v>
                </c:pt>
                <c:pt idx="5">
                  <c:v>0.546875</c:v>
                </c:pt>
                <c:pt idx="6">
                  <c:v>0.546875</c:v>
                </c:pt>
                <c:pt idx="7">
                  <c:v>0.546875</c:v>
                </c:pt>
                <c:pt idx="8">
                  <c:v>0.546875</c:v>
                </c:pt>
                <c:pt idx="9">
                  <c:v>0.546875</c:v>
                </c:pt>
                <c:pt idx="10">
                  <c:v>0.546875</c:v>
                </c:pt>
                <c:pt idx="11">
                  <c:v>0.546875</c:v>
                </c:pt>
                <c:pt idx="12">
                  <c:v>0.546875</c:v>
                </c:pt>
                <c:pt idx="13">
                  <c:v>0.546875</c:v>
                </c:pt>
                <c:pt idx="14">
                  <c:v>0.546875</c:v>
                </c:pt>
                <c:pt idx="15">
                  <c:v>0.546875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52-419B-B1C9-7DA0BA10B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1">
                  <c:v>2363</c:v>
                </c:pt>
                <c:pt idx="2">
                  <c:v>12502</c:v>
                </c:pt>
                <c:pt idx="3">
                  <c:v>9200</c:v>
                </c:pt>
                <c:pt idx="4">
                  <c:v>13134</c:v>
                </c:pt>
                <c:pt idx="5">
                  <c:v>305</c:v>
                </c:pt>
                <c:pt idx="6">
                  <c:v>3106</c:v>
                </c:pt>
                <c:pt idx="7">
                  <c:v>11326</c:v>
                </c:pt>
                <c:pt idx="9">
                  <c:v>11672</c:v>
                </c:pt>
                <c:pt idx="11">
                  <c:v>2570</c:v>
                </c:pt>
                <c:pt idx="13">
                  <c:v>3052</c:v>
                </c:pt>
                <c:pt idx="14">
                  <c:v>12584</c:v>
                </c:pt>
                <c:pt idx="15">
                  <c:v>28476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9-4252-B111-B892A051B867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12502</c:v>
                </c:pt>
                <c:pt idx="3">
                  <c:v>9200</c:v>
                </c:pt>
                <c:pt idx="4">
                  <c:v>13134</c:v>
                </c:pt>
                <c:pt idx="5">
                  <c:v>305</c:v>
                </c:pt>
                <c:pt idx="6">
                  <c:v>3106</c:v>
                </c:pt>
                <c:pt idx="7">
                  <c:v>11326</c:v>
                </c:pt>
                <c:pt idx="8">
                  <c:v>329</c:v>
                </c:pt>
                <c:pt idx="9">
                  <c:v>11672</c:v>
                </c:pt>
                <c:pt idx="10">
                  <c:v>495</c:v>
                </c:pt>
                <c:pt idx="11">
                  <c:v>2570</c:v>
                </c:pt>
                <c:pt idx="12">
                  <c:v>2635</c:v>
                </c:pt>
                <c:pt idx="13">
                  <c:v>3052</c:v>
                </c:pt>
                <c:pt idx="14">
                  <c:v>12584</c:v>
                </c:pt>
                <c:pt idx="15">
                  <c:v>28476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19-4252-B111-B892A051B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25%</c:v>
                </c:pt>
                <c:pt idx="7">
                  <c:v>88%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46%</c:v>
                </c:pt>
                <c:pt idx="12">
                  <c:v>0%</c:v>
                </c:pt>
                <c:pt idx="13">
                  <c:v>83%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0.25</c:v>
                </c:pt>
                <c:pt idx="7">
                  <c:v>0.875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0.45833333333333331</c:v>
                </c:pt>
                <c:pt idx="12">
                  <c:v>0</c:v>
                </c:pt>
                <c:pt idx="13">
                  <c:v>0.83333333333333337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C-4BCB-9410-8F878A94D09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4C-4BCB-9410-8F878A94D09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0.546875</c:v>
                </c:pt>
                <c:pt idx="1">
                  <c:v>0.546875</c:v>
                </c:pt>
                <c:pt idx="2">
                  <c:v>0.546875</c:v>
                </c:pt>
                <c:pt idx="3">
                  <c:v>0.546875</c:v>
                </c:pt>
                <c:pt idx="4">
                  <c:v>0.546875</c:v>
                </c:pt>
                <c:pt idx="5">
                  <c:v>0.546875</c:v>
                </c:pt>
                <c:pt idx="6">
                  <c:v>0.546875</c:v>
                </c:pt>
                <c:pt idx="7">
                  <c:v>0.546875</c:v>
                </c:pt>
                <c:pt idx="8">
                  <c:v>0.546875</c:v>
                </c:pt>
                <c:pt idx="9">
                  <c:v>0.546875</c:v>
                </c:pt>
                <c:pt idx="10">
                  <c:v>0.546875</c:v>
                </c:pt>
                <c:pt idx="11">
                  <c:v>0.546875</c:v>
                </c:pt>
                <c:pt idx="12">
                  <c:v>0.546875</c:v>
                </c:pt>
                <c:pt idx="13">
                  <c:v>0.546875</c:v>
                </c:pt>
                <c:pt idx="14">
                  <c:v>0.546875</c:v>
                </c:pt>
                <c:pt idx="15">
                  <c:v>0.546875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C-4BCB-9410-8F878A94D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B78-49FF-8224-A423FA76EB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8-49FF-8224-A423FA76E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B78-49FF-8224-A423FA76EB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78-49FF-8224-A423FA76E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12376</c:v>
                </c:pt>
                <c:pt idx="4">
                  <c:v>13002</c:v>
                </c:pt>
                <c:pt idx="6">
                  <c:v>2099</c:v>
                </c:pt>
                <c:pt idx="7">
                  <c:v>12144</c:v>
                </c:pt>
                <c:pt idx="9">
                  <c:v>6148</c:v>
                </c:pt>
                <c:pt idx="11">
                  <c:v>3547</c:v>
                </c:pt>
                <c:pt idx="12">
                  <c:v>2087</c:v>
                </c:pt>
                <c:pt idx="13">
                  <c:v>5224</c:v>
                </c:pt>
                <c:pt idx="14">
                  <c:v>12228</c:v>
                </c:pt>
                <c:pt idx="15">
                  <c:v>48112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0E-4947-BA11-27CE254DBBB8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12376</c:v>
                </c:pt>
                <c:pt idx="3">
                  <c:v>9200</c:v>
                </c:pt>
                <c:pt idx="4">
                  <c:v>13002</c:v>
                </c:pt>
                <c:pt idx="5">
                  <c:v>305</c:v>
                </c:pt>
                <c:pt idx="6">
                  <c:v>2099</c:v>
                </c:pt>
                <c:pt idx="7">
                  <c:v>12144</c:v>
                </c:pt>
                <c:pt idx="8">
                  <c:v>329</c:v>
                </c:pt>
                <c:pt idx="9">
                  <c:v>6148</c:v>
                </c:pt>
                <c:pt idx="10">
                  <c:v>495</c:v>
                </c:pt>
                <c:pt idx="11">
                  <c:v>3547</c:v>
                </c:pt>
                <c:pt idx="12">
                  <c:v>2087</c:v>
                </c:pt>
                <c:pt idx="13">
                  <c:v>5224</c:v>
                </c:pt>
                <c:pt idx="14">
                  <c:v>12228</c:v>
                </c:pt>
                <c:pt idx="15">
                  <c:v>48112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0E-4947-BA11-27CE254DB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42%</c:v>
                </c:pt>
                <c:pt idx="7">
                  <c:v>92%</c:v>
                </c:pt>
                <c:pt idx="8">
                  <c:v>0%</c:v>
                </c:pt>
                <c:pt idx="9">
                  <c:v>58%</c:v>
                </c:pt>
                <c:pt idx="10">
                  <c:v>0%</c:v>
                </c:pt>
                <c:pt idx="11">
                  <c:v>75%</c:v>
                </c:pt>
                <c:pt idx="12">
                  <c:v>63%</c:v>
                </c:pt>
                <c:pt idx="13">
                  <c:v>92%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0.41666666666666669</c:v>
                </c:pt>
                <c:pt idx="7">
                  <c:v>0.91666666666666663</c:v>
                </c:pt>
                <c:pt idx="8">
                  <c:v>0</c:v>
                </c:pt>
                <c:pt idx="9">
                  <c:v>0.58333333333333337</c:v>
                </c:pt>
                <c:pt idx="10">
                  <c:v>0</c:v>
                </c:pt>
                <c:pt idx="11">
                  <c:v>0.75</c:v>
                </c:pt>
                <c:pt idx="12">
                  <c:v>0.625</c:v>
                </c:pt>
                <c:pt idx="13">
                  <c:v>0.91666666666666663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5-4970-8E7A-FB9B52C933E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E5-4970-8E7A-FB9B52C933E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0.51302083333333326</c:v>
                </c:pt>
                <c:pt idx="1">
                  <c:v>0.51302083333333326</c:v>
                </c:pt>
                <c:pt idx="2">
                  <c:v>0.51302083333333326</c:v>
                </c:pt>
                <c:pt idx="3">
                  <c:v>0.51302083333333326</c:v>
                </c:pt>
                <c:pt idx="4">
                  <c:v>0.51302083333333326</c:v>
                </c:pt>
                <c:pt idx="5">
                  <c:v>0.51302083333333326</c:v>
                </c:pt>
                <c:pt idx="6">
                  <c:v>0.51302083333333326</c:v>
                </c:pt>
                <c:pt idx="7">
                  <c:v>0.51302083333333326</c:v>
                </c:pt>
                <c:pt idx="8">
                  <c:v>0.51302083333333326</c:v>
                </c:pt>
                <c:pt idx="9">
                  <c:v>0.51302083333333326</c:v>
                </c:pt>
                <c:pt idx="10">
                  <c:v>0.51302083333333326</c:v>
                </c:pt>
                <c:pt idx="11">
                  <c:v>0.51302083333333326</c:v>
                </c:pt>
                <c:pt idx="12">
                  <c:v>0.51302083333333326</c:v>
                </c:pt>
                <c:pt idx="13">
                  <c:v>0.51302083333333326</c:v>
                </c:pt>
                <c:pt idx="14">
                  <c:v>0.51302083333333326</c:v>
                </c:pt>
                <c:pt idx="15">
                  <c:v>0.51302083333333326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E5-4970-8E7A-FB9B52C9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2">
                  <c:v>12376</c:v>
                </c:pt>
                <c:pt idx="4">
                  <c:v>13002</c:v>
                </c:pt>
                <c:pt idx="6">
                  <c:v>2099</c:v>
                </c:pt>
                <c:pt idx="7">
                  <c:v>12144</c:v>
                </c:pt>
                <c:pt idx="9">
                  <c:v>6148</c:v>
                </c:pt>
                <c:pt idx="11">
                  <c:v>3547</c:v>
                </c:pt>
                <c:pt idx="12">
                  <c:v>2087</c:v>
                </c:pt>
                <c:pt idx="13">
                  <c:v>5224</c:v>
                </c:pt>
                <c:pt idx="14">
                  <c:v>12228</c:v>
                </c:pt>
                <c:pt idx="15">
                  <c:v>48112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C-4ED2-BA57-BF2EF8D208AD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12376</c:v>
                </c:pt>
                <c:pt idx="3">
                  <c:v>9200</c:v>
                </c:pt>
                <c:pt idx="4">
                  <c:v>13002</c:v>
                </c:pt>
                <c:pt idx="5">
                  <c:v>305</c:v>
                </c:pt>
                <c:pt idx="6">
                  <c:v>2099</c:v>
                </c:pt>
                <c:pt idx="7">
                  <c:v>12144</c:v>
                </c:pt>
                <c:pt idx="8">
                  <c:v>329</c:v>
                </c:pt>
                <c:pt idx="9">
                  <c:v>6148</c:v>
                </c:pt>
                <c:pt idx="10">
                  <c:v>495</c:v>
                </c:pt>
                <c:pt idx="11">
                  <c:v>3547</c:v>
                </c:pt>
                <c:pt idx="12">
                  <c:v>2087</c:v>
                </c:pt>
                <c:pt idx="13">
                  <c:v>5224</c:v>
                </c:pt>
                <c:pt idx="14">
                  <c:v>12228</c:v>
                </c:pt>
                <c:pt idx="15">
                  <c:v>48112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1C-4ED2-BA57-BF2EF8D20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100%</c:v>
                </c:pt>
                <c:pt idx="5">
                  <c:v>0%</c:v>
                </c:pt>
                <c:pt idx="6">
                  <c:v>42%</c:v>
                </c:pt>
                <c:pt idx="7">
                  <c:v>92%</c:v>
                </c:pt>
                <c:pt idx="8">
                  <c:v>0%</c:v>
                </c:pt>
                <c:pt idx="9">
                  <c:v>58%</c:v>
                </c:pt>
                <c:pt idx="10">
                  <c:v>0%</c:v>
                </c:pt>
                <c:pt idx="11">
                  <c:v>75%</c:v>
                </c:pt>
                <c:pt idx="12">
                  <c:v>63%</c:v>
                </c:pt>
                <c:pt idx="13">
                  <c:v>92%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0.41666666666666669</c:v>
                </c:pt>
                <c:pt idx="7">
                  <c:v>0.91666666666666663</c:v>
                </c:pt>
                <c:pt idx="8">
                  <c:v>0</c:v>
                </c:pt>
                <c:pt idx="9">
                  <c:v>0.58333333333333337</c:v>
                </c:pt>
                <c:pt idx="10">
                  <c:v>0</c:v>
                </c:pt>
                <c:pt idx="11">
                  <c:v>0.75</c:v>
                </c:pt>
                <c:pt idx="12">
                  <c:v>0.625</c:v>
                </c:pt>
                <c:pt idx="13">
                  <c:v>0.91666666666666663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5-42FB-864C-9D6174136D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75-42FB-864C-9D6174136D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STOPPER</c:v>
                </c:pt>
                <c:pt idx="6">
                  <c:v>PLUNGER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BODY/LID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0.51302083333333326</c:v>
                </c:pt>
                <c:pt idx="1">
                  <c:v>0.51302083333333326</c:v>
                </c:pt>
                <c:pt idx="2">
                  <c:v>0.51302083333333326</c:v>
                </c:pt>
                <c:pt idx="3">
                  <c:v>0.51302083333333326</c:v>
                </c:pt>
                <c:pt idx="4">
                  <c:v>0.51302083333333326</c:v>
                </c:pt>
                <c:pt idx="5">
                  <c:v>0.51302083333333326</c:v>
                </c:pt>
                <c:pt idx="6">
                  <c:v>0.51302083333333326</c:v>
                </c:pt>
                <c:pt idx="7">
                  <c:v>0.51302083333333326</c:v>
                </c:pt>
                <c:pt idx="8">
                  <c:v>0.51302083333333326</c:v>
                </c:pt>
                <c:pt idx="9">
                  <c:v>0.51302083333333326</c:v>
                </c:pt>
                <c:pt idx="10">
                  <c:v>0.51302083333333326</c:v>
                </c:pt>
                <c:pt idx="11">
                  <c:v>0.51302083333333326</c:v>
                </c:pt>
                <c:pt idx="12">
                  <c:v>0.51302083333333326</c:v>
                </c:pt>
                <c:pt idx="13">
                  <c:v>0.51302083333333326</c:v>
                </c:pt>
                <c:pt idx="14">
                  <c:v>0.51302083333333326</c:v>
                </c:pt>
                <c:pt idx="15">
                  <c:v>0.51302083333333326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75-42FB-864C-9D6174136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BEE-4B56-B96E-E3E92C2863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EE-4B56-B96E-E3E92C286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BEE-4B56-B96E-E3E92C28639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EE-4B56-B96E-E3E92C286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12380</c:v>
                </c:pt>
                <c:pt idx="3">
                  <c:v>6160</c:v>
                </c:pt>
                <c:pt idx="4">
                  <c:v>13260</c:v>
                </c:pt>
                <c:pt idx="5">
                  <c:v>2248</c:v>
                </c:pt>
                <c:pt idx="6">
                  <c:v>4794</c:v>
                </c:pt>
                <c:pt idx="7">
                  <c:v>11050</c:v>
                </c:pt>
                <c:pt idx="9">
                  <c:v>11316</c:v>
                </c:pt>
                <c:pt idx="11">
                  <c:v>2854</c:v>
                </c:pt>
                <c:pt idx="12">
                  <c:v>4560</c:v>
                </c:pt>
                <c:pt idx="13">
                  <c:v>6784</c:v>
                </c:pt>
                <c:pt idx="14">
                  <c:v>12656</c:v>
                </c:pt>
                <c:pt idx="15">
                  <c:v>29544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4-473B-B5F2-48043A7218E4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12380</c:v>
                </c:pt>
                <c:pt idx="3">
                  <c:v>6160</c:v>
                </c:pt>
                <c:pt idx="4">
                  <c:v>13260</c:v>
                </c:pt>
                <c:pt idx="5">
                  <c:v>2248</c:v>
                </c:pt>
                <c:pt idx="6">
                  <c:v>4794</c:v>
                </c:pt>
                <c:pt idx="7">
                  <c:v>11050</c:v>
                </c:pt>
                <c:pt idx="8">
                  <c:v>329</c:v>
                </c:pt>
                <c:pt idx="9">
                  <c:v>11316</c:v>
                </c:pt>
                <c:pt idx="10">
                  <c:v>495</c:v>
                </c:pt>
                <c:pt idx="11">
                  <c:v>2854</c:v>
                </c:pt>
                <c:pt idx="12">
                  <c:v>4560</c:v>
                </c:pt>
                <c:pt idx="13">
                  <c:v>6784</c:v>
                </c:pt>
                <c:pt idx="14">
                  <c:v>12656</c:v>
                </c:pt>
                <c:pt idx="15">
                  <c:v>29544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4-473B-B5F2-48043A721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71%</c:v>
                </c:pt>
                <c:pt idx="4">
                  <c:v>100%</c:v>
                </c:pt>
                <c:pt idx="5">
                  <c:v>25%</c:v>
                </c:pt>
                <c:pt idx="6">
                  <c:v>96%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67%</c:v>
                </c:pt>
                <c:pt idx="12">
                  <c:v>96%</c:v>
                </c:pt>
                <c:pt idx="13">
                  <c:v>100%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0.70833333333333337</c:v>
                </c:pt>
                <c:pt idx="4">
                  <c:v>1</c:v>
                </c:pt>
                <c:pt idx="5">
                  <c:v>0.25</c:v>
                </c:pt>
                <c:pt idx="6">
                  <c:v>0.95833333333333337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0.95833333333333337</c:v>
                </c:pt>
                <c:pt idx="13">
                  <c:v>1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4-43DC-871B-F60D900E66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04-43DC-871B-F60D900E66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0.62760416666666674</c:v>
                </c:pt>
                <c:pt idx="1">
                  <c:v>0.62760416666666674</c:v>
                </c:pt>
                <c:pt idx="2">
                  <c:v>0.62760416666666674</c:v>
                </c:pt>
                <c:pt idx="3">
                  <c:v>0.62760416666666674</c:v>
                </c:pt>
                <c:pt idx="4">
                  <c:v>0.62760416666666674</c:v>
                </c:pt>
                <c:pt idx="5">
                  <c:v>0.62760416666666674</c:v>
                </c:pt>
                <c:pt idx="6">
                  <c:v>0.62760416666666674</c:v>
                </c:pt>
                <c:pt idx="7">
                  <c:v>0.62760416666666674</c:v>
                </c:pt>
                <c:pt idx="8">
                  <c:v>0.62760416666666674</c:v>
                </c:pt>
                <c:pt idx="9">
                  <c:v>0.62760416666666674</c:v>
                </c:pt>
                <c:pt idx="10">
                  <c:v>0.62760416666666674</c:v>
                </c:pt>
                <c:pt idx="11">
                  <c:v>0.62760416666666674</c:v>
                </c:pt>
                <c:pt idx="12">
                  <c:v>0.62760416666666674</c:v>
                </c:pt>
                <c:pt idx="13">
                  <c:v>0.62760416666666674</c:v>
                </c:pt>
                <c:pt idx="14">
                  <c:v>0.62760416666666674</c:v>
                </c:pt>
                <c:pt idx="15">
                  <c:v>0.62760416666666674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04-43DC-871B-F60D900E6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12380</c:v>
                </c:pt>
                <c:pt idx="3">
                  <c:v>6160</c:v>
                </c:pt>
                <c:pt idx="4">
                  <c:v>13260</c:v>
                </c:pt>
                <c:pt idx="5">
                  <c:v>2248</c:v>
                </c:pt>
                <c:pt idx="6">
                  <c:v>4794</c:v>
                </c:pt>
                <c:pt idx="7">
                  <c:v>11050</c:v>
                </c:pt>
                <c:pt idx="9">
                  <c:v>11316</c:v>
                </c:pt>
                <c:pt idx="11">
                  <c:v>2854</c:v>
                </c:pt>
                <c:pt idx="12">
                  <c:v>4560</c:v>
                </c:pt>
                <c:pt idx="13">
                  <c:v>6784</c:v>
                </c:pt>
                <c:pt idx="14">
                  <c:v>12656</c:v>
                </c:pt>
                <c:pt idx="15">
                  <c:v>29544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8-4E29-8648-3E49EAB1A2F5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12380</c:v>
                </c:pt>
                <c:pt idx="3">
                  <c:v>6160</c:v>
                </c:pt>
                <c:pt idx="4">
                  <c:v>13260</c:v>
                </c:pt>
                <c:pt idx="5">
                  <c:v>2248</c:v>
                </c:pt>
                <c:pt idx="6">
                  <c:v>4794</c:v>
                </c:pt>
                <c:pt idx="7">
                  <c:v>11050</c:v>
                </c:pt>
                <c:pt idx="8">
                  <c:v>329</c:v>
                </c:pt>
                <c:pt idx="9">
                  <c:v>11316</c:v>
                </c:pt>
                <c:pt idx="10">
                  <c:v>495</c:v>
                </c:pt>
                <c:pt idx="11">
                  <c:v>2854</c:v>
                </c:pt>
                <c:pt idx="12">
                  <c:v>4560</c:v>
                </c:pt>
                <c:pt idx="13">
                  <c:v>6784</c:v>
                </c:pt>
                <c:pt idx="14">
                  <c:v>12656</c:v>
                </c:pt>
                <c:pt idx="15">
                  <c:v>29544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8-4E29-8648-3E49EAB1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71%</c:v>
                </c:pt>
                <c:pt idx="4">
                  <c:v>100%</c:v>
                </c:pt>
                <c:pt idx="5">
                  <c:v>25%</c:v>
                </c:pt>
                <c:pt idx="6">
                  <c:v>96%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67%</c:v>
                </c:pt>
                <c:pt idx="12">
                  <c:v>96%</c:v>
                </c:pt>
                <c:pt idx="13">
                  <c:v>100%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0.70833333333333337</c:v>
                </c:pt>
                <c:pt idx="4">
                  <c:v>1</c:v>
                </c:pt>
                <c:pt idx="5">
                  <c:v>0.25</c:v>
                </c:pt>
                <c:pt idx="6">
                  <c:v>0.95833333333333337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0.95833333333333337</c:v>
                </c:pt>
                <c:pt idx="13">
                  <c:v>1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F-453D-9734-E5706095482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2F-453D-9734-E570609548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BODY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0.62760416666666674</c:v>
                </c:pt>
                <c:pt idx="1">
                  <c:v>0.62760416666666674</c:v>
                </c:pt>
                <c:pt idx="2">
                  <c:v>0.62760416666666674</c:v>
                </c:pt>
                <c:pt idx="3">
                  <c:v>0.62760416666666674</c:v>
                </c:pt>
                <c:pt idx="4">
                  <c:v>0.62760416666666674</c:v>
                </c:pt>
                <c:pt idx="5">
                  <c:v>0.62760416666666674</c:v>
                </c:pt>
                <c:pt idx="6">
                  <c:v>0.62760416666666674</c:v>
                </c:pt>
                <c:pt idx="7">
                  <c:v>0.62760416666666674</c:v>
                </c:pt>
                <c:pt idx="8">
                  <c:v>0.62760416666666674</c:v>
                </c:pt>
                <c:pt idx="9">
                  <c:v>0.62760416666666674</c:v>
                </c:pt>
                <c:pt idx="10">
                  <c:v>0.62760416666666674</c:v>
                </c:pt>
                <c:pt idx="11">
                  <c:v>0.62760416666666674</c:v>
                </c:pt>
                <c:pt idx="12">
                  <c:v>0.62760416666666674</c:v>
                </c:pt>
                <c:pt idx="13">
                  <c:v>0.62760416666666674</c:v>
                </c:pt>
                <c:pt idx="14">
                  <c:v>0.62760416666666674</c:v>
                </c:pt>
                <c:pt idx="15">
                  <c:v>0.62760416666666674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2F-453D-9734-E57060954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141-4F10-9A63-9210BD8DA5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1-4F10-9A63-9210BD8DA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141-4F10-9A63-9210BD8DA5A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41-4F10-9A63-9210BD8DA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3">
                  <c:v>9380</c:v>
                </c:pt>
                <c:pt idx="4">
                  <c:v>12430</c:v>
                </c:pt>
                <c:pt idx="6">
                  <c:v>1619</c:v>
                </c:pt>
                <c:pt idx="7">
                  <c:v>10802</c:v>
                </c:pt>
                <c:pt idx="9">
                  <c:v>11020</c:v>
                </c:pt>
                <c:pt idx="12">
                  <c:v>1655</c:v>
                </c:pt>
                <c:pt idx="13">
                  <c:v>6378</c:v>
                </c:pt>
                <c:pt idx="14">
                  <c:v>7910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F-4513-90B8-31D9707236B8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12380</c:v>
                </c:pt>
                <c:pt idx="3">
                  <c:v>9380</c:v>
                </c:pt>
                <c:pt idx="4">
                  <c:v>12430</c:v>
                </c:pt>
                <c:pt idx="5">
                  <c:v>2248</c:v>
                </c:pt>
                <c:pt idx="6">
                  <c:v>1619</c:v>
                </c:pt>
                <c:pt idx="7">
                  <c:v>10802</c:v>
                </c:pt>
                <c:pt idx="8">
                  <c:v>329</c:v>
                </c:pt>
                <c:pt idx="9">
                  <c:v>11020</c:v>
                </c:pt>
                <c:pt idx="10">
                  <c:v>495</c:v>
                </c:pt>
                <c:pt idx="11">
                  <c:v>2854</c:v>
                </c:pt>
                <c:pt idx="12">
                  <c:v>1655</c:v>
                </c:pt>
                <c:pt idx="13">
                  <c:v>6378</c:v>
                </c:pt>
                <c:pt idx="14">
                  <c:v>7910</c:v>
                </c:pt>
                <c:pt idx="15">
                  <c:v>29544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F-4513-90B8-31D970723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38%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100%</c:v>
                </c:pt>
                <c:pt idx="14">
                  <c:v>71%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0.375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1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3-4DCE-B453-E7EB7146E6E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73-4DCE-B453-E7EB7146E6E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0.39843749999999994</c:v>
                </c:pt>
                <c:pt idx="1">
                  <c:v>0.39843749999999994</c:v>
                </c:pt>
                <c:pt idx="2">
                  <c:v>0.39843749999999994</c:v>
                </c:pt>
                <c:pt idx="3">
                  <c:v>0.39843749999999994</c:v>
                </c:pt>
                <c:pt idx="4">
                  <c:v>0.39843749999999994</c:v>
                </c:pt>
                <c:pt idx="5">
                  <c:v>0.39843749999999994</c:v>
                </c:pt>
                <c:pt idx="6">
                  <c:v>0.39843749999999994</c:v>
                </c:pt>
                <c:pt idx="7">
                  <c:v>0.39843749999999994</c:v>
                </c:pt>
                <c:pt idx="8">
                  <c:v>0.39843749999999994</c:v>
                </c:pt>
                <c:pt idx="9">
                  <c:v>0.39843749999999994</c:v>
                </c:pt>
                <c:pt idx="10">
                  <c:v>0.39843749999999994</c:v>
                </c:pt>
                <c:pt idx="11">
                  <c:v>0.39843749999999994</c:v>
                </c:pt>
                <c:pt idx="12">
                  <c:v>0.39843749999999994</c:v>
                </c:pt>
                <c:pt idx="13">
                  <c:v>0.39843749999999994</c:v>
                </c:pt>
                <c:pt idx="14">
                  <c:v>0.39843749999999994</c:v>
                </c:pt>
                <c:pt idx="15">
                  <c:v>0.39843749999999994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3-4DCE-B453-E7EB7146E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3">
                  <c:v>9380</c:v>
                </c:pt>
                <c:pt idx="4">
                  <c:v>12430</c:v>
                </c:pt>
                <c:pt idx="6">
                  <c:v>1619</c:v>
                </c:pt>
                <c:pt idx="7">
                  <c:v>10802</c:v>
                </c:pt>
                <c:pt idx="9">
                  <c:v>11020</c:v>
                </c:pt>
                <c:pt idx="12">
                  <c:v>1655</c:v>
                </c:pt>
                <c:pt idx="13">
                  <c:v>6378</c:v>
                </c:pt>
                <c:pt idx="14">
                  <c:v>7910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D-47C3-B55F-F58F62784FDF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5272</c:v>
                </c:pt>
                <c:pt idx="1">
                  <c:v>2363</c:v>
                </c:pt>
                <c:pt idx="2">
                  <c:v>12380</c:v>
                </c:pt>
                <c:pt idx="3">
                  <c:v>9380</c:v>
                </c:pt>
                <c:pt idx="4">
                  <c:v>12430</c:v>
                </c:pt>
                <c:pt idx="5">
                  <c:v>2248</c:v>
                </c:pt>
                <c:pt idx="6">
                  <c:v>1619</c:v>
                </c:pt>
                <c:pt idx="7">
                  <c:v>10802</c:v>
                </c:pt>
                <c:pt idx="8">
                  <c:v>329</c:v>
                </c:pt>
                <c:pt idx="9">
                  <c:v>11020</c:v>
                </c:pt>
                <c:pt idx="10">
                  <c:v>495</c:v>
                </c:pt>
                <c:pt idx="11">
                  <c:v>2854</c:v>
                </c:pt>
                <c:pt idx="12">
                  <c:v>1655</c:v>
                </c:pt>
                <c:pt idx="13">
                  <c:v>6378</c:v>
                </c:pt>
                <c:pt idx="14">
                  <c:v>7910</c:v>
                </c:pt>
                <c:pt idx="15">
                  <c:v>29544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D-47C3-B55F-F58F62784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38%</c:v>
                </c:pt>
                <c:pt idx="7">
                  <c:v>92%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100%</c:v>
                </c:pt>
                <c:pt idx="14">
                  <c:v>71%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0.375</c:v>
                </c:pt>
                <c:pt idx="7">
                  <c:v>0.91666666666666663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1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D5-447D-916C-FECD4DBDAA4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D5-447D-916C-FECD4DBDAA4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0.39843749999999994</c:v>
                </c:pt>
                <c:pt idx="1">
                  <c:v>0.39843749999999994</c:v>
                </c:pt>
                <c:pt idx="2">
                  <c:v>0.39843749999999994</c:v>
                </c:pt>
                <c:pt idx="3">
                  <c:v>0.39843749999999994</c:v>
                </c:pt>
                <c:pt idx="4">
                  <c:v>0.39843749999999994</c:v>
                </c:pt>
                <c:pt idx="5">
                  <c:v>0.39843749999999994</c:v>
                </c:pt>
                <c:pt idx="6">
                  <c:v>0.39843749999999994</c:v>
                </c:pt>
                <c:pt idx="7">
                  <c:v>0.39843749999999994</c:v>
                </c:pt>
                <c:pt idx="8">
                  <c:v>0.39843749999999994</c:v>
                </c:pt>
                <c:pt idx="9">
                  <c:v>0.39843749999999994</c:v>
                </c:pt>
                <c:pt idx="10">
                  <c:v>0.39843749999999994</c:v>
                </c:pt>
                <c:pt idx="11">
                  <c:v>0.39843749999999994</c:v>
                </c:pt>
                <c:pt idx="12">
                  <c:v>0.39843749999999994</c:v>
                </c:pt>
                <c:pt idx="13">
                  <c:v>0.39843749999999994</c:v>
                </c:pt>
                <c:pt idx="14">
                  <c:v>0.39843749999999994</c:v>
                </c:pt>
                <c:pt idx="15">
                  <c:v>0.39843749999999994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D5-447D-916C-FECD4DBDA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607-4157-B3F0-7ACDD2B450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7-4157-B3F0-7ACDD2B45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607-4157-B3F0-7ACDD2B4507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7-4157-B3F0-7ACDD2B45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'15'!$L$6:$L$23</c:f>
              <c:numCache>
                <c:formatCode>_(* #,##0_);_(* \(#,##0\);_(* "-"_);_(@_)</c:formatCode>
                <c:ptCount val="18"/>
                <c:pt idx="0">
                  <c:v>4718</c:v>
                </c:pt>
                <c:pt idx="2">
                  <c:v>22896</c:v>
                </c:pt>
                <c:pt idx="3">
                  <c:v>6224</c:v>
                </c:pt>
                <c:pt idx="4">
                  <c:v>11760</c:v>
                </c:pt>
                <c:pt idx="5">
                  <c:v>5384</c:v>
                </c:pt>
                <c:pt idx="6">
                  <c:v>5170</c:v>
                </c:pt>
                <c:pt idx="7">
                  <c:v>10910</c:v>
                </c:pt>
                <c:pt idx="9">
                  <c:v>8920</c:v>
                </c:pt>
                <c:pt idx="11">
                  <c:v>1160</c:v>
                </c:pt>
                <c:pt idx="12">
                  <c:v>3089</c:v>
                </c:pt>
                <c:pt idx="13">
                  <c:v>1000</c:v>
                </c:pt>
                <c:pt idx="14">
                  <c:v>1280</c:v>
                </c:pt>
                <c:pt idx="15">
                  <c:v>1360</c:v>
                </c:pt>
                <c:pt idx="17">
                  <c:v>38408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D-42EC-8D1F-2D5D06550661}"/>
            </c:ext>
          </c:extLst>
        </c:ser>
        <c:ser>
          <c:idx val="1"/>
          <c:order val="1"/>
          <c:tx>
            <c:v>계획</c:v>
          </c:tx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'15'!$J$6:$J$23</c:f>
              <c:numCache>
                <c:formatCode>_(* #,##0_);_(* \(#,##0\);_(* "-"_);_(@_)</c:formatCode>
                <c:ptCount val="18"/>
                <c:pt idx="0">
                  <c:v>4718</c:v>
                </c:pt>
                <c:pt idx="1">
                  <c:v>2363</c:v>
                </c:pt>
                <c:pt idx="2">
                  <c:v>22896</c:v>
                </c:pt>
                <c:pt idx="3">
                  <c:v>6224</c:v>
                </c:pt>
                <c:pt idx="4">
                  <c:v>11760</c:v>
                </c:pt>
                <c:pt idx="5">
                  <c:v>5384</c:v>
                </c:pt>
                <c:pt idx="6">
                  <c:v>5170</c:v>
                </c:pt>
                <c:pt idx="7">
                  <c:v>10910</c:v>
                </c:pt>
                <c:pt idx="8">
                  <c:v>329</c:v>
                </c:pt>
                <c:pt idx="9">
                  <c:v>8920</c:v>
                </c:pt>
                <c:pt idx="10">
                  <c:v>495</c:v>
                </c:pt>
                <c:pt idx="11">
                  <c:v>1160</c:v>
                </c:pt>
                <c:pt idx="12">
                  <c:v>3089</c:v>
                </c:pt>
                <c:pt idx="13">
                  <c:v>1000</c:v>
                </c:pt>
                <c:pt idx="14">
                  <c:v>1280</c:v>
                </c:pt>
                <c:pt idx="15">
                  <c:v>1360</c:v>
                </c:pt>
                <c:pt idx="16">
                  <c:v>7910</c:v>
                </c:pt>
                <c:pt idx="17">
                  <c:v>38408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D-42EC-8D1F-2D5D06550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'15'!$AD$6:$AD$23</c:f>
              <c:strCache>
                <c:ptCount val="18"/>
                <c:pt idx="0">
                  <c:v>92%</c:v>
                </c:pt>
                <c:pt idx="1">
                  <c:v>0%</c:v>
                </c:pt>
                <c:pt idx="2">
                  <c:v>96%</c:v>
                </c:pt>
                <c:pt idx="3">
                  <c:v>71%</c:v>
                </c:pt>
                <c:pt idx="4">
                  <c:v>100%</c:v>
                </c:pt>
                <c:pt idx="5">
                  <c:v>100%</c:v>
                </c:pt>
                <c:pt idx="6">
                  <c:v>58%</c:v>
                </c:pt>
                <c:pt idx="7">
                  <c:v>92%</c:v>
                </c:pt>
                <c:pt idx="8">
                  <c:v>0%</c:v>
                </c:pt>
                <c:pt idx="9">
                  <c:v>83%</c:v>
                </c:pt>
                <c:pt idx="10">
                  <c:v>0%</c:v>
                </c:pt>
                <c:pt idx="11">
                  <c:v>17%</c:v>
                </c:pt>
                <c:pt idx="12">
                  <c:v>58%</c:v>
                </c:pt>
                <c:pt idx="13">
                  <c:v>17%</c:v>
                </c:pt>
                <c:pt idx="14">
                  <c:v>17%</c:v>
                </c:pt>
                <c:pt idx="15">
                  <c:v>17%</c:v>
                </c:pt>
                <c:pt idx="16">
                  <c:v>0%</c:v>
                </c:pt>
                <c:pt idx="17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'15'!$AD$6:$AD$23</c:f>
              <c:numCache>
                <c:formatCode>0%</c:formatCode>
                <c:ptCount val="18"/>
                <c:pt idx="0">
                  <c:v>0.91666666666666663</c:v>
                </c:pt>
                <c:pt idx="1">
                  <c:v>0</c:v>
                </c:pt>
                <c:pt idx="2">
                  <c:v>0.95833333333333337</c:v>
                </c:pt>
                <c:pt idx="3">
                  <c:v>0.70833333333333337</c:v>
                </c:pt>
                <c:pt idx="4">
                  <c:v>1</c:v>
                </c:pt>
                <c:pt idx="5">
                  <c:v>1</c:v>
                </c:pt>
                <c:pt idx="6">
                  <c:v>0.58333333333333337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0.83333333333333337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0.58333333333333337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</c:v>
                </c:pt>
                <c:pt idx="17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1-4C28-9863-86CE485FA42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51-4C28-9863-86CE485FA42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'15'!$AE$6:$AE$23</c:f>
              <c:numCache>
                <c:formatCode>0%</c:formatCode>
                <c:ptCount val="18"/>
                <c:pt idx="0">
                  <c:v>0.50462962962962954</c:v>
                </c:pt>
                <c:pt idx="1">
                  <c:v>0.50462962962962954</c:v>
                </c:pt>
                <c:pt idx="2">
                  <c:v>0.50462962962962954</c:v>
                </c:pt>
                <c:pt idx="3">
                  <c:v>0.50462962962962954</c:v>
                </c:pt>
                <c:pt idx="4">
                  <c:v>0.50462962962962954</c:v>
                </c:pt>
                <c:pt idx="5">
                  <c:v>0.50462962962962954</c:v>
                </c:pt>
                <c:pt idx="6">
                  <c:v>0.50462962962962954</c:v>
                </c:pt>
                <c:pt idx="7">
                  <c:v>0.50462962962962954</c:v>
                </c:pt>
                <c:pt idx="8">
                  <c:v>0.50462962962962954</c:v>
                </c:pt>
                <c:pt idx="9">
                  <c:v>0.50462962962962954</c:v>
                </c:pt>
                <c:pt idx="10">
                  <c:v>0.50462962962962954</c:v>
                </c:pt>
                <c:pt idx="11">
                  <c:v>0.50462962962962954</c:v>
                </c:pt>
                <c:pt idx="12">
                  <c:v>0.50462962962962954</c:v>
                </c:pt>
                <c:pt idx="13">
                  <c:v>0.50462962962962954</c:v>
                </c:pt>
                <c:pt idx="14">
                  <c:v>0.50462962962962954</c:v>
                </c:pt>
                <c:pt idx="15">
                  <c:v>0.50462962962962954</c:v>
                </c:pt>
                <c:pt idx="16">
                  <c:v>0.50462962962962954</c:v>
                </c:pt>
                <c:pt idx="17">
                  <c:v>0.50462962962962954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51-4C28-9863-86CE485FA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'15'!$L$6:$L$23</c:f>
              <c:numCache>
                <c:formatCode>_(* #,##0_);_(* \(#,##0\);_(* "-"_);_(@_)</c:formatCode>
                <c:ptCount val="18"/>
                <c:pt idx="0">
                  <c:v>4718</c:v>
                </c:pt>
                <c:pt idx="2">
                  <c:v>22896</c:v>
                </c:pt>
                <c:pt idx="3">
                  <c:v>6224</c:v>
                </c:pt>
                <c:pt idx="4">
                  <c:v>11760</c:v>
                </c:pt>
                <c:pt idx="5">
                  <c:v>5384</c:v>
                </c:pt>
                <c:pt idx="6">
                  <c:v>5170</c:v>
                </c:pt>
                <c:pt idx="7">
                  <c:v>10910</c:v>
                </c:pt>
                <c:pt idx="9">
                  <c:v>8920</c:v>
                </c:pt>
                <c:pt idx="11">
                  <c:v>1160</c:v>
                </c:pt>
                <c:pt idx="12">
                  <c:v>3089</c:v>
                </c:pt>
                <c:pt idx="13">
                  <c:v>1000</c:v>
                </c:pt>
                <c:pt idx="14">
                  <c:v>1280</c:v>
                </c:pt>
                <c:pt idx="15">
                  <c:v>1360</c:v>
                </c:pt>
                <c:pt idx="17">
                  <c:v>38408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4-431B-BF17-C722F3D5AA44}"/>
            </c:ext>
          </c:extLst>
        </c:ser>
        <c:ser>
          <c:idx val="1"/>
          <c:order val="1"/>
          <c:tx>
            <c:v>계획</c:v>
          </c:tx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'15'!$J$6:$J$23</c:f>
              <c:numCache>
                <c:formatCode>_(* #,##0_);_(* \(#,##0\);_(* "-"_);_(@_)</c:formatCode>
                <c:ptCount val="18"/>
                <c:pt idx="0">
                  <c:v>4718</c:v>
                </c:pt>
                <c:pt idx="1">
                  <c:v>2363</c:v>
                </c:pt>
                <c:pt idx="2">
                  <c:v>22896</c:v>
                </c:pt>
                <c:pt idx="3">
                  <c:v>6224</c:v>
                </c:pt>
                <c:pt idx="4">
                  <c:v>11760</c:v>
                </c:pt>
                <c:pt idx="5">
                  <c:v>5384</c:v>
                </c:pt>
                <c:pt idx="6">
                  <c:v>5170</c:v>
                </c:pt>
                <c:pt idx="7">
                  <c:v>10910</c:v>
                </c:pt>
                <c:pt idx="8">
                  <c:v>329</c:v>
                </c:pt>
                <c:pt idx="9">
                  <c:v>8920</c:v>
                </c:pt>
                <c:pt idx="10">
                  <c:v>495</c:v>
                </c:pt>
                <c:pt idx="11">
                  <c:v>1160</c:v>
                </c:pt>
                <c:pt idx="12">
                  <c:v>3089</c:v>
                </c:pt>
                <c:pt idx="13">
                  <c:v>1000</c:v>
                </c:pt>
                <c:pt idx="14">
                  <c:v>1280</c:v>
                </c:pt>
                <c:pt idx="15">
                  <c:v>1360</c:v>
                </c:pt>
                <c:pt idx="16">
                  <c:v>7910</c:v>
                </c:pt>
                <c:pt idx="17">
                  <c:v>38408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4-431B-BF17-C722F3D5A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'15'!$AD$6:$AD$23</c:f>
              <c:strCache>
                <c:ptCount val="18"/>
                <c:pt idx="0">
                  <c:v>92%</c:v>
                </c:pt>
                <c:pt idx="1">
                  <c:v>0%</c:v>
                </c:pt>
                <c:pt idx="2">
                  <c:v>96%</c:v>
                </c:pt>
                <c:pt idx="3">
                  <c:v>71%</c:v>
                </c:pt>
                <c:pt idx="4">
                  <c:v>100%</c:v>
                </c:pt>
                <c:pt idx="5">
                  <c:v>100%</c:v>
                </c:pt>
                <c:pt idx="6">
                  <c:v>58%</c:v>
                </c:pt>
                <c:pt idx="7">
                  <c:v>92%</c:v>
                </c:pt>
                <c:pt idx="8">
                  <c:v>0%</c:v>
                </c:pt>
                <c:pt idx="9">
                  <c:v>83%</c:v>
                </c:pt>
                <c:pt idx="10">
                  <c:v>0%</c:v>
                </c:pt>
                <c:pt idx="11">
                  <c:v>17%</c:v>
                </c:pt>
                <c:pt idx="12">
                  <c:v>58%</c:v>
                </c:pt>
                <c:pt idx="13">
                  <c:v>17%</c:v>
                </c:pt>
                <c:pt idx="14">
                  <c:v>17%</c:v>
                </c:pt>
                <c:pt idx="15">
                  <c:v>17%</c:v>
                </c:pt>
                <c:pt idx="16">
                  <c:v>0%</c:v>
                </c:pt>
                <c:pt idx="17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'15'!$AD$6:$AD$23</c:f>
              <c:numCache>
                <c:formatCode>0%</c:formatCode>
                <c:ptCount val="18"/>
                <c:pt idx="0">
                  <c:v>0.91666666666666663</c:v>
                </c:pt>
                <c:pt idx="1">
                  <c:v>0</c:v>
                </c:pt>
                <c:pt idx="2">
                  <c:v>0.95833333333333337</c:v>
                </c:pt>
                <c:pt idx="3">
                  <c:v>0.70833333333333337</c:v>
                </c:pt>
                <c:pt idx="4">
                  <c:v>1</c:v>
                </c:pt>
                <c:pt idx="5">
                  <c:v>1</c:v>
                </c:pt>
                <c:pt idx="6">
                  <c:v>0.58333333333333337</c:v>
                </c:pt>
                <c:pt idx="7">
                  <c:v>0.91666666666666663</c:v>
                </c:pt>
                <c:pt idx="8">
                  <c:v>0</c:v>
                </c:pt>
                <c:pt idx="9">
                  <c:v>0.83333333333333337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0.58333333333333337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</c:v>
                </c:pt>
                <c:pt idx="17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6-4713-9B5F-52B4F3D1B71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F6-4713-9B5F-52B4F3D1B7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'15'!$D$6:$D$23</c:f>
              <c:strCache>
                <c:ptCount val="17"/>
                <c:pt idx="0">
                  <c:v>ADAPTER</c:v>
                </c:pt>
                <c:pt idx="1">
                  <c:v>TOP/BOTTOM</c:v>
                </c:pt>
                <c:pt idx="2">
                  <c:v>LEAD GUIDE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STOPPER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'15'!$AE$6:$AE$23</c:f>
              <c:numCache>
                <c:formatCode>0%</c:formatCode>
                <c:ptCount val="18"/>
                <c:pt idx="0">
                  <c:v>0.50462962962962954</c:v>
                </c:pt>
                <c:pt idx="1">
                  <c:v>0.50462962962962954</c:v>
                </c:pt>
                <c:pt idx="2">
                  <c:v>0.50462962962962954</c:v>
                </c:pt>
                <c:pt idx="3">
                  <c:v>0.50462962962962954</c:v>
                </c:pt>
                <c:pt idx="4">
                  <c:v>0.50462962962962954</c:v>
                </c:pt>
                <c:pt idx="5">
                  <c:v>0.50462962962962954</c:v>
                </c:pt>
                <c:pt idx="6">
                  <c:v>0.50462962962962954</c:v>
                </c:pt>
                <c:pt idx="7">
                  <c:v>0.50462962962962954</c:v>
                </c:pt>
                <c:pt idx="8">
                  <c:v>0.50462962962962954</c:v>
                </c:pt>
                <c:pt idx="9">
                  <c:v>0.50462962962962954</c:v>
                </c:pt>
                <c:pt idx="10">
                  <c:v>0.50462962962962954</c:v>
                </c:pt>
                <c:pt idx="11">
                  <c:v>0.50462962962962954</c:v>
                </c:pt>
                <c:pt idx="12">
                  <c:v>0.50462962962962954</c:v>
                </c:pt>
                <c:pt idx="13">
                  <c:v>0.50462962962962954</c:v>
                </c:pt>
                <c:pt idx="14">
                  <c:v>0.50462962962962954</c:v>
                </c:pt>
                <c:pt idx="15">
                  <c:v>0.50462962962962954</c:v>
                </c:pt>
                <c:pt idx="16">
                  <c:v>0.50462962962962954</c:v>
                </c:pt>
                <c:pt idx="17">
                  <c:v>0.50462962962962954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F6-4713-9B5F-52B4F3D1B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1FD-49DB-8D5E-BCF60B03A2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D-49DB-8D5E-BCF60B03A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FD-49DB-8D5E-BCF60B03A2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D-49DB-8D5E-BCF60B03A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'16'!$L$6:$L$24</c:f>
              <c:numCache>
                <c:formatCode>_(* #,##0_);_(* \(#,##0\);_(* "-"_);_(@_)</c:formatCode>
                <c:ptCount val="19"/>
                <c:pt idx="0">
                  <c:v>3528</c:v>
                </c:pt>
                <c:pt idx="1">
                  <c:v>1080</c:v>
                </c:pt>
                <c:pt idx="2">
                  <c:v>1196</c:v>
                </c:pt>
                <c:pt idx="3">
                  <c:v>6772</c:v>
                </c:pt>
                <c:pt idx="4">
                  <c:v>24720</c:v>
                </c:pt>
                <c:pt idx="5">
                  <c:v>10006</c:v>
                </c:pt>
                <c:pt idx="7">
                  <c:v>1035</c:v>
                </c:pt>
                <c:pt idx="8">
                  <c:v>3731</c:v>
                </c:pt>
                <c:pt idx="9">
                  <c:v>9796</c:v>
                </c:pt>
                <c:pt idx="11">
                  <c:v>4060</c:v>
                </c:pt>
                <c:pt idx="12">
                  <c:v>1868</c:v>
                </c:pt>
                <c:pt idx="14">
                  <c:v>6204</c:v>
                </c:pt>
                <c:pt idx="15">
                  <c:v>2050</c:v>
                </c:pt>
                <c:pt idx="16">
                  <c:v>3040</c:v>
                </c:pt>
                <c:pt idx="18">
                  <c:v>31044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7-493A-A0A9-4643282DB630}"/>
            </c:ext>
          </c:extLst>
        </c:ser>
        <c:ser>
          <c:idx val="1"/>
          <c:order val="1"/>
          <c:tx>
            <c:v>계획</c:v>
          </c:tx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'16'!$J$6:$J$24</c:f>
              <c:numCache>
                <c:formatCode>_(* #,##0_);_(* \(#,##0\);_(* "-"_);_(@_)</c:formatCode>
                <c:ptCount val="19"/>
                <c:pt idx="0">
                  <c:v>3528</c:v>
                </c:pt>
                <c:pt idx="1">
                  <c:v>1080</c:v>
                </c:pt>
                <c:pt idx="2">
                  <c:v>1196</c:v>
                </c:pt>
                <c:pt idx="3">
                  <c:v>6772</c:v>
                </c:pt>
                <c:pt idx="4">
                  <c:v>24720</c:v>
                </c:pt>
                <c:pt idx="5">
                  <c:v>10006</c:v>
                </c:pt>
                <c:pt idx="6">
                  <c:v>11760</c:v>
                </c:pt>
                <c:pt idx="7">
                  <c:v>1035</c:v>
                </c:pt>
                <c:pt idx="8">
                  <c:v>3731</c:v>
                </c:pt>
                <c:pt idx="9">
                  <c:v>9796</c:v>
                </c:pt>
                <c:pt idx="10">
                  <c:v>329</c:v>
                </c:pt>
                <c:pt idx="11">
                  <c:v>8920</c:v>
                </c:pt>
                <c:pt idx="12">
                  <c:v>1868</c:v>
                </c:pt>
                <c:pt idx="13">
                  <c:v>495</c:v>
                </c:pt>
                <c:pt idx="14">
                  <c:v>6204</c:v>
                </c:pt>
                <c:pt idx="15">
                  <c:v>2050</c:v>
                </c:pt>
                <c:pt idx="16">
                  <c:v>3040</c:v>
                </c:pt>
                <c:pt idx="17">
                  <c:v>7910</c:v>
                </c:pt>
                <c:pt idx="18">
                  <c:v>38408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7-493A-A0A9-4643282D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'16'!$AD$6:$AD$24</c:f>
              <c:strCache>
                <c:ptCount val="19"/>
                <c:pt idx="0">
                  <c:v>63%</c:v>
                </c:pt>
                <c:pt idx="1">
                  <c:v>13%</c:v>
                </c:pt>
                <c:pt idx="2">
                  <c:v>13%</c:v>
                </c:pt>
                <c:pt idx="3">
                  <c:v>63%</c:v>
                </c:pt>
                <c:pt idx="4">
                  <c:v>100%</c:v>
                </c:pt>
                <c:pt idx="5">
                  <c:v>92%</c:v>
                </c:pt>
                <c:pt idx="6">
                  <c:v>0%</c:v>
                </c:pt>
                <c:pt idx="7">
                  <c:v>25%</c:v>
                </c:pt>
                <c:pt idx="8">
                  <c:v>79%</c:v>
                </c:pt>
                <c:pt idx="9">
                  <c:v>88%</c:v>
                </c:pt>
                <c:pt idx="10">
                  <c:v>0%</c:v>
                </c:pt>
                <c:pt idx="11">
                  <c:v>8%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63%</c:v>
                </c:pt>
                <c:pt idx="16">
                  <c:v>75%</c:v>
                </c:pt>
                <c:pt idx="17">
                  <c:v>0%</c:v>
                </c:pt>
                <c:pt idx="18">
                  <c:v>74%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'16'!$AD$6:$AD$24</c:f>
              <c:numCache>
                <c:formatCode>0%</c:formatCode>
                <c:ptCount val="19"/>
                <c:pt idx="0">
                  <c:v>0.625</c:v>
                </c:pt>
                <c:pt idx="1">
                  <c:v>0.125</c:v>
                </c:pt>
                <c:pt idx="2">
                  <c:v>0.125</c:v>
                </c:pt>
                <c:pt idx="3">
                  <c:v>0.625</c:v>
                </c:pt>
                <c:pt idx="4">
                  <c:v>1</c:v>
                </c:pt>
                <c:pt idx="5">
                  <c:v>0.91666666666666663</c:v>
                </c:pt>
                <c:pt idx="6">
                  <c:v>0</c:v>
                </c:pt>
                <c:pt idx="7">
                  <c:v>0.25</c:v>
                </c:pt>
                <c:pt idx="8">
                  <c:v>0.79166666666666663</c:v>
                </c:pt>
                <c:pt idx="9">
                  <c:v>0.875</c:v>
                </c:pt>
                <c:pt idx="10">
                  <c:v>0</c:v>
                </c:pt>
                <c:pt idx="11">
                  <c:v>7.5859491778774282E-2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0.625</c:v>
                </c:pt>
                <c:pt idx="16">
                  <c:v>0.75</c:v>
                </c:pt>
                <c:pt idx="17">
                  <c:v>0</c:v>
                </c:pt>
                <c:pt idx="18">
                  <c:v>0.74091335138512804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A-4C9C-9D2C-0937B94AC0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5A-4C9C-9D2C-0937B94AC0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'16'!$AE$6:$AE$24</c:f>
              <c:numCache>
                <c:formatCode>0%</c:formatCode>
                <c:ptCount val="19"/>
                <c:pt idx="0">
                  <c:v>0.45965471104371408</c:v>
                </c:pt>
                <c:pt idx="1">
                  <c:v>0.45965471104371408</c:v>
                </c:pt>
                <c:pt idx="2">
                  <c:v>0.45965471104371408</c:v>
                </c:pt>
                <c:pt idx="3">
                  <c:v>0.45965471104371408</c:v>
                </c:pt>
                <c:pt idx="4">
                  <c:v>0.45965471104371408</c:v>
                </c:pt>
                <c:pt idx="5">
                  <c:v>0.45965471104371408</c:v>
                </c:pt>
                <c:pt idx="6">
                  <c:v>0.45965471104371408</c:v>
                </c:pt>
                <c:pt idx="7">
                  <c:v>0.45965471104371408</c:v>
                </c:pt>
                <c:pt idx="8">
                  <c:v>0.45965471104371408</c:v>
                </c:pt>
                <c:pt idx="9">
                  <c:v>0.45965471104371408</c:v>
                </c:pt>
                <c:pt idx="10">
                  <c:v>0.45965471104371408</c:v>
                </c:pt>
                <c:pt idx="11">
                  <c:v>0.45965471104371408</c:v>
                </c:pt>
                <c:pt idx="12">
                  <c:v>0.45965471104371408</c:v>
                </c:pt>
                <c:pt idx="13">
                  <c:v>0.45965471104371408</c:v>
                </c:pt>
                <c:pt idx="14">
                  <c:v>0.45965471104371408</c:v>
                </c:pt>
                <c:pt idx="15">
                  <c:v>0.45965471104371408</c:v>
                </c:pt>
                <c:pt idx="16">
                  <c:v>0.45965471104371408</c:v>
                </c:pt>
                <c:pt idx="17">
                  <c:v>0.45965471104371408</c:v>
                </c:pt>
                <c:pt idx="18">
                  <c:v>0.45965471104371408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5A-4C9C-9D2C-0937B94A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'16'!$L$6:$L$24</c:f>
              <c:numCache>
                <c:formatCode>_(* #,##0_);_(* \(#,##0\);_(* "-"_);_(@_)</c:formatCode>
                <c:ptCount val="19"/>
                <c:pt idx="0">
                  <c:v>3528</c:v>
                </c:pt>
                <c:pt idx="1">
                  <c:v>1080</c:v>
                </c:pt>
                <c:pt idx="2">
                  <c:v>1196</c:v>
                </c:pt>
                <c:pt idx="3">
                  <c:v>6772</c:v>
                </c:pt>
                <c:pt idx="4">
                  <c:v>24720</c:v>
                </c:pt>
                <c:pt idx="5">
                  <c:v>10006</c:v>
                </c:pt>
                <c:pt idx="7">
                  <c:v>1035</c:v>
                </c:pt>
                <c:pt idx="8">
                  <c:v>3731</c:v>
                </c:pt>
                <c:pt idx="9">
                  <c:v>9796</c:v>
                </c:pt>
                <c:pt idx="11">
                  <c:v>4060</c:v>
                </c:pt>
                <c:pt idx="12">
                  <c:v>1868</c:v>
                </c:pt>
                <c:pt idx="14">
                  <c:v>6204</c:v>
                </c:pt>
                <c:pt idx="15">
                  <c:v>2050</c:v>
                </c:pt>
                <c:pt idx="16">
                  <c:v>3040</c:v>
                </c:pt>
                <c:pt idx="18">
                  <c:v>31044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2-433D-9544-826E3951076C}"/>
            </c:ext>
          </c:extLst>
        </c:ser>
        <c:ser>
          <c:idx val="1"/>
          <c:order val="1"/>
          <c:tx>
            <c:v>계획</c:v>
          </c:tx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'16'!$J$6:$J$24</c:f>
              <c:numCache>
                <c:formatCode>_(* #,##0_);_(* \(#,##0\);_(* "-"_);_(@_)</c:formatCode>
                <c:ptCount val="19"/>
                <c:pt idx="0">
                  <c:v>3528</c:v>
                </c:pt>
                <c:pt idx="1">
                  <c:v>1080</c:v>
                </c:pt>
                <c:pt idx="2">
                  <c:v>1196</c:v>
                </c:pt>
                <c:pt idx="3">
                  <c:v>6772</c:v>
                </c:pt>
                <c:pt idx="4">
                  <c:v>24720</c:v>
                </c:pt>
                <c:pt idx="5">
                  <c:v>10006</c:v>
                </c:pt>
                <c:pt idx="6">
                  <c:v>11760</c:v>
                </c:pt>
                <c:pt idx="7">
                  <c:v>1035</c:v>
                </c:pt>
                <c:pt idx="8">
                  <c:v>3731</c:v>
                </c:pt>
                <c:pt idx="9">
                  <c:v>9796</c:v>
                </c:pt>
                <c:pt idx="10">
                  <c:v>329</c:v>
                </c:pt>
                <c:pt idx="11">
                  <c:v>8920</c:v>
                </c:pt>
                <c:pt idx="12">
                  <c:v>1868</c:v>
                </c:pt>
                <c:pt idx="13">
                  <c:v>495</c:v>
                </c:pt>
                <c:pt idx="14">
                  <c:v>6204</c:v>
                </c:pt>
                <c:pt idx="15">
                  <c:v>2050</c:v>
                </c:pt>
                <c:pt idx="16">
                  <c:v>3040</c:v>
                </c:pt>
                <c:pt idx="17">
                  <c:v>7910</c:v>
                </c:pt>
                <c:pt idx="18">
                  <c:v>38408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2-433D-9544-826E39510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'16'!$AD$6:$AD$24</c:f>
              <c:strCache>
                <c:ptCount val="19"/>
                <c:pt idx="0">
                  <c:v>63%</c:v>
                </c:pt>
                <c:pt idx="1">
                  <c:v>13%</c:v>
                </c:pt>
                <c:pt idx="2">
                  <c:v>13%</c:v>
                </c:pt>
                <c:pt idx="3">
                  <c:v>63%</c:v>
                </c:pt>
                <c:pt idx="4">
                  <c:v>100%</c:v>
                </c:pt>
                <c:pt idx="5">
                  <c:v>92%</c:v>
                </c:pt>
                <c:pt idx="6">
                  <c:v>0%</c:v>
                </c:pt>
                <c:pt idx="7">
                  <c:v>25%</c:v>
                </c:pt>
                <c:pt idx="8">
                  <c:v>79%</c:v>
                </c:pt>
                <c:pt idx="9">
                  <c:v>88%</c:v>
                </c:pt>
                <c:pt idx="10">
                  <c:v>0%</c:v>
                </c:pt>
                <c:pt idx="11">
                  <c:v>8%</c:v>
                </c:pt>
                <c:pt idx="12">
                  <c:v>21%</c:v>
                </c:pt>
                <c:pt idx="13">
                  <c:v>0%</c:v>
                </c:pt>
                <c:pt idx="14">
                  <c:v>100%</c:v>
                </c:pt>
                <c:pt idx="15">
                  <c:v>63%</c:v>
                </c:pt>
                <c:pt idx="16">
                  <c:v>75%</c:v>
                </c:pt>
                <c:pt idx="17">
                  <c:v>0%</c:v>
                </c:pt>
                <c:pt idx="18">
                  <c:v>74%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'16'!$AD$6:$AD$24</c:f>
              <c:numCache>
                <c:formatCode>0%</c:formatCode>
                <c:ptCount val="19"/>
                <c:pt idx="0">
                  <c:v>0.625</c:v>
                </c:pt>
                <c:pt idx="1">
                  <c:v>0.125</c:v>
                </c:pt>
                <c:pt idx="2">
                  <c:v>0.125</c:v>
                </c:pt>
                <c:pt idx="3">
                  <c:v>0.625</c:v>
                </c:pt>
                <c:pt idx="4">
                  <c:v>1</c:v>
                </c:pt>
                <c:pt idx="5">
                  <c:v>0.91666666666666663</c:v>
                </c:pt>
                <c:pt idx="6">
                  <c:v>0</c:v>
                </c:pt>
                <c:pt idx="7">
                  <c:v>0.25</c:v>
                </c:pt>
                <c:pt idx="8">
                  <c:v>0.79166666666666663</c:v>
                </c:pt>
                <c:pt idx="9">
                  <c:v>0.875</c:v>
                </c:pt>
                <c:pt idx="10">
                  <c:v>0</c:v>
                </c:pt>
                <c:pt idx="11">
                  <c:v>7.5859491778774282E-2</c:v>
                </c:pt>
                <c:pt idx="12">
                  <c:v>0.20833333333333334</c:v>
                </c:pt>
                <c:pt idx="13">
                  <c:v>0</c:v>
                </c:pt>
                <c:pt idx="14">
                  <c:v>1</c:v>
                </c:pt>
                <c:pt idx="15">
                  <c:v>0.625</c:v>
                </c:pt>
                <c:pt idx="16">
                  <c:v>0.75</c:v>
                </c:pt>
                <c:pt idx="17">
                  <c:v>0</c:v>
                </c:pt>
                <c:pt idx="18">
                  <c:v>0.74091335138512804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3-4971-BEB5-13FFA0FFF3F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93-4971-BEB5-13FFA0FFF3F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'16'!$D$6:$D$24</c:f>
              <c:strCache>
                <c:ptCount val="18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ADAPTER</c:v>
                </c:pt>
                <c:pt idx="4">
                  <c:v>LEAD GUIDE</c:v>
                </c:pt>
                <c:pt idx="5">
                  <c:v>COVER</c:v>
                </c:pt>
                <c:pt idx="6">
                  <c:v>STOPPER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BODY</c:v>
                </c:pt>
                <c:pt idx="13">
                  <c:v>COVER</c:v>
                </c:pt>
                <c:pt idx="14">
                  <c:v>ADAPTER</c:v>
                </c:pt>
                <c:pt idx="15">
                  <c:v>BASE</c:v>
                </c:pt>
                <c:pt idx="16">
                  <c:v>BASE/UNDER</c:v>
                </c:pt>
                <c:pt idx="17">
                  <c:v>BASE</c:v>
                </c:pt>
              </c:strCache>
            </c:strRef>
          </c:cat>
          <c:val>
            <c:numRef>
              <c:f>'16'!$AE$6:$AE$24</c:f>
              <c:numCache>
                <c:formatCode>0%</c:formatCode>
                <c:ptCount val="19"/>
                <c:pt idx="0">
                  <c:v>0.45965471104371408</c:v>
                </c:pt>
                <c:pt idx="1">
                  <c:v>0.45965471104371408</c:v>
                </c:pt>
                <c:pt idx="2">
                  <c:v>0.45965471104371408</c:v>
                </c:pt>
                <c:pt idx="3">
                  <c:v>0.45965471104371408</c:v>
                </c:pt>
                <c:pt idx="4">
                  <c:v>0.45965471104371408</c:v>
                </c:pt>
                <c:pt idx="5">
                  <c:v>0.45965471104371408</c:v>
                </c:pt>
                <c:pt idx="6">
                  <c:v>0.45965471104371408</c:v>
                </c:pt>
                <c:pt idx="7">
                  <c:v>0.45965471104371408</c:v>
                </c:pt>
                <c:pt idx="8">
                  <c:v>0.45965471104371408</c:v>
                </c:pt>
                <c:pt idx="9">
                  <c:v>0.45965471104371408</c:v>
                </c:pt>
                <c:pt idx="10">
                  <c:v>0.45965471104371408</c:v>
                </c:pt>
                <c:pt idx="11">
                  <c:v>0.45965471104371408</c:v>
                </c:pt>
                <c:pt idx="12">
                  <c:v>0.45965471104371408</c:v>
                </c:pt>
                <c:pt idx="13">
                  <c:v>0.45965471104371408</c:v>
                </c:pt>
                <c:pt idx="14">
                  <c:v>0.45965471104371408</c:v>
                </c:pt>
                <c:pt idx="15">
                  <c:v>0.45965471104371408</c:v>
                </c:pt>
                <c:pt idx="16">
                  <c:v>0.45965471104371408</c:v>
                </c:pt>
                <c:pt idx="17">
                  <c:v>0.45965471104371408</c:v>
                </c:pt>
                <c:pt idx="18">
                  <c:v>0.45965471104371408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3-4971-BEB5-13FFA0FFF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A2F-48DF-84B5-74E27C44FF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F-48DF-84B5-74E27C44F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A2F-48DF-84B5-74E27C44FFB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2F-48DF-84B5-74E27C44F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'17'!$L$6:$L$22</c:f>
              <c:numCache>
                <c:formatCode>_(* #,##0_);_(* \(#,##0\);_(* "-"_);_(@_)</c:formatCode>
                <c:ptCount val="17"/>
                <c:pt idx="0">
                  <c:v>1500</c:v>
                </c:pt>
                <c:pt idx="1">
                  <c:v>3238</c:v>
                </c:pt>
                <c:pt idx="2">
                  <c:v>2392</c:v>
                </c:pt>
                <c:pt idx="3">
                  <c:v>24328</c:v>
                </c:pt>
                <c:pt idx="4">
                  <c:v>1140</c:v>
                </c:pt>
                <c:pt idx="6">
                  <c:v>2306</c:v>
                </c:pt>
                <c:pt idx="7">
                  <c:v>10360</c:v>
                </c:pt>
                <c:pt idx="8">
                  <c:v>3412</c:v>
                </c:pt>
                <c:pt idx="10">
                  <c:v>6418</c:v>
                </c:pt>
                <c:pt idx="12">
                  <c:v>6218</c:v>
                </c:pt>
                <c:pt idx="15">
                  <c:v>6546</c:v>
                </c:pt>
                <c:pt idx="16">
                  <c:v>37988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F-4FA0-9383-379AC3ED0CB7}"/>
            </c:ext>
          </c:extLst>
        </c:ser>
        <c:ser>
          <c:idx val="1"/>
          <c:order val="1"/>
          <c:tx>
            <c:v>계획</c:v>
          </c:tx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'17'!$J$6:$J$22</c:f>
              <c:numCache>
                <c:formatCode>_(* #,##0_);_(* \(#,##0\);_(* "-"_);_(@_)</c:formatCode>
                <c:ptCount val="17"/>
                <c:pt idx="0">
                  <c:v>1500</c:v>
                </c:pt>
                <c:pt idx="1">
                  <c:v>3238</c:v>
                </c:pt>
                <c:pt idx="2">
                  <c:v>2392</c:v>
                </c:pt>
                <c:pt idx="3">
                  <c:v>24328</c:v>
                </c:pt>
                <c:pt idx="4">
                  <c:v>1140</c:v>
                </c:pt>
                <c:pt idx="5">
                  <c:v>11760</c:v>
                </c:pt>
                <c:pt idx="6">
                  <c:v>2306</c:v>
                </c:pt>
                <c:pt idx="7">
                  <c:v>10360</c:v>
                </c:pt>
                <c:pt idx="8">
                  <c:v>3412</c:v>
                </c:pt>
                <c:pt idx="9">
                  <c:v>329</c:v>
                </c:pt>
                <c:pt idx="10">
                  <c:v>6418</c:v>
                </c:pt>
                <c:pt idx="11">
                  <c:v>495</c:v>
                </c:pt>
                <c:pt idx="12">
                  <c:v>6218</c:v>
                </c:pt>
                <c:pt idx="13">
                  <c:v>2050</c:v>
                </c:pt>
                <c:pt idx="14">
                  <c:v>3040</c:v>
                </c:pt>
                <c:pt idx="15">
                  <c:v>6546</c:v>
                </c:pt>
                <c:pt idx="16">
                  <c:v>37988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F-4FA0-9383-379AC3ED0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'17'!$AD$6:$AD$22</c:f>
              <c:strCache>
                <c:ptCount val="17"/>
                <c:pt idx="0">
                  <c:v>29%</c:v>
                </c:pt>
                <c:pt idx="1">
                  <c:v>63%</c:v>
                </c:pt>
                <c:pt idx="2">
                  <c:v>21%</c:v>
                </c:pt>
                <c:pt idx="3">
                  <c:v>100%</c:v>
                </c:pt>
                <c:pt idx="4">
                  <c:v>13%</c:v>
                </c:pt>
                <c:pt idx="5">
                  <c:v>0%</c:v>
                </c:pt>
                <c:pt idx="6">
                  <c:v>58%</c:v>
                </c:pt>
                <c:pt idx="7">
                  <c:v>100%</c:v>
                </c:pt>
                <c:pt idx="8">
                  <c:v>33%</c:v>
                </c:pt>
                <c:pt idx="9">
                  <c:v>0%</c:v>
                </c:pt>
                <c:pt idx="10">
                  <c:v>54%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67%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'17'!$AD$6:$AD$22</c:f>
              <c:numCache>
                <c:formatCode>0%</c:formatCode>
                <c:ptCount val="17"/>
                <c:pt idx="0">
                  <c:v>0.29166666666666669</c:v>
                </c:pt>
                <c:pt idx="1">
                  <c:v>0.625</c:v>
                </c:pt>
                <c:pt idx="2">
                  <c:v>0.20833333333333334</c:v>
                </c:pt>
                <c:pt idx="3">
                  <c:v>1</c:v>
                </c:pt>
                <c:pt idx="4">
                  <c:v>0.125</c:v>
                </c:pt>
                <c:pt idx="5">
                  <c:v>0</c:v>
                </c:pt>
                <c:pt idx="6">
                  <c:v>0.58333333333333337</c:v>
                </c:pt>
                <c:pt idx="7">
                  <c:v>1</c:v>
                </c:pt>
                <c:pt idx="8">
                  <c:v>0.33333333333333331</c:v>
                </c:pt>
                <c:pt idx="9">
                  <c:v>0</c:v>
                </c:pt>
                <c:pt idx="10">
                  <c:v>0.54166666666666663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0.66666666666666663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A-4C4A-858B-18604579786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CA-4C4A-858B-18604579786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'17'!$AE$6:$AE$22</c:f>
              <c:numCache>
                <c:formatCode>0%</c:formatCode>
                <c:ptCount val="17"/>
                <c:pt idx="0">
                  <c:v>0.41176470588235298</c:v>
                </c:pt>
                <c:pt idx="1">
                  <c:v>0.41176470588235298</c:v>
                </c:pt>
                <c:pt idx="2">
                  <c:v>0.41176470588235298</c:v>
                </c:pt>
                <c:pt idx="3">
                  <c:v>0.41176470588235298</c:v>
                </c:pt>
                <c:pt idx="4">
                  <c:v>0.41176470588235298</c:v>
                </c:pt>
                <c:pt idx="5">
                  <c:v>0.41176470588235298</c:v>
                </c:pt>
                <c:pt idx="6">
                  <c:v>0.41176470588235298</c:v>
                </c:pt>
                <c:pt idx="7">
                  <c:v>0.41176470588235298</c:v>
                </c:pt>
                <c:pt idx="8">
                  <c:v>0.41176470588235298</c:v>
                </c:pt>
                <c:pt idx="9">
                  <c:v>0.41176470588235298</c:v>
                </c:pt>
                <c:pt idx="10">
                  <c:v>0.41176470588235298</c:v>
                </c:pt>
                <c:pt idx="11">
                  <c:v>0.41176470588235298</c:v>
                </c:pt>
                <c:pt idx="12">
                  <c:v>0.41176470588235298</c:v>
                </c:pt>
                <c:pt idx="13">
                  <c:v>0.41176470588235298</c:v>
                </c:pt>
                <c:pt idx="14">
                  <c:v>0.41176470588235298</c:v>
                </c:pt>
                <c:pt idx="15">
                  <c:v>0.41176470588235298</c:v>
                </c:pt>
                <c:pt idx="16">
                  <c:v>0.41176470588235298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A-4C4A-858B-186045797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'17'!$L$6:$L$22</c:f>
              <c:numCache>
                <c:formatCode>_(* #,##0_);_(* \(#,##0\);_(* "-"_);_(@_)</c:formatCode>
                <c:ptCount val="17"/>
                <c:pt idx="0">
                  <c:v>1500</c:v>
                </c:pt>
                <c:pt idx="1">
                  <c:v>3238</c:v>
                </c:pt>
                <c:pt idx="2">
                  <c:v>2392</c:v>
                </c:pt>
                <c:pt idx="3">
                  <c:v>24328</c:v>
                </c:pt>
                <c:pt idx="4">
                  <c:v>1140</c:v>
                </c:pt>
                <c:pt idx="6">
                  <c:v>2306</c:v>
                </c:pt>
                <c:pt idx="7">
                  <c:v>10360</c:v>
                </c:pt>
                <c:pt idx="8">
                  <c:v>3412</c:v>
                </c:pt>
                <c:pt idx="10">
                  <c:v>6418</c:v>
                </c:pt>
                <c:pt idx="12">
                  <c:v>6218</c:v>
                </c:pt>
                <c:pt idx="15">
                  <c:v>6546</c:v>
                </c:pt>
                <c:pt idx="16">
                  <c:v>37988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7-4D8C-83DE-BF5BDC64D74E}"/>
            </c:ext>
          </c:extLst>
        </c:ser>
        <c:ser>
          <c:idx val="1"/>
          <c:order val="1"/>
          <c:tx>
            <c:v>계획</c:v>
          </c:tx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'17'!$J$6:$J$22</c:f>
              <c:numCache>
                <c:formatCode>_(* #,##0_);_(* \(#,##0\);_(* "-"_);_(@_)</c:formatCode>
                <c:ptCount val="17"/>
                <c:pt idx="0">
                  <c:v>1500</c:v>
                </c:pt>
                <c:pt idx="1">
                  <c:v>3238</c:v>
                </c:pt>
                <c:pt idx="2">
                  <c:v>2392</c:v>
                </c:pt>
                <c:pt idx="3">
                  <c:v>24328</c:v>
                </c:pt>
                <c:pt idx="4">
                  <c:v>1140</c:v>
                </c:pt>
                <c:pt idx="5">
                  <c:v>11760</c:v>
                </c:pt>
                <c:pt idx="6">
                  <c:v>2306</c:v>
                </c:pt>
                <c:pt idx="7">
                  <c:v>10360</c:v>
                </c:pt>
                <c:pt idx="8">
                  <c:v>3412</c:v>
                </c:pt>
                <c:pt idx="9">
                  <c:v>329</c:v>
                </c:pt>
                <c:pt idx="10">
                  <c:v>6418</c:v>
                </c:pt>
                <c:pt idx="11">
                  <c:v>495</c:v>
                </c:pt>
                <c:pt idx="12">
                  <c:v>6218</c:v>
                </c:pt>
                <c:pt idx="13">
                  <c:v>2050</c:v>
                </c:pt>
                <c:pt idx="14">
                  <c:v>3040</c:v>
                </c:pt>
                <c:pt idx="15">
                  <c:v>6546</c:v>
                </c:pt>
                <c:pt idx="16">
                  <c:v>37988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7-4D8C-83DE-BF5BDC64D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'17'!$AD$6:$AD$22</c:f>
              <c:strCache>
                <c:ptCount val="17"/>
                <c:pt idx="0">
                  <c:v>29%</c:v>
                </c:pt>
                <c:pt idx="1">
                  <c:v>63%</c:v>
                </c:pt>
                <c:pt idx="2">
                  <c:v>21%</c:v>
                </c:pt>
                <c:pt idx="3">
                  <c:v>100%</c:v>
                </c:pt>
                <c:pt idx="4">
                  <c:v>13%</c:v>
                </c:pt>
                <c:pt idx="5">
                  <c:v>0%</c:v>
                </c:pt>
                <c:pt idx="6">
                  <c:v>58%</c:v>
                </c:pt>
                <c:pt idx="7">
                  <c:v>100%</c:v>
                </c:pt>
                <c:pt idx="8">
                  <c:v>33%</c:v>
                </c:pt>
                <c:pt idx="9">
                  <c:v>0%</c:v>
                </c:pt>
                <c:pt idx="10">
                  <c:v>54%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67%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'17'!$AD$6:$AD$22</c:f>
              <c:numCache>
                <c:formatCode>0%</c:formatCode>
                <c:ptCount val="17"/>
                <c:pt idx="0">
                  <c:v>0.29166666666666669</c:v>
                </c:pt>
                <c:pt idx="1">
                  <c:v>0.625</c:v>
                </c:pt>
                <c:pt idx="2">
                  <c:v>0.20833333333333334</c:v>
                </c:pt>
                <c:pt idx="3">
                  <c:v>1</c:v>
                </c:pt>
                <c:pt idx="4">
                  <c:v>0.125</c:v>
                </c:pt>
                <c:pt idx="5">
                  <c:v>0</c:v>
                </c:pt>
                <c:pt idx="6">
                  <c:v>0.58333333333333337</c:v>
                </c:pt>
                <c:pt idx="7">
                  <c:v>1</c:v>
                </c:pt>
                <c:pt idx="8">
                  <c:v>0.33333333333333331</c:v>
                </c:pt>
                <c:pt idx="9">
                  <c:v>0</c:v>
                </c:pt>
                <c:pt idx="10">
                  <c:v>0.54166666666666663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0.66666666666666663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9-4889-A982-4E159F1A8E5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A9-4889-A982-4E159F1A8E5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'17'!$D$6:$D$22</c:f>
              <c:strCache>
                <c:ptCount val="16"/>
                <c:pt idx="0">
                  <c:v>ADAPTER</c:v>
                </c:pt>
                <c:pt idx="1">
                  <c:v>F/ADAPTER</c:v>
                </c:pt>
                <c:pt idx="2">
                  <c:v>ADAPTER</c:v>
                </c:pt>
                <c:pt idx="3">
                  <c:v>LEAD GUIDE</c:v>
                </c:pt>
                <c:pt idx="4">
                  <c:v>LEAD GUIDE</c:v>
                </c:pt>
                <c:pt idx="5">
                  <c:v>STOPPER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'17'!$AE$6:$AE$22</c:f>
              <c:numCache>
                <c:formatCode>0%</c:formatCode>
                <c:ptCount val="17"/>
                <c:pt idx="0">
                  <c:v>0.41176470588235298</c:v>
                </c:pt>
                <c:pt idx="1">
                  <c:v>0.41176470588235298</c:v>
                </c:pt>
                <c:pt idx="2">
                  <c:v>0.41176470588235298</c:v>
                </c:pt>
                <c:pt idx="3">
                  <c:v>0.41176470588235298</c:v>
                </c:pt>
                <c:pt idx="4">
                  <c:v>0.41176470588235298</c:v>
                </c:pt>
                <c:pt idx="5">
                  <c:v>0.41176470588235298</c:v>
                </c:pt>
                <c:pt idx="6">
                  <c:v>0.41176470588235298</c:v>
                </c:pt>
                <c:pt idx="7">
                  <c:v>0.41176470588235298</c:v>
                </c:pt>
                <c:pt idx="8">
                  <c:v>0.41176470588235298</c:v>
                </c:pt>
                <c:pt idx="9">
                  <c:v>0.41176470588235298</c:v>
                </c:pt>
                <c:pt idx="10">
                  <c:v>0.41176470588235298</c:v>
                </c:pt>
                <c:pt idx="11">
                  <c:v>0.41176470588235298</c:v>
                </c:pt>
                <c:pt idx="12">
                  <c:v>0.41176470588235298</c:v>
                </c:pt>
                <c:pt idx="13">
                  <c:v>0.41176470588235298</c:v>
                </c:pt>
                <c:pt idx="14">
                  <c:v>0.41176470588235298</c:v>
                </c:pt>
                <c:pt idx="15">
                  <c:v>0.41176470588235298</c:v>
                </c:pt>
                <c:pt idx="16">
                  <c:v>0.41176470588235298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A9-4889-A982-4E159F1A8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E48-4AFF-9723-6093CB11F2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8-4AFF-9723-6093CB11F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E48-4AFF-9723-6093CB11F2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48-4AFF-9723-6093CB11F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'18'!$L$6:$L$22</c:f>
              <c:numCache>
                <c:formatCode>_(* #,##0_);_(* \(#,##0\);_(* "-"_);_(@_)</c:formatCode>
                <c:ptCount val="17"/>
                <c:pt idx="2">
                  <c:v>24256</c:v>
                </c:pt>
                <c:pt idx="3">
                  <c:v>30616</c:v>
                </c:pt>
                <c:pt idx="4">
                  <c:v>10656</c:v>
                </c:pt>
                <c:pt idx="5">
                  <c:v>1050</c:v>
                </c:pt>
                <c:pt idx="6">
                  <c:v>3718</c:v>
                </c:pt>
                <c:pt idx="7">
                  <c:v>10382</c:v>
                </c:pt>
                <c:pt idx="8">
                  <c:v>4942</c:v>
                </c:pt>
                <c:pt idx="10">
                  <c:v>13572</c:v>
                </c:pt>
                <c:pt idx="12">
                  <c:v>6271</c:v>
                </c:pt>
                <c:pt idx="13">
                  <c:v>5350</c:v>
                </c:pt>
                <c:pt idx="14">
                  <c:v>2190</c:v>
                </c:pt>
                <c:pt idx="15">
                  <c:v>12588</c:v>
                </c:pt>
                <c:pt idx="16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B6-4011-80DD-DCC91AF9F139}"/>
            </c:ext>
          </c:extLst>
        </c:ser>
        <c:ser>
          <c:idx val="1"/>
          <c:order val="1"/>
          <c:tx>
            <c:v>계획</c:v>
          </c:tx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'18'!$J$6:$J$22</c:f>
              <c:numCache>
                <c:formatCode>_(* #,##0_);_(* \(#,##0\);_(* "-"_);_(@_)</c:formatCode>
                <c:ptCount val="17"/>
                <c:pt idx="0">
                  <c:v>3238</c:v>
                </c:pt>
                <c:pt idx="1">
                  <c:v>2392</c:v>
                </c:pt>
                <c:pt idx="2">
                  <c:v>24256</c:v>
                </c:pt>
                <c:pt idx="3">
                  <c:v>30616</c:v>
                </c:pt>
                <c:pt idx="4">
                  <c:v>10656</c:v>
                </c:pt>
                <c:pt idx="5">
                  <c:v>1050</c:v>
                </c:pt>
                <c:pt idx="6">
                  <c:v>3718</c:v>
                </c:pt>
                <c:pt idx="7">
                  <c:v>10382</c:v>
                </c:pt>
                <c:pt idx="8">
                  <c:v>4942</c:v>
                </c:pt>
                <c:pt idx="9">
                  <c:v>329</c:v>
                </c:pt>
                <c:pt idx="10">
                  <c:v>13572</c:v>
                </c:pt>
                <c:pt idx="11">
                  <c:v>495</c:v>
                </c:pt>
                <c:pt idx="12">
                  <c:v>6271</c:v>
                </c:pt>
                <c:pt idx="13">
                  <c:v>5350</c:v>
                </c:pt>
                <c:pt idx="14">
                  <c:v>2190</c:v>
                </c:pt>
                <c:pt idx="15">
                  <c:v>12588</c:v>
                </c:pt>
                <c:pt idx="16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B6-4011-80DD-DCC91AF9F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13%</c:v>
                </c:pt>
                <c:pt idx="4">
                  <c:v>92%</c:v>
                </c:pt>
                <c:pt idx="5">
                  <c:v>21%</c:v>
                </c:pt>
                <c:pt idx="6">
                  <c:v>71%</c:v>
                </c:pt>
                <c:pt idx="7">
                  <c:v>100%</c:v>
                </c:pt>
                <c:pt idx="8">
                  <c:v>58%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96%</c:v>
                </c:pt>
                <c:pt idx="14">
                  <c:v>42%</c:v>
                </c:pt>
                <c:pt idx="15">
                  <c:v>100%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0.125</c:v>
                </c:pt>
                <c:pt idx="4">
                  <c:v>0.91666666666666663</c:v>
                </c:pt>
                <c:pt idx="5">
                  <c:v>0.20833333333333334</c:v>
                </c:pt>
                <c:pt idx="6">
                  <c:v>0.70833333333333337</c:v>
                </c:pt>
                <c:pt idx="7">
                  <c:v>1</c:v>
                </c:pt>
                <c:pt idx="8">
                  <c:v>0.58333333333333337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0.95833333333333337</c:v>
                </c:pt>
                <c:pt idx="14">
                  <c:v>0.41666666666666669</c:v>
                </c:pt>
                <c:pt idx="15">
                  <c:v>1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F-468B-8401-567FEC0D3B5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4F-468B-8401-567FEC0D3B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'18'!$AE$6:$AE$22</c:f>
              <c:numCache>
                <c:formatCode>0%</c:formatCode>
                <c:ptCount val="17"/>
                <c:pt idx="0">
                  <c:v>0.56127450980392168</c:v>
                </c:pt>
                <c:pt idx="1">
                  <c:v>0.56127450980392168</c:v>
                </c:pt>
                <c:pt idx="2">
                  <c:v>0.56127450980392168</c:v>
                </c:pt>
                <c:pt idx="3">
                  <c:v>0.56127450980392168</c:v>
                </c:pt>
                <c:pt idx="4">
                  <c:v>0.56127450980392168</c:v>
                </c:pt>
                <c:pt idx="5">
                  <c:v>0.56127450980392168</c:v>
                </c:pt>
                <c:pt idx="6">
                  <c:v>0.56127450980392168</c:v>
                </c:pt>
                <c:pt idx="7">
                  <c:v>0.56127450980392168</c:v>
                </c:pt>
                <c:pt idx="8">
                  <c:v>0.56127450980392168</c:v>
                </c:pt>
                <c:pt idx="9">
                  <c:v>0.56127450980392168</c:v>
                </c:pt>
                <c:pt idx="10">
                  <c:v>0.56127450980392168</c:v>
                </c:pt>
                <c:pt idx="11">
                  <c:v>0.56127450980392168</c:v>
                </c:pt>
                <c:pt idx="12">
                  <c:v>0.56127450980392168</c:v>
                </c:pt>
                <c:pt idx="13">
                  <c:v>0.56127450980392168</c:v>
                </c:pt>
                <c:pt idx="14">
                  <c:v>0.56127450980392168</c:v>
                </c:pt>
                <c:pt idx="15">
                  <c:v>0.56127450980392168</c:v>
                </c:pt>
                <c:pt idx="16">
                  <c:v>0.56127450980392168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4F-468B-8401-567FEC0D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'18'!$L$6:$L$22</c:f>
              <c:numCache>
                <c:formatCode>_(* #,##0_);_(* \(#,##0\);_(* "-"_);_(@_)</c:formatCode>
                <c:ptCount val="17"/>
                <c:pt idx="2">
                  <c:v>24256</c:v>
                </c:pt>
                <c:pt idx="3">
                  <c:v>30616</c:v>
                </c:pt>
                <c:pt idx="4">
                  <c:v>10656</c:v>
                </c:pt>
                <c:pt idx="5">
                  <c:v>1050</c:v>
                </c:pt>
                <c:pt idx="6">
                  <c:v>3718</c:v>
                </c:pt>
                <c:pt idx="7">
                  <c:v>10382</c:v>
                </c:pt>
                <c:pt idx="8">
                  <c:v>4942</c:v>
                </c:pt>
                <c:pt idx="10">
                  <c:v>13572</c:v>
                </c:pt>
                <c:pt idx="12">
                  <c:v>6271</c:v>
                </c:pt>
                <c:pt idx="13">
                  <c:v>5350</c:v>
                </c:pt>
                <c:pt idx="14">
                  <c:v>2190</c:v>
                </c:pt>
                <c:pt idx="15">
                  <c:v>12588</c:v>
                </c:pt>
                <c:pt idx="16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F-469B-964C-FEC917A3DF1E}"/>
            </c:ext>
          </c:extLst>
        </c:ser>
        <c:ser>
          <c:idx val="1"/>
          <c:order val="1"/>
          <c:tx>
            <c:v>계획</c:v>
          </c:tx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'18'!$J$6:$J$22</c:f>
              <c:numCache>
                <c:formatCode>_(* #,##0_);_(* \(#,##0\);_(* "-"_);_(@_)</c:formatCode>
                <c:ptCount val="17"/>
                <c:pt idx="0">
                  <c:v>3238</c:v>
                </c:pt>
                <c:pt idx="1">
                  <c:v>2392</c:v>
                </c:pt>
                <c:pt idx="2">
                  <c:v>24256</c:v>
                </c:pt>
                <c:pt idx="3">
                  <c:v>30616</c:v>
                </c:pt>
                <c:pt idx="4">
                  <c:v>10656</c:v>
                </c:pt>
                <c:pt idx="5">
                  <c:v>1050</c:v>
                </c:pt>
                <c:pt idx="6">
                  <c:v>3718</c:v>
                </c:pt>
                <c:pt idx="7">
                  <c:v>10382</c:v>
                </c:pt>
                <c:pt idx="8">
                  <c:v>4942</c:v>
                </c:pt>
                <c:pt idx="9">
                  <c:v>329</c:v>
                </c:pt>
                <c:pt idx="10">
                  <c:v>13572</c:v>
                </c:pt>
                <c:pt idx="11">
                  <c:v>495</c:v>
                </c:pt>
                <c:pt idx="12">
                  <c:v>6271</c:v>
                </c:pt>
                <c:pt idx="13">
                  <c:v>5350</c:v>
                </c:pt>
                <c:pt idx="14">
                  <c:v>2190</c:v>
                </c:pt>
                <c:pt idx="15">
                  <c:v>12588</c:v>
                </c:pt>
                <c:pt idx="16">
                  <c:v>37244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F-469B-964C-FEC917A3D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13%</c:v>
                </c:pt>
                <c:pt idx="4">
                  <c:v>92%</c:v>
                </c:pt>
                <c:pt idx="5">
                  <c:v>21%</c:v>
                </c:pt>
                <c:pt idx="6">
                  <c:v>71%</c:v>
                </c:pt>
                <c:pt idx="7">
                  <c:v>100%</c:v>
                </c:pt>
                <c:pt idx="8">
                  <c:v>58%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96%</c:v>
                </c:pt>
                <c:pt idx="14">
                  <c:v>42%</c:v>
                </c:pt>
                <c:pt idx="15">
                  <c:v>100%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0.125</c:v>
                </c:pt>
                <c:pt idx="4">
                  <c:v>0.91666666666666663</c:v>
                </c:pt>
                <c:pt idx="5">
                  <c:v>0.20833333333333334</c:v>
                </c:pt>
                <c:pt idx="6">
                  <c:v>0.70833333333333337</c:v>
                </c:pt>
                <c:pt idx="7">
                  <c:v>1</c:v>
                </c:pt>
                <c:pt idx="8">
                  <c:v>0.58333333333333337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0.95833333333333337</c:v>
                </c:pt>
                <c:pt idx="14">
                  <c:v>0.41666666666666669</c:v>
                </c:pt>
                <c:pt idx="15">
                  <c:v>1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9-4FDB-9729-4A86FDCF07C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C9-4FDB-9729-4A86FDCF07C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5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BASE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'18'!$AE$6:$AE$22</c:f>
              <c:numCache>
                <c:formatCode>0%</c:formatCode>
                <c:ptCount val="17"/>
                <c:pt idx="0">
                  <c:v>0.56127450980392168</c:v>
                </c:pt>
                <c:pt idx="1">
                  <c:v>0.56127450980392168</c:v>
                </c:pt>
                <c:pt idx="2">
                  <c:v>0.56127450980392168</c:v>
                </c:pt>
                <c:pt idx="3">
                  <c:v>0.56127450980392168</c:v>
                </c:pt>
                <c:pt idx="4">
                  <c:v>0.56127450980392168</c:v>
                </c:pt>
                <c:pt idx="5">
                  <c:v>0.56127450980392168</c:v>
                </c:pt>
                <c:pt idx="6">
                  <c:v>0.56127450980392168</c:v>
                </c:pt>
                <c:pt idx="7">
                  <c:v>0.56127450980392168</c:v>
                </c:pt>
                <c:pt idx="8">
                  <c:v>0.56127450980392168</c:v>
                </c:pt>
                <c:pt idx="9">
                  <c:v>0.56127450980392168</c:v>
                </c:pt>
                <c:pt idx="10">
                  <c:v>0.56127450980392168</c:v>
                </c:pt>
                <c:pt idx="11">
                  <c:v>0.56127450980392168</c:v>
                </c:pt>
                <c:pt idx="12">
                  <c:v>0.56127450980392168</c:v>
                </c:pt>
                <c:pt idx="13">
                  <c:v>0.56127450980392168</c:v>
                </c:pt>
                <c:pt idx="14">
                  <c:v>0.56127450980392168</c:v>
                </c:pt>
                <c:pt idx="15">
                  <c:v>0.56127450980392168</c:v>
                </c:pt>
                <c:pt idx="16">
                  <c:v>0.56127450980392168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C9-4FDB-9729-4A86FDCF0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C93-42F9-B463-7D7ABC67D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3-42F9-B463-7D7ABC67D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C93-42F9-B463-7D7ABC67DB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93-42F9-B463-7D7ABC67D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2">
                  <c:v>11504</c:v>
                </c:pt>
                <c:pt idx="3">
                  <c:v>32552</c:v>
                </c:pt>
                <c:pt idx="4">
                  <c:v>12702</c:v>
                </c:pt>
                <c:pt idx="5">
                  <c:v>4981</c:v>
                </c:pt>
                <c:pt idx="6">
                  <c:v>810</c:v>
                </c:pt>
                <c:pt idx="7">
                  <c:v>8464</c:v>
                </c:pt>
                <c:pt idx="11">
                  <c:v>6048</c:v>
                </c:pt>
                <c:pt idx="12">
                  <c:v>3675</c:v>
                </c:pt>
                <c:pt idx="13">
                  <c:v>1160</c:v>
                </c:pt>
                <c:pt idx="14">
                  <c:v>2150</c:v>
                </c:pt>
                <c:pt idx="15">
                  <c:v>12484</c:v>
                </c:pt>
                <c:pt idx="16">
                  <c:v>33716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5-421C-AD6E-1637D6E9770C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3238</c:v>
                </c:pt>
                <c:pt idx="1">
                  <c:v>2392</c:v>
                </c:pt>
                <c:pt idx="2">
                  <c:v>11504</c:v>
                </c:pt>
                <c:pt idx="3">
                  <c:v>32552</c:v>
                </c:pt>
                <c:pt idx="4">
                  <c:v>12702</c:v>
                </c:pt>
                <c:pt idx="5">
                  <c:v>4981</c:v>
                </c:pt>
                <c:pt idx="6">
                  <c:v>810</c:v>
                </c:pt>
                <c:pt idx="7">
                  <c:v>8464</c:v>
                </c:pt>
                <c:pt idx="8">
                  <c:v>329</c:v>
                </c:pt>
                <c:pt idx="9">
                  <c:v>13572</c:v>
                </c:pt>
                <c:pt idx="10">
                  <c:v>495</c:v>
                </c:pt>
                <c:pt idx="11">
                  <c:v>6048</c:v>
                </c:pt>
                <c:pt idx="12">
                  <c:v>3675</c:v>
                </c:pt>
                <c:pt idx="13">
                  <c:v>1160</c:v>
                </c:pt>
                <c:pt idx="14">
                  <c:v>2150</c:v>
                </c:pt>
                <c:pt idx="15">
                  <c:v>12484</c:v>
                </c:pt>
                <c:pt idx="16">
                  <c:v>33716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5-421C-AD6E-1637D6E97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13%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63%</c:v>
                </c:pt>
                <c:pt idx="13">
                  <c:v>17%</c:v>
                </c:pt>
                <c:pt idx="14">
                  <c:v>42%</c:v>
                </c:pt>
                <c:pt idx="15">
                  <c:v>100%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0.125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0.625</c:v>
                </c:pt>
                <c:pt idx="13">
                  <c:v>0.16666666666666666</c:v>
                </c:pt>
                <c:pt idx="14">
                  <c:v>0.41666666666666669</c:v>
                </c:pt>
                <c:pt idx="15">
                  <c:v>1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9-41A3-B193-9D024AEE36D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D9-41A3-B193-9D024AEE36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0.49019607843137258</c:v>
                </c:pt>
                <c:pt idx="1">
                  <c:v>0.49019607843137258</c:v>
                </c:pt>
                <c:pt idx="2">
                  <c:v>0.49019607843137258</c:v>
                </c:pt>
                <c:pt idx="3">
                  <c:v>0.49019607843137258</c:v>
                </c:pt>
                <c:pt idx="4">
                  <c:v>0.49019607843137258</c:v>
                </c:pt>
                <c:pt idx="5">
                  <c:v>0.49019607843137258</c:v>
                </c:pt>
                <c:pt idx="6">
                  <c:v>0.49019607843137258</c:v>
                </c:pt>
                <c:pt idx="7">
                  <c:v>0.49019607843137258</c:v>
                </c:pt>
                <c:pt idx="8">
                  <c:v>0.49019607843137258</c:v>
                </c:pt>
                <c:pt idx="9">
                  <c:v>0.49019607843137258</c:v>
                </c:pt>
                <c:pt idx="10">
                  <c:v>0.49019607843137258</c:v>
                </c:pt>
                <c:pt idx="11">
                  <c:v>0.49019607843137258</c:v>
                </c:pt>
                <c:pt idx="12">
                  <c:v>0.49019607843137258</c:v>
                </c:pt>
                <c:pt idx="13">
                  <c:v>0.49019607843137258</c:v>
                </c:pt>
                <c:pt idx="14">
                  <c:v>0.49019607843137258</c:v>
                </c:pt>
                <c:pt idx="15">
                  <c:v>0.49019607843137258</c:v>
                </c:pt>
                <c:pt idx="16">
                  <c:v>0.49019607843137258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D9-41A3-B193-9D024AEE3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'19'!$L$6:$L$22</c:f>
              <c:numCache>
                <c:formatCode>_(* #,##0_);_(* \(#,##0\);_(* "-"_);_(@_)</c:formatCode>
                <c:ptCount val="17"/>
                <c:pt idx="2">
                  <c:v>11504</c:v>
                </c:pt>
                <c:pt idx="3">
                  <c:v>32552</c:v>
                </c:pt>
                <c:pt idx="4">
                  <c:v>12702</c:v>
                </c:pt>
                <c:pt idx="5">
                  <c:v>4981</c:v>
                </c:pt>
                <c:pt idx="6">
                  <c:v>810</c:v>
                </c:pt>
                <c:pt idx="7">
                  <c:v>8464</c:v>
                </c:pt>
                <c:pt idx="11">
                  <c:v>6048</c:v>
                </c:pt>
                <c:pt idx="12">
                  <c:v>3675</c:v>
                </c:pt>
                <c:pt idx="13">
                  <c:v>1160</c:v>
                </c:pt>
                <c:pt idx="14">
                  <c:v>2150</c:v>
                </c:pt>
                <c:pt idx="15">
                  <c:v>12484</c:v>
                </c:pt>
                <c:pt idx="16">
                  <c:v>33716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9-4C34-8D4D-67B16389F7F7}"/>
            </c:ext>
          </c:extLst>
        </c:ser>
        <c:ser>
          <c:idx val="1"/>
          <c:order val="1"/>
          <c:tx>
            <c:v>계획</c:v>
          </c:tx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'19'!$J$6:$J$22</c:f>
              <c:numCache>
                <c:formatCode>_(* #,##0_);_(* \(#,##0\);_(* "-"_);_(@_)</c:formatCode>
                <c:ptCount val="17"/>
                <c:pt idx="0">
                  <c:v>3238</c:v>
                </c:pt>
                <c:pt idx="1">
                  <c:v>2392</c:v>
                </c:pt>
                <c:pt idx="2">
                  <c:v>11504</c:v>
                </c:pt>
                <c:pt idx="3">
                  <c:v>32552</c:v>
                </c:pt>
                <c:pt idx="4">
                  <c:v>12702</c:v>
                </c:pt>
                <c:pt idx="5">
                  <c:v>4981</c:v>
                </c:pt>
                <c:pt idx="6">
                  <c:v>810</c:v>
                </c:pt>
                <c:pt idx="7">
                  <c:v>8464</c:v>
                </c:pt>
                <c:pt idx="8">
                  <c:v>329</c:v>
                </c:pt>
                <c:pt idx="9">
                  <c:v>13572</c:v>
                </c:pt>
                <c:pt idx="10">
                  <c:v>495</c:v>
                </c:pt>
                <c:pt idx="11">
                  <c:v>6048</c:v>
                </c:pt>
                <c:pt idx="12">
                  <c:v>3675</c:v>
                </c:pt>
                <c:pt idx="13">
                  <c:v>1160</c:v>
                </c:pt>
                <c:pt idx="14">
                  <c:v>2150</c:v>
                </c:pt>
                <c:pt idx="15">
                  <c:v>12484</c:v>
                </c:pt>
                <c:pt idx="16">
                  <c:v>33716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9-4C34-8D4D-67B16389F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13%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63%</c:v>
                </c:pt>
                <c:pt idx="13">
                  <c:v>17%</c:v>
                </c:pt>
                <c:pt idx="14">
                  <c:v>42%</c:v>
                </c:pt>
                <c:pt idx="15">
                  <c:v>100%</c:v>
                </c:pt>
                <c:pt idx="16">
                  <c:v>63%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0.125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0.625</c:v>
                </c:pt>
                <c:pt idx="13">
                  <c:v>0.16666666666666666</c:v>
                </c:pt>
                <c:pt idx="14">
                  <c:v>0.41666666666666669</c:v>
                </c:pt>
                <c:pt idx="15">
                  <c:v>1</c:v>
                </c:pt>
                <c:pt idx="16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4-4735-8057-C2A77DA21F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D4-4735-8057-C2A77DA21F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'19'!$D$6:$D$22</c:f>
              <c:strCache>
                <c:ptCount val="16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ACTUATOR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BASE</c:v>
                </c:pt>
                <c:pt idx="14">
                  <c:v>PLUNGER</c:v>
                </c:pt>
                <c:pt idx="15">
                  <c:v>BASE</c:v>
                </c:pt>
              </c:strCache>
            </c:strRef>
          </c:cat>
          <c:val>
            <c:numRef>
              <c:f>'19'!$AE$6:$AE$22</c:f>
              <c:numCache>
                <c:formatCode>0%</c:formatCode>
                <c:ptCount val="17"/>
                <c:pt idx="0">
                  <c:v>0.49019607843137258</c:v>
                </c:pt>
                <c:pt idx="1">
                  <c:v>0.49019607843137258</c:v>
                </c:pt>
                <c:pt idx="2">
                  <c:v>0.49019607843137258</c:v>
                </c:pt>
                <c:pt idx="3">
                  <c:v>0.49019607843137258</c:v>
                </c:pt>
                <c:pt idx="4">
                  <c:v>0.49019607843137258</c:v>
                </c:pt>
                <c:pt idx="5">
                  <c:v>0.49019607843137258</c:v>
                </c:pt>
                <c:pt idx="6">
                  <c:v>0.49019607843137258</c:v>
                </c:pt>
                <c:pt idx="7">
                  <c:v>0.49019607843137258</c:v>
                </c:pt>
                <c:pt idx="8">
                  <c:v>0.49019607843137258</c:v>
                </c:pt>
                <c:pt idx="9">
                  <c:v>0.49019607843137258</c:v>
                </c:pt>
                <c:pt idx="10">
                  <c:v>0.49019607843137258</c:v>
                </c:pt>
                <c:pt idx="11">
                  <c:v>0.49019607843137258</c:v>
                </c:pt>
                <c:pt idx="12">
                  <c:v>0.49019607843137258</c:v>
                </c:pt>
                <c:pt idx="13">
                  <c:v>0.49019607843137258</c:v>
                </c:pt>
                <c:pt idx="14">
                  <c:v>0.49019607843137258</c:v>
                </c:pt>
                <c:pt idx="15">
                  <c:v>0.49019607843137258</c:v>
                </c:pt>
                <c:pt idx="16">
                  <c:v>0.49019607843137258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D4-4735-8057-C2A77DA21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730-4E1B-A569-44872DB6EC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0-4E1B-A569-44872DB6E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730-4E1B-A569-44872DB6EC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30-4E1B-A569-44872DB6E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1">
                  <c:v>1216</c:v>
                </c:pt>
                <c:pt idx="2">
                  <c:v>24084</c:v>
                </c:pt>
                <c:pt idx="3">
                  <c:v>31496</c:v>
                </c:pt>
                <c:pt idx="4">
                  <c:v>12812</c:v>
                </c:pt>
                <c:pt idx="5">
                  <c:v>5013</c:v>
                </c:pt>
                <c:pt idx="7">
                  <c:v>12186</c:v>
                </c:pt>
                <c:pt idx="11">
                  <c:v>5995</c:v>
                </c:pt>
                <c:pt idx="12">
                  <c:v>3702</c:v>
                </c:pt>
                <c:pt idx="13">
                  <c:v>5025</c:v>
                </c:pt>
                <c:pt idx="14">
                  <c:v>12546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F-4541-B70C-FD914E040C86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3238</c:v>
                </c:pt>
                <c:pt idx="1">
                  <c:v>1216</c:v>
                </c:pt>
                <c:pt idx="2">
                  <c:v>24084</c:v>
                </c:pt>
                <c:pt idx="3">
                  <c:v>31496</c:v>
                </c:pt>
                <c:pt idx="4">
                  <c:v>12812</c:v>
                </c:pt>
                <c:pt idx="5">
                  <c:v>5013</c:v>
                </c:pt>
                <c:pt idx="6">
                  <c:v>810</c:v>
                </c:pt>
                <c:pt idx="7">
                  <c:v>12186</c:v>
                </c:pt>
                <c:pt idx="8">
                  <c:v>329</c:v>
                </c:pt>
                <c:pt idx="9">
                  <c:v>13572</c:v>
                </c:pt>
                <c:pt idx="10">
                  <c:v>495</c:v>
                </c:pt>
                <c:pt idx="11">
                  <c:v>5995</c:v>
                </c:pt>
                <c:pt idx="12">
                  <c:v>3702</c:v>
                </c:pt>
                <c:pt idx="13">
                  <c:v>5025</c:v>
                </c:pt>
                <c:pt idx="14">
                  <c:v>12546</c:v>
                </c:pt>
                <c:pt idx="15">
                  <c:v>33716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F-4541-B70C-FD914E040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17%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75%</c:v>
                </c:pt>
                <c:pt idx="13">
                  <c:v>96%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0.16666666666666666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0.75</c:v>
                </c:pt>
                <c:pt idx="13">
                  <c:v>0.95833333333333337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8-4E4E-AAFC-672277D78BB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08-4E4E-AAFC-672277D78BB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0.55208333333333326</c:v>
                </c:pt>
                <c:pt idx="1">
                  <c:v>0.55208333333333326</c:v>
                </c:pt>
                <c:pt idx="2">
                  <c:v>0.55208333333333326</c:v>
                </c:pt>
                <c:pt idx="3">
                  <c:v>0.55208333333333326</c:v>
                </c:pt>
                <c:pt idx="4">
                  <c:v>0.55208333333333326</c:v>
                </c:pt>
                <c:pt idx="5">
                  <c:v>0.55208333333333326</c:v>
                </c:pt>
                <c:pt idx="6">
                  <c:v>0.55208333333333326</c:v>
                </c:pt>
                <c:pt idx="7">
                  <c:v>0.55208333333333326</c:v>
                </c:pt>
                <c:pt idx="8">
                  <c:v>0.55208333333333326</c:v>
                </c:pt>
                <c:pt idx="9">
                  <c:v>0.55208333333333326</c:v>
                </c:pt>
                <c:pt idx="10">
                  <c:v>0.55208333333333326</c:v>
                </c:pt>
                <c:pt idx="11">
                  <c:v>0.55208333333333326</c:v>
                </c:pt>
                <c:pt idx="12">
                  <c:v>0.55208333333333326</c:v>
                </c:pt>
                <c:pt idx="13">
                  <c:v>0.55208333333333326</c:v>
                </c:pt>
                <c:pt idx="14">
                  <c:v>0.55208333333333326</c:v>
                </c:pt>
                <c:pt idx="15">
                  <c:v>0.55208333333333326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08-4E4E-AAFC-672277D78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1">
                  <c:v>1216</c:v>
                </c:pt>
                <c:pt idx="2">
                  <c:v>24084</c:v>
                </c:pt>
                <c:pt idx="3">
                  <c:v>31496</c:v>
                </c:pt>
                <c:pt idx="4">
                  <c:v>12812</c:v>
                </c:pt>
                <c:pt idx="5">
                  <c:v>5013</c:v>
                </c:pt>
                <c:pt idx="7">
                  <c:v>12186</c:v>
                </c:pt>
                <c:pt idx="11">
                  <c:v>5995</c:v>
                </c:pt>
                <c:pt idx="12">
                  <c:v>3702</c:v>
                </c:pt>
                <c:pt idx="13">
                  <c:v>5025</c:v>
                </c:pt>
                <c:pt idx="14">
                  <c:v>12546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4-46E4-B4A6-583F549296D2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3238</c:v>
                </c:pt>
                <c:pt idx="1">
                  <c:v>1216</c:v>
                </c:pt>
                <c:pt idx="2">
                  <c:v>24084</c:v>
                </c:pt>
                <c:pt idx="3">
                  <c:v>31496</c:v>
                </c:pt>
                <c:pt idx="4">
                  <c:v>12812</c:v>
                </c:pt>
                <c:pt idx="5">
                  <c:v>5013</c:v>
                </c:pt>
                <c:pt idx="6">
                  <c:v>810</c:v>
                </c:pt>
                <c:pt idx="7">
                  <c:v>12186</c:v>
                </c:pt>
                <c:pt idx="8">
                  <c:v>329</c:v>
                </c:pt>
                <c:pt idx="9">
                  <c:v>13572</c:v>
                </c:pt>
                <c:pt idx="10">
                  <c:v>495</c:v>
                </c:pt>
                <c:pt idx="11">
                  <c:v>5995</c:v>
                </c:pt>
                <c:pt idx="12">
                  <c:v>3702</c:v>
                </c:pt>
                <c:pt idx="13">
                  <c:v>5025</c:v>
                </c:pt>
                <c:pt idx="14">
                  <c:v>12546</c:v>
                </c:pt>
                <c:pt idx="15">
                  <c:v>33716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4-46E4-B4A6-583F54929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0%</c:v>
                </c:pt>
                <c:pt idx="1">
                  <c:v>17%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75%</c:v>
                </c:pt>
                <c:pt idx="13">
                  <c:v>96%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</c:v>
                </c:pt>
                <c:pt idx="1">
                  <c:v>0.16666666666666666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0.75</c:v>
                </c:pt>
                <c:pt idx="13">
                  <c:v>0.95833333333333337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4-4858-9DC5-8B8ED9F2C5A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24-4858-9DC5-8B8ED9F2C5A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9">
                  <c:v>BODY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0.55208333333333326</c:v>
                </c:pt>
                <c:pt idx="1">
                  <c:v>0.55208333333333326</c:v>
                </c:pt>
                <c:pt idx="2">
                  <c:v>0.55208333333333326</c:v>
                </c:pt>
                <c:pt idx="3">
                  <c:v>0.55208333333333326</c:v>
                </c:pt>
                <c:pt idx="4">
                  <c:v>0.55208333333333326</c:v>
                </c:pt>
                <c:pt idx="5">
                  <c:v>0.55208333333333326</c:v>
                </c:pt>
                <c:pt idx="6">
                  <c:v>0.55208333333333326</c:v>
                </c:pt>
                <c:pt idx="7">
                  <c:v>0.55208333333333326</c:v>
                </c:pt>
                <c:pt idx="8">
                  <c:v>0.55208333333333326</c:v>
                </c:pt>
                <c:pt idx="9">
                  <c:v>0.55208333333333326</c:v>
                </c:pt>
                <c:pt idx="10">
                  <c:v>0.55208333333333326</c:v>
                </c:pt>
                <c:pt idx="11">
                  <c:v>0.55208333333333326</c:v>
                </c:pt>
                <c:pt idx="12">
                  <c:v>0.55208333333333326</c:v>
                </c:pt>
                <c:pt idx="13">
                  <c:v>0.55208333333333326</c:v>
                </c:pt>
                <c:pt idx="14">
                  <c:v>0.55208333333333326</c:v>
                </c:pt>
                <c:pt idx="15">
                  <c:v>0.55208333333333326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24-4858-9DC5-8B8ED9F2C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3D7-4279-A31C-6C21B0D902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D7-4279-A31C-6C21B0D90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3D7-4279-A31C-6C21B0D902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D7-4279-A31C-6C21B0D90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2735</c:v>
                </c:pt>
                <c:pt idx="2">
                  <c:v>22712</c:v>
                </c:pt>
                <c:pt idx="3">
                  <c:v>28516</c:v>
                </c:pt>
                <c:pt idx="4">
                  <c:v>11772</c:v>
                </c:pt>
                <c:pt idx="5">
                  <c:v>2843</c:v>
                </c:pt>
                <c:pt idx="6">
                  <c:v>2093</c:v>
                </c:pt>
                <c:pt idx="7">
                  <c:v>4876</c:v>
                </c:pt>
                <c:pt idx="9">
                  <c:v>2236</c:v>
                </c:pt>
                <c:pt idx="11">
                  <c:v>5738</c:v>
                </c:pt>
                <c:pt idx="12">
                  <c:v>3973</c:v>
                </c:pt>
                <c:pt idx="13">
                  <c:v>4892</c:v>
                </c:pt>
                <c:pt idx="14">
                  <c:v>11476</c:v>
                </c:pt>
                <c:pt idx="15">
                  <c:v>33120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8-4D8A-ACB5-6202D7A2F775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2735</c:v>
                </c:pt>
                <c:pt idx="1">
                  <c:v>1216</c:v>
                </c:pt>
                <c:pt idx="2">
                  <c:v>22712</c:v>
                </c:pt>
                <c:pt idx="3">
                  <c:v>28516</c:v>
                </c:pt>
                <c:pt idx="4">
                  <c:v>11772</c:v>
                </c:pt>
                <c:pt idx="5">
                  <c:v>2843</c:v>
                </c:pt>
                <c:pt idx="6">
                  <c:v>2093</c:v>
                </c:pt>
                <c:pt idx="7">
                  <c:v>4876</c:v>
                </c:pt>
                <c:pt idx="8">
                  <c:v>329</c:v>
                </c:pt>
                <c:pt idx="9">
                  <c:v>2236</c:v>
                </c:pt>
                <c:pt idx="10">
                  <c:v>495</c:v>
                </c:pt>
                <c:pt idx="11">
                  <c:v>5738</c:v>
                </c:pt>
                <c:pt idx="12">
                  <c:v>3973</c:v>
                </c:pt>
                <c:pt idx="13">
                  <c:v>4892</c:v>
                </c:pt>
                <c:pt idx="14">
                  <c:v>11476</c:v>
                </c:pt>
                <c:pt idx="15">
                  <c:v>33120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88-4D8A-ACB5-6202D7A2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63%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63%</c:v>
                </c:pt>
                <c:pt idx="6">
                  <c:v>50%</c:v>
                </c:pt>
                <c:pt idx="7">
                  <c:v>50%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100%</c:v>
                </c:pt>
                <c:pt idx="12">
                  <c:v>67%</c:v>
                </c:pt>
                <c:pt idx="13">
                  <c:v>100%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0.625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0.625</c:v>
                </c:pt>
                <c:pt idx="6">
                  <c:v>0.5</c:v>
                </c:pt>
                <c:pt idx="7">
                  <c:v>0.5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1</c:v>
                </c:pt>
                <c:pt idx="12">
                  <c:v>0.66666666666666663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7-4E32-ADA9-CE48BAF66E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B7-4E32-ADA9-CE48BAF66E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0.61458333333333337</c:v>
                </c:pt>
                <c:pt idx="1">
                  <c:v>0.61458333333333337</c:v>
                </c:pt>
                <c:pt idx="2">
                  <c:v>0.61458333333333337</c:v>
                </c:pt>
                <c:pt idx="3">
                  <c:v>0.61458333333333337</c:v>
                </c:pt>
                <c:pt idx="4">
                  <c:v>0.61458333333333337</c:v>
                </c:pt>
                <c:pt idx="5">
                  <c:v>0.61458333333333337</c:v>
                </c:pt>
                <c:pt idx="6">
                  <c:v>0.61458333333333337</c:v>
                </c:pt>
                <c:pt idx="7">
                  <c:v>0.61458333333333337</c:v>
                </c:pt>
                <c:pt idx="8">
                  <c:v>0.61458333333333337</c:v>
                </c:pt>
                <c:pt idx="9">
                  <c:v>0.61458333333333337</c:v>
                </c:pt>
                <c:pt idx="10">
                  <c:v>0.61458333333333337</c:v>
                </c:pt>
                <c:pt idx="11">
                  <c:v>0.61458333333333337</c:v>
                </c:pt>
                <c:pt idx="12">
                  <c:v>0.61458333333333337</c:v>
                </c:pt>
                <c:pt idx="13">
                  <c:v>0.61458333333333337</c:v>
                </c:pt>
                <c:pt idx="14">
                  <c:v>0.61458333333333337</c:v>
                </c:pt>
                <c:pt idx="15">
                  <c:v>0.61458333333333337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B7-4E32-ADA9-CE48BAF66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2735</c:v>
                </c:pt>
                <c:pt idx="2">
                  <c:v>22712</c:v>
                </c:pt>
                <c:pt idx="3">
                  <c:v>28516</c:v>
                </c:pt>
                <c:pt idx="4">
                  <c:v>11772</c:v>
                </c:pt>
                <c:pt idx="5">
                  <c:v>2843</c:v>
                </c:pt>
                <c:pt idx="6">
                  <c:v>2093</c:v>
                </c:pt>
                <c:pt idx="7">
                  <c:v>4876</c:v>
                </c:pt>
                <c:pt idx="9">
                  <c:v>2236</c:v>
                </c:pt>
                <c:pt idx="11">
                  <c:v>5738</c:v>
                </c:pt>
                <c:pt idx="12">
                  <c:v>3973</c:v>
                </c:pt>
                <c:pt idx="13">
                  <c:v>4892</c:v>
                </c:pt>
                <c:pt idx="14">
                  <c:v>11476</c:v>
                </c:pt>
                <c:pt idx="15">
                  <c:v>33120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2-449A-829C-76AC36ADDDE4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2735</c:v>
                </c:pt>
                <c:pt idx="1">
                  <c:v>1216</c:v>
                </c:pt>
                <c:pt idx="2">
                  <c:v>22712</c:v>
                </c:pt>
                <c:pt idx="3">
                  <c:v>28516</c:v>
                </c:pt>
                <c:pt idx="4">
                  <c:v>11772</c:v>
                </c:pt>
                <c:pt idx="5">
                  <c:v>2843</c:v>
                </c:pt>
                <c:pt idx="6">
                  <c:v>2093</c:v>
                </c:pt>
                <c:pt idx="7">
                  <c:v>4876</c:v>
                </c:pt>
                <c:pt idx="8">
                  <c:v>329</c:v>
                </c:pt>
                <c:pt idx="9">
                  <c:v>2236</c:v>
                </c:pt>
                <c:pt idx="10">
                  <c:v>495</c:v>
                </c:pt>
                <c:pt idx="11">
                  <c:v>5738</c:v>
                </c:pt>
                <c:pt idx="12">
                  <c:v>3973</c:v>
                </c:pt>
                <c:pt idx="13">
                  <c:v>4892</c:v>
                </c:pt>
                <c:pt idx="14">
                  <c:v>11476</c:v>
                </c:pt>
                <c:pt idx="15">
                  <c:v>33120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52-449A-829C-76AC36ADD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63%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100%</c:v>
                </c:pt>
                <c:pt idx="5">
                  <c:v>63%</c:v>
                </c:pt>
                <c:pt idx="6">
                  <c:v>50%</c:v>
                </c:pt>
                <c:pt idx="7">
                  <c:v>50%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100%</c:v>
                </c:pt>
                <c:pt idx="12">
                  <c:v>67%</c:v>
                </c:pt>
                <c:pt idx="13">
                  <c:v>100%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0.625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1</c:v>
                </c:pt>
                <c:pt idx="5">
                  <c:v>0.625</c:v>
                </c:pt>
                <c:pt idx="6">
                  <c:v>0.5</c:v>
                </c:pt>
                <c:pt idx="7">
                  <c:v>0.5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1</c:v>
                </c:pt>
                <c:pt idx="12">
                  <c:v>0.66666666666666663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C-49CD-BB88-332119BF35D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FC-49CD-BB88-332119BF35D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6">
                  <c:v>LID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0.61458333333333337</c:v>
                </c:pt>
                <c:pt idx="1">
                  <c:v>0.61458333333333337</c:v>
                </c:pt>
                <c:pt idx="2">
                  <c:v>0.61458333333333337</c:v>
                </c:pt>
                <c:pt idx="3">
                  <c:v>0.61458333333333337</c:v>
                </c:pt>
                <c:pt idx="4">
                  <c:v>0.61458333333333337</c:v>
                </c:pt>
                <c:pt idx="5">
                  <c:v>0.61458333333333337</c:v>
                </c:pt>
                <c:pt idx="6">
                  <c:v>0.61458333333333337</c:v>
                </c:pt>
                <c:pt idx="7">
                  <c:v>0.61458333333333337</c:v>
                </c:pt>
                <c:pt idx="8">
                  <c:v>0.61458333333333337</c:v>
                </c:pt>
                <c:pt idx="9">
                  <c:v>0.61458333333333337</c:v>
                </c:pt>
                <c:pt idx="10">
                  <c:v>0.61458333333333337</c:v>
                </c:pt>
                <c:pt idx="11">
                  <c:v>0.61458333333333337</c:v>
                </c:pt>
                <c:pt idx="12">
                  <c:v>0.61458333333333337</c:v>
                </c:pt>
                <c:pt idx="13">
                  <c:v>0.61458333333333337</c:v>
                </c:pt>
                <c:pt idx="14">
                  <c:v>0.61458333333333337</c:v>
                </c:pt>
                <c:pt idx="15">
                  <c:v>0.61458333333333337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C-49CD-BB88-332119BF3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1D6-4207-89A8-F46C0A15BF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6-4207-89A8-F46C0A15B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1D6-4207-89A8-F46C0A15BFD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D6-4207-89A8-F46C0A15B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'23'!$L$6:$L$25</c:f>
              <c:numCache>
                <c:formatCode>_(* #,##0_);_(* \(#,##0\);_(* "-"_);_(@_)</c:formatCode>
                <c:ptCount val="20"/>
                <c:pt idx="0">
                  <c:v>3948</c:v>
                </c:pt>
                <c:pt idx="2">
                  <c:v>24032</c:v>
                </c:pt>
                <c:pt idx="3">
                  <c:v>35880</c:v>
                </c:pt>
                <c:pt idx="4">
                  <c:v>2262</c:v>
                </c:pt>
                <c:pt idx="5">
                  <c:v>19272</c:v>
                </c:pt>
                <c:pt idx="6">
                  <c:v>1837</c:v>
                </c:pt>
                <c:pt idx="7">
                  <c:v>480</c:v>
                </c:pt>
                <c:pt idx="8">
                  <c:v>480</c:v>
                </c:pt>
                <c:pt idx="9">
                  <c:v>12344</c:v>
                </c:pt>
                <c:pt idx="11">
                  <c:v>873</c:v>
                </c:pt>
                <c:pt idx="13">
                  <c:v>1943</c:v>
                </c:pt>
                <c:pt idx="14">
                  <c:v>556</c:v>
                </c:pt>
                <c:pt idx="15">
                  <c:v>1090</c:v>
                </c:pt>
                <c:pt idx="16">
                  <c:v>5342</c:v>
                </c:pt>
                <c:pt idx="17">
                  <c:v>1974</c:v>
                </c:pt>
                <c:pt idx="18">
                  <c:v>14284</c:v>
                </c:pt>
                <c:pt idx="19">
                  <c:v>36632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1-4FA9-B59E-7A8F4A2BBA9A}"/>
            </c:ext>
          </c:extLst>
        </c:ser>
        <c:ser>
          <c:idx val="1"/>
          <c:order val="1"/>
          <c:tx>
            <c:v>계획</c:v>
          </c:tx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'23'!$J$6:$J$25</c:f>
              <c:numCache>
                <c:formatCode>_(* #,##0_);_(* \(#,##0\);_(* "-"_);_(@_)</c:formatCode>
                <c:ptCount val="20"/>
                <c:pt idx="0">
                  <c:v>3948</c:v>
                </c:pt>
                <c:pt idx="1">
                  <c:v>1216</c:v>
                </c:pt>
                <c:pt idx="2">
                  <c:v>24032</c:v>
                </c:pt>
                <c:pt idx="3">
                  <c:v>35880</c:v>
                </c:pt>
                <c:pt idx="4">
                  <c:v>2262</c:v>
                </c:pt>
                <c:pt idx="5">
                  <c:v>19272</c:v>
                </c:pt>
                <c:pt idx="6">
                  <c:v>1837</c:v>
                </c:pt>
                <c:pt idx="7">
                  <c:v>480</c:v>
                </c:pt>
                <c:pt idx="8">
                  <c:v>480</c:v>
                </c:pt>
                <c:pt idx="9">
                  <c:v>12344</c:v>
                </c:pt>
                <c:pt idx="10">
                  <c:v>329</c:v>
                </c:pt>
                <c:pt idx="11">
                  <c:v>873</c:v>
                </c:pt>
                <c:pt idx="12">
                  <c:v>495</c:v>
                </c:pt>
                <c:pt idx="13">
                  <c:v>1943</c:v>
                </c:pt>
                <c:pt idx="14">
                  <c:v>556</c:v>
                </c:pt>
                <c:pt idx="15">
                  <c:v>1090</c:v>
                </c:pt>
                <c:pt idx="16">
                  <c:v>5342</c:v>
                </c:pt>
                <c:pt idx="17">
                  <c:v>1974</c:v>
                </c:pt>
                <c:pt idx="18">
                  <c:v>14284</c:v>
                </c:pt>
                <c:pt idx="19">
                  <c:v>36632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1-4FA9-B59E-7A8F4A2BB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'23'!$AD$6:$AD$25</c:f>
              <c:strCache>
                <c:ptCount val="20"/>
                <c:pt idx="0">
                  <c:v>79%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13%</c:v>
                </c:pt>
                <c:pt idx="5">
                  <c:v>83%</c:v>
                </c:pt>
                <c:pt idx="6">
                  <c:v>42%</c:v>
                </c:pt>
                <c:pt idx="7">
                  <c:v>17%</c:v>
                </c:pt>
                <c:pt idx="8">
                  <c:v>17%</c:v>
                </c:pt>
                <c:pt idx="9">
                  <c:v>100%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33%</c:v>
                </c:pt>
                <c:pt idx="14">
                  <c:v>17%</c:v>
                </c:pt>
                <c:pt idx="15">
                  <c:v>21%</c:v>
                </c:pt>
                <c:pt idx="16">
                  <c:v>100%</c:v>
                </c:pt>
                <c:pt idx="17">
                  <c:v>13%</c:v>
                </c:pt>
                <c:pt idx="18">
                  <c:v>79%</c:v>
                </c:pt>
                <c:pt idx="19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'23'!$AD$6:$AD$25</c:f>
              <c:numCache>
                <c:formatCode>0%</c:formatCode>
                <c:ptCount val="20"/>
                <c:pt idx="0">
                  <c:v>0.79166666666666663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0.125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1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0.33333333333333331</c:v>
                </c:pt>
                <c:pt idx="14">
                  <c:v>0.16666666666666666</c:v>
                </c:pt>
                <c:pt idx="15">
                  <c:v>0.20833333333333334</c:v>
                </c:pt>
                <c:pt idx="16">
                  <c:v>1</c:v>
                </c:pt>
                <c:pt idx="17">
                  <c:v>0.125</c:v>
                </c:pt>
                <c:pt idx="18">
                  <c:v>0.79166666666666663</c:v>
                </c:pt>
                <c:pt idx="19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C-4468-84A4-B37052D203F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4C-4468-84A4-B37052D203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'23'!$AE$6:$AE$25</c:f>
              <c:numCache>
                <c:formatCode>0%</c:formatCode>
                <c:ptCount val="20"/>
                <c:pt idx="0">
                  <c:v>0.44583333333333341</c:v>
                </c:pt>
                <c:pt idx="1">
                  <c:v>0.44583333333333341</c:v>
                </c:pt>
                <c:pt idx="2">
                  <c:v>0.44583333333333341</c:v>
                </c:pt>
                <c:pt idx="3">
                  <c:v>0.44583333333333341</c:v>
                </c:pt>
                <c:pt idx="4">
                  <c:v>0.44583333333333341</c:v>
                </c:pt>
                <c:pt idx="5">
                  <c:v>0.44583333333333341</c:v>
                </c:pt>
                <c:pt idx="6">
                  <c:v>0.44583333333333341</c:v>
                </c:pt>
                <c:pt idx="7">
                  <c:v>0.44583333333333341</c:v>
                </c:pt>
                <c:pt idx="8">
                  <c:v>0.44583333333333341</c:v>
                </c:pt>
                <c:pt idx="9">
                  <c:v>0.44583333333333341</c:v>
                </c:pt>
                <c:pt idx="10">
                  <c:v>0.44583333333333341</c:v>
                </c:pt>
                <c:pt idx="11">
                  <c:v>0.44583333333333341</c:v>
                </c:pt>
                <c:pt idx="12">
                  <c:v>0.44583333333333341</c:v>
                </c:pt>
                <c:pt idx="13">
                  <c:v>0.44583333333333341</c:v>
                </c:pt>
                <c:pt idx="14">
                  <c:v>0.44583333333333341</c:v>
                </c:pt>
                <c:pt idx="15">
                  <c:v>0.44583333333333341</c:v>
                </c:pt>
                <c:pt idx="16">
                  <c:v>0.44583333333333341</c:v>
                </c:pt>
                <c:pt idx="17">
                  <c:v>0.44583333333333341</c:v>
                </c:pt>
                <c:pt idx="18">
                  <c:v>0.44583333333333341</c:v>
                </c:pt>
                <c:pt idx="19">
                  <c:v>0.44583333333333341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4C-4468-84A4-B37052D20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'23'!$L$6:$L$25</c:f>
              <c:numCache>
                <c:formatCode>_(* #,##0_);_(* \(#,##0\);_(* "-"_);_(@_)</c:formatCode>
                <c:ptCount val="20"/>
                <c:pt idx="0">
                  <c:v>3948</c:v>
                </c:pt>
                <c:pt idx="2">
                  <c:v>24032</c:v>
                </c:pt>
                <c:pt idx="3">
                  <c:v>35880</c:v>
                </c:pt>
                <c:pt idx="4">
                  <c:v>2262</c:v>
                </c:pt>
                <c:pt idx="5">
                  <c:v>19272</c:v>
                </c:pt>
                <c:pt idx="6">
                  <c:v>1837</c:v>
                </c:pt>
                <c:pt idx="7">
                  <c:v>480</c:v>
                </c:pt>
                <c:pt idx="8">
                  <c:v>480</c:v>
                </c:pt>
                <c:pt idx="9">
                  <c:v>12344</c:v>
                </c:pt>
                <c:pt idx="11">
                  <c:v>873</c:v>
                </c:pt>
                <c:pt idx="13">
                  <c:v>1943</c:v>
                </c:pt>
                <c:pt idx="14">
                  <c:v>556</c:v>
                </c:pt>
                <c:pt idx="15">
                  <c:v>1090</c:v>
                </c:pt>
                <c:pt idx="16">
                  <c:v>5342</c:v>
                </c:pt>
                <c:pt idx="17">
                  <c:v>1974</c:v>
                </c:pt>
                <c:pt idx="18">
                  <c:v>14284</c:v>
                </c:pt>
                <c:pt idx="19">
                  <c:v>36632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A-40FF-A6D9-59C09B4967FE}"/>
            </c:ext>
          </c:extLst>
        </c:ser>
        <c:ser>
          <c:idx val="1"/>
          <c:order val="1"/>
          <c:tx>
            <c:v>계획</c:v>
          </c:tx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'23'!$J$6:$J$25</c:f>
              <c:numCache>
                <c:formatCode>_(* #,##0_);_(* \(#,##0\);_(* "-"_);_(@_)</c:formatCode>
                <c:ptCount val="20"/>
                <c:pt idx="0">
                  <c:v>3948</c:v>
                </c:pt>
                <c:pt idx="1">
                  <c:v>1216</c:v>
                </c:pt>
                <c:pt idx="2">
                  <c:v>24032</c:v>
                </c:pt>
                <c:pt idx="3">
                  <c:v>35880</c:v>
                </c:pt>
                <c:pt idx="4">
                  <c:v>2262</c:v>
                </c:pt>
                <c:pt idx="5">
                  <c:v>19272</c:v>
                </c:pt>
                <c:pt idx="6">
                  <c:v>1837</c:v>
                </c:pt>
                <c:pt idx="7">
                  <c:v>480</c:v>
                </c:pt>
                <c:pt idx="8">
                  <c:v>480</c:v>
                </c:pt>
                <c:pt idx="9">
                  <c:v>12344</c:v>
                </c:pt>
                <c:pt idx="10">
                  <c:v>329</c:v>
                </c:pt>
                <c:pt idx="11">
                  <c:v>873</c:v>
                </c:pt>
                <c:pt idx="12">
                  <c:v>495</c:v>
                </c:pt>
                <c:pt idx="13">
                  <c:v>1943</c:v>
                </c:pt>
                <c:pt idx="14">
                  <c:v>556</c:v>
                </c:pt>
                <c:pt idx="15">
                  <c:v>1090</c:v>
                </c:pt>
                <c:pt idx="16">
                  <c:v>5342</c:v>
                </c:pt>
                <c:pt idx="17">
                  <c:v>1974</c:v>
                </c:pt>
                <c:pt idx="18">
                  <c:v>14284</c:v>
                </c:pt>
                <c:pt idx="19">
                  <c:v>36632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A-40FF-A6D9-59C09B496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'23'!$AD$6:$AD$25</c:f>
              <c:strCache>
                <c:ptCount val="20"/>
                <c:pt idx="0">
                  <c:v>79%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13%</c:v>
                </c:pt>
                <c:pt idx="5">
                  <c:v>83%</c:v>
                </c:pt>
                <c:pt idx="6">
                  <c:v>42%</c:v>
                </c:pt>
                <c:pt idx="7">
                  <c:v>17%</c:v>
                </c:pt>
                <c:pt idx="8">
                  <c:v>17%</c:v>
                </c:pt>
                <c:pt idx="9">
                  <c:v>100%</c:v>
                </c:pt>
                <c:pt idx="10">
                  <c:v>0%</c:v>
                </c:pt>
                <c:pt idx="11">
                  <c:v>21%</c:v>
                </c:pt>
                <c:pt idx="12">
                  <c:v>0%</c:v>
                </c:pt>
                <c:pt idx="13">
                  <c:v>33%</c:v>
                </c:pt>
                <c:pt idx="14">
                  <c:v>17%</c:v>
                </c:pt>
                <c:pt idx="15">
                  <c:v>21%</c:v>
                </c:pt>
                <c:pt idx="16">
                  <c:v>100%</c:v>
                </c:pt>
                <c:pt idx="17">
                  <c:v>13%</c:v>
                </c:pt>
                <c:pt idx="18">
                  <c:v>79%</c:v>
                </c:pt>
                <c:pt idx="19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'23'!$AD$6:$AD$25</c:f>
              <c:numCache>
                <c:formatCode>0%</c:formatCode>
                <c:ptCount val="20"/>
                <c:pt idx="0">
                  <c:v>0.79166666666666663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0.125</c:v>
                </c:pt>
                <c:pt idx="5">
                  <c:v>0.83333333333333337</c:v>
                </c:pt>
                <c:pt idx="6">
                  <c:v>0.41666666666666669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1</c:v>
                </c:pt>
                <c:pt idx="10">
                  <c:v>0</c:v>
                </c:pt>
                <c:pt idx="11">
                  <c:v>0.20833333333333334</c:v>
                </c:pt>
                <c:pt idx="12">
                  <c:v>0</c:v>
                </c:pt>
                <c:pt idx="13">
                  <c:v>0.33333333333333331</c:v>
                </c:pt>
                <c:pt idx="14">
                  <c:v>0.16666666666666666</c:v>
                </c:pt>
                <c:pt idx="15">
                  <c:v>0.20833333333333334</c:v>
                </c:pt>
                <c:pt idx="16">
                  <c:v>1</c:v>
                </c:pt>
                <c:pt idx="17">
                  <c:v>0.125</c:v>
                </c:pt>
                <c:pt idx="18">
                  <c:v>0.79166666666666663</c:v>
                </c:pt>
                <c:pt idx="19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D-4677-AD10-23F347664D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FD-4677-AD10-23F347664D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0">
                  <c:v>F/ADAPTER</c:v>
                </c:pt>
                <c:pt idx="1">
                  <c:v>SLIDER</c:v>
                </c:pt>
                <c:pt idx="2">
                  <c:v>LEAD GUIDE</c:v>
                </c:pt>
                <c:pt idx="4">
                  <c:v>STOPPER</c:v>
                </c:pt>
                <c:pt idx="5">
                  <c:v>STOPPER</c:v>
                </c:pt>
                <c:pt idx="7">
                  <c:v>BASE</c:v>
                </c:pt>
                <c:pt idx="8">
                  <c:v>ADAPTER</c:v>
                </c:pt>
                <c:pt idx="9">
                  <c:v>BASE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FLOATING</c:v>
                </c:pt>
                <c:pt idx="15">
                  <c:v>RAIL</c:v>
                </c:pt>
                <c:pt idx="16">
                  <c:v>4LEAD</c:v>
                </c:pt>
                <c:pt idx="17">
                  <c:v>BASE</c:v>
                </c:pt>
                <c:pt idx="18">
                  <c:v>BASE</c:v>
                </c:pt>
              </c:strCache>
            </c:strRef>
          </c:cat>
          <c:val>
            <c:numRef>
              <c:f>'23'!$AE$6:$AE$25</c:f>
              <c:numCache>
                <c:formatCode>0%</c:formatCode>
                <c:ptCount val="20"/>
                <c:pt idx="0">
                  <c:v>0.44583333333333341</c:v>
                </c:pt>
                <c:pt idx="1">
                  <c:v>0.44583333333333341</c:v>
                </c:pt>
                <c:pt idx="2">
                  <c:v>0.44583333333333341</c:v>
                </c:pt>
                <c:pt idx="3">
                  <c:v>0.44583333333333341</c:v>
                </c:pt>
                <c:pt idx="4">
                  <c:v>0.44583333333333341</c:v>
                </c:pt>
                <c:pt idx="5">
                  <c:v>0.44583333333333341</c:v>
                </c:pt>
                <c:pt idx="6">
                  <c:v>0.44583333333333341</c:v>
                </c:pt>
                <c:pt idx="7">
                  <c:v>0.44583333333333341</c:v>
                </c:pt>
                <c:pt idx="8">
                  <c:v>0.44583333333333341</c:v>
                </c:pt>
                <c:pt idx="9">
                  <c:v>0.44583333333333341</c:v>
                </c:pt>
                <c:pt idx="10">
                  <c:v>0.44583333333333341</c:v>
                </c:pt>
                <c:pt idx="11">
                  <c:v>0.44583333333333341</c:v>
                </c:pt>
                <c:pt idx="12">
                  <c:v>0.44583333333333341</c:v>
                </c:pt>
                <c:pt idx="13">
                  <c:v>0.44583333333333341</c:v>
                </c:pt>
                <c:pt idx="14">
                  <c:v>0.44583333333333341</c:v>
                </c:pt>
                <c:pt idx="15">
                  <c:v>0.44583333333333341</c:v>
                </c:pt>
                <c:pt idx="16">
                  <c:v>0.44583333333333341</c:v>
                </c:pt>
                <c:pt idx="17">
                  <c:v>0.44583333333333341</c:v>
                </c:pt>
                <c:pt idx="18">
                  <c:v>0.44583333333333341</c:v>
                </c:pt>
                <c:pt idx="19">
                  <c:v>0.44583333333333341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FD-4677-AD10-23F347664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4FF-4214-B1D6-A75257D8C6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F-4214-B1D6-A75257D8C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4FF-4214-B1D6-A75257D8C6A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FF-4214-B1D6-A75257D8C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1">
                  <c:v>2727</c:v>
                </c:pt>
                <c:pt idx="2">
                  <c:v>23532</c:v>
                </c:pt>
                <c:pt idx="3">
                  <c:v>34596</c:v>
                </c:pt>
                <c:pt idx="4">
                  <c:v>24844</c:v>
                </c:pt>
                <c:pt idx="5">
                  <c:v>2816</c:v>
                </c:pt>
                <c:pt idx="6">
                  <c:v>280</c:v>
                </c:pt>
                <c:pt idx="7">
                  <c:v>11648</c:v>
                </c:pt>
                <c:pt idx="9">
                  <c:v>2158</c:v>
                </c:pt>
                <c:pt idx="13">
                  <c:v>5244</c:v>
                </c:pt>
                <c:pt idx="15">
                  <c:v>8352</c:v>
                </c:pt>
                <c:pt idx="16">
                  <c:v>37384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C-4269-B382-5F140DBE346F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3948</c:v>
                </c:pt>
                <c:pt idx="1">
                  <c:v>2727</c:v>
                </c:pt>
                <c:pt idx="2">
                  <c:v>23532</c:v>
                </c:pt>
                <c:pt idx="3">
                  <c:v>34596</c:v>
                </c:pt>
                <c:pt idx="4">
                  <c:v>24844</c:v>
                </c:pt>
                <c:pt idx="5">
                  <c:v>2816</c:v>
                </c:pt>
                <c:pt idx="6">
                  <c:v>280</c:v>
                </c:pt>
                <c:pt idx="7">
                  <c:v>11648</c:v>
                </c:pt>
                <c:pt idx="8">
                  <c:v>329</c:v>
                </c:pt>
                <c:pt idx="9">
                  <c:v>2158</c:v>
                </c:pt>
                <c:pt idx="10">
                  <c:v>495</c:v>
                </c:pt>
                <c:pt idx="11">
                  <c:v>556</c:v>
                </c:pt>
                <c:pt idx="12">
                  <c:v>1090</c:v>
                </c:pt>
                <c:pt idx="13">
                  <c:v>5244</c:v>
                </c:pt>
                <c:pt idx="14">
                  <c:v>1974</c:v>
                </c:pt>
                <c:pt idx="15">
                  <c:v>8352</c:v>
                </c:pt>
                <c:pt idx="16">
                  <c:v>37384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C-4269-B382-5F140DBE3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67%</c:v>
                </c:pt>
                <c:pt idx="6">
                  <c:v>17%</c:v>
                </c:pt>
                <c:pt idx="7">
                  <c:v>100%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54%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0.66666666666666663</c:v>
                </c:pt>
                <c:pt idx="6">
                  <c:v>0.16666666666666666</c:v>
                </c:pt>
                <c:pt idx="7">
                  <c:v>1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0.54166666666666663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4-4E5E-8D23-03D57910366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A4-4E5E-8D23-03D5791036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0.4754901960784314</c:v>
                </c:pt>
                <c:pt idx="1">
                  <c:v>0.4754901960784314</c:v>
                </c:pt>
                <c:pt idx="2">
                  <c:v>0.4754901960784314</c:v>
                </c:pt>
                <c:pt idx="3">
                  <c:v>0.4754901960784314</c:v>
                </c:pt>
                <c:pt idx="4">
                  <c:v>0.4754901960784314</c:v>
                </c:pt>
                <c:pt idx="5">
                  <c:v>0.4754901960784314</c:v>
                </c:pt>
                <c:pt idx="6">
                  <c:v>0.4754901960784314</c:v>
                </c:pt>
                <c:pt idx="7">
                  <c:v>0.4754901960784314</c:v>
                </c:pt>
                <c:pt idx="8">
                  <c:v>0.4754901960784314</c:v>
                </c:pt>
                <c:pt idx="9">
                  <c:v>0.4754901960784314</c:v>
                </c:pt>
                <c:pt idx="10">
                  <c:v>0.4754901960784314</c:v>
                </c:pt>
                <c:pt idx="11">
                  <c:v>0.4754901960784314</c:v>
                </c:pt>
                <c:pt idx="12">
                  <c:v>0.4754901960784314</c:v>
                </c:pt>
                <c:pt idx="13">
                  <c:v>0.4754901960784314</c:v>
                </c:pt>
                <c:pt idx="14">
                  <c:v>0.4754901960784314</c:v>
                </c:pt>
                <c:pt idx="15">
                  <c:v>0.4754901960784314</c:v>
                </c:pt>
                <c:pt idx="16">
                  <c:v>0.4754901960784314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4-4E5E-8D23-03D579103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1">
                  <c:v>2727</c:v>
                </c:pt>
                <c:pt idx="2">
                  <c:v>23532</c:v>
                </c:pt>
                <c:pt idx="3">
                  <c:v>34596</c:v>
                </c:pt>
                <c:pt idx="4">
                  <c:v>24844</c:v>
                </c:pt>
                <c:pt idx="5">
                  <c:v>2816</c:v>
                </c:pt>
                <c:pt idx="6">
                  <c:v>280</c:v>
                </c:pt>
                <c:pt idx="7">
                  <c:v>11648</c:v>
                </c:pt>
                <c:pt idx="9">
                  <c:v>2158</c:v>
                </c:pt>
                <c:pt idx="13">
                  <c:v>5244</c:v>
                </c:pt>
                <c:pt idx="15">
                  <c:v>8352</c:v>
                </c:pt>
                <c:pt idx="16">
                  <c:v>37384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2-489D-A926-9CBFBBC3DD0C}"/>
            </c:ext>
          </c:extLst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3948</c:v>
                </c:pt>
                <c:pt idx="1">
                  <c:v>2727</c:v>
                </c:pt>
                <c:pt idx="2">
                  <c:v>23532</c:v>
                </c:pt>
                <c:pt idx="3">
                  <c:v>34596</c:v>
                </c:pt>
                <c:pt idx="4">
                  <c:v>24844</c:v>
                </c:pt>
                <c:pt idx="5">
                  <c:v>2816</c:v>
                </c:pt>
                <c:pt idx="6">
                  <c:v>280</c:v>
                </c:pt>
                <c:pt idx="7">
                  <c:v>11648</c:v>
                </c:pt>
                <c:pt idx="8">
                  <c:v>329</c:v>
                </c:pt>
                <c:pt idx="9">
                  <c:v>2158</c:v>
                </c:pt>
                <c:pt idx="10">
                  <c:v>495</c:v>
                </c:pt>
                <c:pt idx="11">
                  <c:v>556</c:v>
                </c:pt>
                <c:pt idx="12">
                  <c:v>1090</c:v>
                </c:pt>
                <c:pt idx="13">
                  <c:v>5244</c:v>
                </c:pt>
                <c:pt idx="14">
                  <c:v>1974</c:v>
                </c:pt>
                <c:pt idx="15">
                  <c:v>8352</c:v>
                </c:pt>
                <c:pt idx="16">
                  <c:v>37384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2-489D-A926-9CBFBBC3D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7"/>
                <c:pt idx="0">
                  <c:v>0%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67%</c:v>
                </c:pt>
                <c:pt idx="6">
                  <c:v>17%</c:v>
                </c:pt>
                <c:pt idx="7">
                  <c:v>100%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0%</c:v>
                </c:pt>
                <c:pt idx="15">
                  <c:v>54%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0.66666666666666663</c:v>
                </c:pt>
                <c:pt idx="6">
                  <c:v>0.16666666666666666</c:v>
                </c:pt>
                <c:pt idx="7">
                  <c:v>1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0.54166666666666663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C-4715-99A3-319ED5D8BF1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BC-4715-99A3-319ED5D8BF1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'24'!$D$6:$D$22</c:f>
              <c:strCache>
                <c:ptCount val="16"/>
                <c:pt idx="0">
                  <c:v>F/ADAPTER</c:v>
                </c:pt>
                <c:pt idx="1">
                  <c:v>ADAPTER</c:v>
                </c:pt>
                <c:pt idx="2">
                  <c:v>LEAD GUIDE</c:v>
                </c:pt>
                <c:pt idx="4">
                  <c:v>STOPPER</c:v>
                </c:pt>
                <c:pt idx="6">
                  <c:v>24LEAD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4LEAD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0.4754901960784314</c:v>
                </c:pt>
                <c:pt idx="1">
                  <c:v>0.4754901960784314</c:v>
                </c:pt>
                <c:pt idx="2">
                  <c:v>0.4754901960784314</c:v>
                </c:pt>
                <c:pt idx="3">
                  <c:v>0.4754901960784314</c:v>
                </c:pt>
                <c:pt idx="4">
                  <c:v>0.4754901960784314</c:v>
                </c:pt>
                <c:pt idx="5">
                  <c:v>0.4754901960784314</c:v>
                </c:pt>
                <c:pt idx="6">
                  <c:v>0.4754901960784314</c:v>
                </c:pt>
                <c:pt idx="7">
                  <c:v>0.4754901960784314</c:v>
                </c:pt>
                <c:pt idx="8">
                  <c:v>0.4754901960784314</c:v>
                </c:pt>
                <c:pt idx="9">
                  <c:v>0.4754901960784314</c:v>
                </c:pt>
                <c:pt idx="10">
                  <c:v>0.4754901960784314</c:v>
                </c:pt>
                <c:pt idx="11">
                  <c:v>0.4754901960784314</c:v>
                </c:pt>
                <c:pt idx="12">
                  <c:v>0.4754901960784314</c:v>
                </c:pt>
                <c:pt idx="13">
                  <c:v>0.4754901960784314</c:v>
                </c:pt>
                <c:pt idx="14">
                  <c:v>0.4754901960784314</c:v>
                </c:pt>
                <c:pt idx="15">
                  <c:v>0.4754901960784314</c:v>
                </c:pt>
                <c:pt idx="16">
                  <c:v>0.4754901960784314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BC-4715-99A3-319ED5D8B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C3C-4FD3-96C9-45A0DA2E34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3C-4FD3-96C9-45A0DA2E3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C3C-4FD3-96C9-45A0DA2E34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3C-4FD3-96C9-45A0DA2E3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0">
                  <c:v>4576</c:v>
                </c:pt>
                <c:pt idx="1">
                  <c:v>5307</c:v>
                </c:pt>
                <c:pt idx="2">
                  <c:v>20768</c:v>
                </c:pt>
                <c:pt idx="3">
                  <c:v>3285</c:v>
                </c:pt>
                <c:pt idx="4">
                  <c:v>16004</c:v>
                </c:pt>
                <c:pt idx="5">
                  <c:v>1326</c:v>
                </c:pt>
                <c:pt idx="6">
                  <c:v>4928</c:v>
                </c:pt>
                <c:pt idx="7">
                  <c:v>11570</c:v>
                </c:pt>
                <c:pt idx="9">
                  <c:v>5230</c:v>
                </c:pt>
                <c:pt idx="13">
                  <c:v>548</c:v>
                </c:pt>
                <c:pt idx="14">
                  <c:v>3001</c:v>
                </c:pt>
                <c:pt idx="15">
                  <c:v>12576</c:v>
                </c:pt>
                <c:pt idx="16">
                  <c:v>35548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3-42F8-8016-80234E9E8BFC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4576</c:v>
                </c:pt>
                <c:pt idx="1">
                  <c:v>5307</c:v>
                </c:pt>
                <c:pt idx="2">
                  <c:v>20768</c:v>
                </c:pt>
                <c:pt idx="3">
                  <c:v>3285</c:v>
                </c:pt>
                <c:pt idx="4">
                  <c:v>16004</c:v>
                </c:pt>
                <c:pt idx="5">
                  <c:v>1326</c:v>
                </c:pt>
                <c:pt idx="6">
                  <c:v>4928</c:v>
                </c:pt>
                <c:pt idx="7">
                  <c:v>11570</c:v>
                </c:pt>
                <c:pt idx="8">
                  <c:v>329</c:v>
                </c:pt>
                <c:pt idx="9">
                  <c:v>5230</c:v>
                </c:pt>
                <c:pt idx="10">
                  <c:v>495</c:v>
                </c:pt>
                <c:pt idx="11">
                  <c:v>556</c:v>
                </c:pt>
                <c:pt idx="12">
                  <c:v>1090</c:v>
                </c:pt>
                <c:pt idx="13">
                  <c:v>548</c:v>
                </c:pt>
                <c:pt idx="14">
                  <c:v>3001</c:v>
                </c:pt>
                <c:pt idx="15">
                  <c:v>12576</c:v>
                </c:pt>
                <c:pt idx="16">
                  <c:v>35548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3-42F8-8016-80234E9E8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92%</c:v>
                </c:pt>
                <c:pt idx="1">
                  <c:v>100%</c:v>
                </c:pt>
                <c:pt idx="2">
                  <c:v>88%</c:v>
                </c:pt>
                <c:pt idx="3">
                  <c:v>71%</c:v>
                </c:pt>
                <c:pt idx="4">
                  <c:v>67%</c:v>
                </c:pt>
                <c:pt idx="5">
                  <c:v>29%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29%</c:v>
                </c:pt>
                <c:pt idx="14">
                  <c:v>63%</c:v>
                </c:pt>
                <c:pt idx="15">
                  <c:v>83%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0.91666666666666663</c:v>
                </c:pt>
                <c:pt idx="1">
                  <c:v>1</c:v>
                </c:pt>
                <c:pt idx="2">
                  <c:v>0.875</c:v>
                </c:pt>
                <c:pt idx="3">
                  <c:v>0.70833333333333337</c:v>
                </c:pt>
                <c:pt idx="4">
                  <c:v>0.66666666666666663</c:v>
                </c:pt>
                <c:pt idx="5">
                  <c:v>0.29166666666666669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0.29166666666666669</c:v>
                </c:pt>
                <c:pt idx="14">
                  <c:v>0.625</c:v>
                </c:pt>
                <c:pt idx="15">
                  <c:v>0.83333333333333337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8-45F0-9AB8-C2B9DD197B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D8-45F0-9AB8-C2B9DD197B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0.57352941176470595</c:v>
                </c:pt>
                <c:pt idx="1">
                  <c:v>0.57352941176470595</c:v>
                </c:pt>
                <c:pt idx="2">
                  <c:v>0.57352941176470595</c:v>
                </c:pt>
                <c:pt idx="3">
                  <c:v>0.57352941176470595</c:v>
                </c:pt>
                <c:pt idx="4">
                  <c:v>0.57352941176470595</c:v>
                </c:pt>
                <c:pt idx="5">
                  <c:v>0.57352941176470595</c:v>
                </c:pt>
                <c:pt idx="6">
                  <c:v>0.57352941176470595</c:v>
                </c:pt>
                <c:pt idx="7">
                  <c:v>0.57352941176470595</c:v>
                </c:pt>
                <c:pt idx="8">
                  <c:v>0.57352941176470595</c:v>
                </c:pt>
                <c:pt idx="9">
                  <c:v>0.57352941176470595</c:v>
                </c:pt>
                <c:pt idx="10">
                  <c:v>0.57352941176470595</c:v>
                </c:pt>
                <c:pt idx="11">
                  <c:v>0.57352941176470595</c:v>
                </c:pt>
                <c:pt idx="12">
                  <c:v>0.57352941176470595</c:v>
                </c:pt>
                <c:pt idx="13">
                  <c:v>0.57352941176470595</c:v>
                </c:pt>
                <c:pt idx="14">
                  <c:v>0.57352941176470595</c:v>
                </c:pt>
                <c:pt idx="15">
                  <c:v>0.57352941176470595</c:v>
                </c:pt>
                <c:pt idx="16">
                  <c:v>0.57352941176470595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D8-45F0-9AB8-C2B9DD197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0">
                  <c:v>4576</c:v>
                </c:pt>
                <c:pt idx="1">
                  <c:v>5307</c:v>
                </c:pt>
                <c:pt idx="2">
                  <c:v>20768</c:v>
                </c:pt>
                <c:pt idx="3">
                  <c:v>3285</c:v>
                </c:pt>
                <c:pt idx="4">
                  <c:v>16004</c:v>
                </c:pt>
                <c:pt idx="5">
                  <c:v>1326</c:v>
                </c:pt>
                <c:pt idx="6">
                  <c:v>4928</c:v>
                </c:pt>
                <c:pt idx="7">
                  <c:v>11570</c:v>
                </c:pt>
                <c:pt idx="9">
                  <c:v>5230</c:v>
                </c:pt>
                <c:pt idx="13">
                  <c:v>548</c:v>
                </c:pt>
                <c:pt idx="14">
                  <c:v>3001</c:v>
                </c:pt>
                <c:pt idx="15">
                  <c:v>12576</c:v>
                </c:pt>
                <c:pt idx="16">
                  <c:v>35548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6-443F-931F-3F1AB829890E}"/>
            </c:ext>
          </c:extLst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4576</c:v>
                </c:pt>
                <c:pt idx="1">
                  <c:v>5307</c:v>
                </c:pt>
                <c:pt idx="2">
                  <c:v>20768</c:v>
                </c:pt>
                <c:pt idx="3">
                  <c:v>3285</c:v>
                </c:pt>
                <c:pt idx="4">
                  <c:v>16004</c:v>
                </c:pt>
                <c:pt idx="5">
                  <c:v>1326</c:v>
                </c:pt>
                <c:pt idx="6">
                  <c:v>4928</c:v>
                </c:pt>
                <c:pt idx="7">
                  <c:v>11570</c:v>
                </c:pt>
                <c:pt idx="8">
                  <c:v>329</c:v>
                </c:pt>
                <c:pt idx="9">
                  <c:v>5230</c:v>
                </c:pt>
                <c:pt idx="10">
                  <c:v>495</c:v>
                </c:pt>
                <c:pt idx="11">
                  <c:v>556</c:v>
                </c:pt>
                <c:pt idx="12">
                  <c:v>1090</c:v>
                </c:pt>
                <c:pt idx="13">
                  <c:v>548</c:v>
                </c:pt>
                <c:pt idx="14">
                  <c:v>3001</c:v>
                </c:pt>
                <c:pt idx="15">
                  <c:v>12576</c:v>
                </c:pt>
                <c:pt idx="16">
                  <c:v>35548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6-443F-931F-3F1AB8298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7"/>
                <c:pt idx="0">
                  <c:v>92%</c:v>
                </c:pt>
                <c:pt idx="1">
                  <c:v>100%</c:v>
                </c:pt>
                <c:pt idx="2">
                  <c:v>88%</c:v>
                </c:pt>
                <c:pt idx="3">
                  <c:v>71%</c:v>
                </c:pt>
                <c:pt idx="4">
                  <c:v>67%</c:v>
                </c:pt>
                <c:pt idx="5">
                  <c:v>29%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29%</c:v>
                </c:pt>
                <c:pt idx="14">
                  <c:v>63%</c:v>
                </c:pt>
                <c:pt idx="15">
                  <c:v>83%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0.91666666666666663</c:v>
                </c:pt>
                <c:pt idx="1">
                  <c:v>1</c:v>
                </c:pt>
                <c:pt idx="2">
                  <c:v>0.875</c:v>
                </c:pt>
                <c:pt idx="3">
                  <c:v>0.70833333333333337</c:v>
                </c:pt>
                <c:pt idx="4">
                  <c:v>0.66666666666666663</c:v>
                </c:pt>
                <c:pt idx="5">
                  <c:v>0.29166666666666669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0.29166666666666669</c:v>
                </c:pt>
                <c:pt idx="14">
                  <c:v>0.625</c:v>
                </c:pt>
                <c:pt idx="15">
                  <c:v>0.83333333333333337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B-443F-BC70-F295C9D08A0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6B-443F-BC70-F295C9D08A0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RAIL</c:v>
                </c:pt>
                <c:pt idx="13">
                  <c:v>BASE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0.57352941176470595</c:v>
                </c:pt>
                <c:pt idx="1">
                  <c:v>0.57352941176470595</c:v>
                </c:pt>
                <c:pt idx="2">
                  <c:v>0.57352941176470595</c:v>
                </c:pt>
                <c:pt idx="3">
                  <c:v>0.57352941176470595</c:v>
                </c:pt>
                <c:pt idx="4">
                  <c:v>0.57352941176470595</c:v>
                </c:pt>
                <c:pt idx="5">
                  <c:v>0.57352941176470595</c:v>
                </c:pt>
                <c:pt idx="6">
                  <c:v>0.57352941176470595</c:v>
                </c:pt>
                <c:pt idx="7">
                  <c:v>0.57352941176470595</c:v>
                </c:pt>
                <c:pt idx="8">
                  <c:v>0.57352941176470595</c:v>
                </c:pt>
                <c:pt idx="9">
                  <c:v>0.57352941176470595</c:v>
                </c:pt>
                <c:pt idx="10">
                  <c:v>0.57352941176470595</c:v>
                </c:pt>
                <c:pt idx="11">
                  <c:v>0.57352941176470595</c:v>
                </c:pt>
                <c:pt idx="12">
                  <c:v>0.57352941176470595</c:v>
                </c:pt>
                <c:pt idx="13">
                  <c:v>0.57352941176470595</c:v>
                </c:pt>
                <c:pt idx="14">
                  <c:v>0.57352941176470595</c:v>
                </c:pt>
                <c:pt idx="15">
                  <c:v>0.57352941176470595</c:v>
                </c:pt>
                <c:pt idx="16">
                  <c:v>0.57352941176470595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B-443F-BC70-F295C9D08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02B-425F-BDBA-243A00505C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B-425F-BDBA-243A0050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02B-425F-BDBA-243A00505C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2B-425F-BDBA-243A0050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6348</c:v>
                </c:pt>
                <c:pt idx="2">
                  <c:v>23268</c:v>
                </c:pt>
                <c:pt idx="3">
                  <c:v>2911</c:v>
                </c:pt>
                <c:pt idx="4">
                  <c:v>13948</c:v>
                </c:pt>
                <c:pt idx="6">
                  <c:v>5210</c:v>
                </c:pt>
                <c:pt idx="7">
                  <c:v>12232</c:v>
                </c:pt>
                <c:pt idx="9">
                  <c:v>5277</c:v>
                </c:pt>
                <c:pt idx="12">
                  <c:v>2100</c:v>
                </c:pt>
                <c:pt idx="13">
                  <c:v>2330</c:v>
                </c:pt>
                <c:pt idx="14">
                  <c:v>2262</c:v>
                </c:pt>
                <c:pt idx="15">
                  <c:v>8310</c:v>
                </c:pt>
                <c:pt idx="16">
                  <c:v>36784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2-4034-930D-48101D5C3D3C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6348</c:v>
                </c:pt>
                <c:pt idx="1">
                  <c:v>5307</c:v>
                </c:pt>
                <c:pt idx="2">
                  <c:v>23268</c:v>
                </c:pt>
                <c:pt idx="3">
                  <c:v>2911</c:v>
                </c:pt>
                <c:pt idx="4">
                  <c:v>13948</c:v>
                </c:pt>
                <c:pt idx="5">
                  <c:v>1326</c:v>
                </c:pt>
                <c:pt idx="6">
                  <c:v>5210</c:v>
                </c:pt>
                <c:pt idx="7">
                  <c:v>12232</c:v>
                </c:pt>
                <c:pt idx="8">
                  <c:v>329</c:v>
                </c:pt>
                <c:pt idx="9">
                  <c:v>5277</c:v>
                </c:pt>
                <c:pt idx="10">
                  <c:v>495</c:v>
                </c:pt>
                <c:pt idx="11">
                  <c:v>556</c:v>
                </c:pt>
                <c:pt idx="12">
                  <c:v>2100</c:v>
                </c:pt>
                <c:pt idx="13">
                  <c:v>2330</c:v>
                </c:pt>
                <c:pt idx="14">
                  <c:v>2262</c:v>
                </c:pt>
                <c:pt idx="15">
                  <c:v>8310</c:v>
                </c:pt>
                <c:pt idx="16">
                  <c:v>36784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2-4034-930D-48101D5C3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63%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54%</c:v>
                </c:pt>
                <c:pt idx="14">
                  <c:v>42%</c:v>
                </c:pt>
                <c:pt idx="15">
                  <c:v>79%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0.625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0.54166666666666663</c:v>
                </c:pt>
                <c:pt idx="14">
                  <c:v>0.41666666666666669</c:v>
                </c:pt>
                <c:pt idx="15">
                  <c:v>0.79166666666666663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3-4DA5-9D76-F476D23416F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E3-4DA5-9D76-F476D23416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0.52696078431372562</c:v>
                </c:pt>
                <c:pt idx="1">
                  <c:v>0.52696078431372562</c:v>
                </c:pt>
                <c:pt idx="2">
                  <c:v>0.52696078431372562</c:v>
                </c:pt>
                <c:pt idx="3">
                  <c:v>0.52696078431372562</c:v>
                </c:pt>
                <c:pt idx="4">
                  <c:v>0.52696078431372562</c:v>
                </c:pt>
                <c:pt idx="5">
                  <c:v>0.52696078431372562</c:v>
                </c:pt>
                <c:pt idx="6">
                  <c:v>0.52696078431372562</c:v>
                </c:pt>
                <c:pt idx="7">
                  <c:v>0.52696078431372562</c:v>
                </c:pt>
                <c:pt idx="8">
                  <c:v>0.52696078431372562</c:v>
                </c:pt>
                <c:pt idx="9">
                  <c:v>0.52696078431372562</c:v>
                </c:pt>
                <c:pt idx="10">
                  <c:v>0.52696078431372562</c:v>
                </c:pt>
                <c:pt idx="11">
                  <c:v>0.52696078431372562</c:v>
                </c:pt>
                <c:pt idx="12">
                  <c:v>0.52696078431372562</c:v>
                </c:pt>
                <c:pt idx="13">
                  <c:v>0.52696078431372562</c:v>
                </c:pt>
                <c:pt idx="14">
                  <c:v>0.52696078431372562</c:v>
                </c:pt>
                <c:pt idx="15">
                  <c:v>0.52696078431372562</c:v>
                </c:pt>
                <c:pt idx="16">
                  <c:v>0.52696078431372562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E3-4DA5-9D76-F476D2341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6348</c:v>
                </c:pt>
                <c:pt idx="2">
                  <c:v>23268</c:v>
                </c:pt>
                <c:pt idx="3">
                  <c:v>2911</c:v>
                </c:pt>
                <c:pt idx="4">
                  <c:v>13948</c:v>
                </c:pt>
                <c:pt idx="6">
                  <c:v>5210</c:v>
                </c:pt>
                <c:pt idx="7">
                  <c:v>12232</c:v>
                </c:pt>
                <c:pt idx="9">
                  <c:v>5277</c:v>
                </c:pt>
                <c:pt idx="12">
                  <c:v>2100</c:v>
                </c:pt>
                <c:pt idx="13">
                  <c:v>2330</c:v>
                </c:pt>
                <c:pt idx="14">
                  <c:v>2262</c:v>
                </c:pt>
                <c:pt idx="15">
                  <c:v>8310</c:v>
                </c:pt>
                <c:pt idx="16">
                  <c:v>36784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B-45D4-AE21-EC431FD1F280}"/>
            </c:ext>
          </c:extLst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6348</c:v>
                </c:pt>
                <c:pt idx="1">
                  <c:v>5307</c:v>
                </c:pt>
                <c:pt idx="2">
                  <c:v>23268</c:v>
                </c:pt>
                <c:pt idx="3">
                  <c:v>2911</c:v>
                </c:pt>
                <c:pt idx="4">
                  <c:v>13948</c:v>
                </c:pt>
                <c:pt idx="5">
                  <c:v>1326</c:v>
                </c:pt>
                <c:pt idx="6">
                  <c:v>5210</c:v>
                </c:pt>
                <c:pt idx="7">
                  <c:v>12232</c:v>
                </c:pt>
                <c:pt idx="8">
                  <c:v>329</c:v>
                </c:pt>
                <c:pt idx="9">
                  <c:v>5277</c:v>
                </c:pt>
                <c:pt idx="10">
                  <c:v>495</c:v>
                </c:pt>
                <c:pt idx="11">
                  <c:v>556</c:v>
                </c:pt>
                <c:pt idx="12">
                  <c:v>2100</c:v>
                </c:pt>
                <c:pt idx="13">
                  <c:v>2330</c:v>
                </c:pt>
                <c:pt idx="14">
                  <c:v>2262</c:v>
                </c:pt>
                <c:pt idx="15">
                  <c:v>8310</c:v>
                </c:pt>
                <c:pt idx="16">
                  <c:v>36784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0B-45D4-AE21-EC431FD1F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7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58%</c:v>
                </c:pt>
                <c:pt idx="4">
                  <c:v>63%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54%</c:v>
                </c:pt>
                <c:pt idx="14">
                  <c:v>42%</c:v>
                </c:pt>
                <c:pt idx="15">
                  <c:v>79%</c:v>
                </c:pt>
                <c:pt idx="16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0.58333333333333337</c:v>
                </c:pt>
                <c:pt idx="4">
                  <c:v>0.625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0.54166666666666663</c:v>
                </c:pt>
                <c:pt idx="14">
                  <c:v>0.41666666666666669</c:v>
                </c:pt>
                <c:pt idx="15">
                  <c:v>0.79166666666666663</c:v>
                </c:pt>
                <c:pt idx="16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8-4983-8A93-67A4C1AA54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88-4983-8A93-67A4C1AA54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'26'!$D$6:$D$22</c:f>
              <c:strCache>
                <c:ptCount val="16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38P</c:v>
                </c:pt>
                <c:pt idx="13">
                  <c:v>COVER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0.52696078431372562</c:v>
                </c:pt>
                <c:pt idx="1">
                  <c:v>0.52696078431372562</c:v>
                </c:pt>
                <c:pt idx="2">
                  <c:v>0.52696078431372562</c:v>
                </c:pt>
                <c:pt idx="3">
                  <c:v>0.52696078431372562</c:v>
                </c:pt>
                <c:pt idx="4">
                  <c:v>0.52696078431372562</c:v>
                </c:pt>
                <c:pt idx="5">
                  <c:v>0.52696078431372562</c:v>
                </c:pt>
                <c:pt idx="6">
                  <c:v>0.52696078431372562</c:v>
                </c:pt>
                <c:pt idx="7">
                  <c:v>0.52696078431372562</c:v>
                </c:pt>
                <c:pt idx="8">
                  <c:v>0.52696078431372562</c:v>
                </c:pt>
                <c:pt idx="9">
                  <c:v>0.52696078431372562</c:v>
                </c:pt>
                <c:pt idx="10">
                  <c:v>0.52696078431372562</c:v>
                </c:pt>
                <c:pt idx="11">
                  <c:v>0.52696078431372562</c:v>
                </c:pt>
                <c:pt idx="12">
                  <c:v>0.52696078431372562</c:v>
                </c:pt>
                <c:pt idx="13">
                  <c:v>0.52696078431372562</c:v>
                </c:pt>
                <c:pt idx="14">
                  <c:v>0.52696078431372562</c:v>
                </c:pt>
                <c:pt idx="15">
                  <c:v>0.52696078431372562</c:v>
                </c:pt>
                <c:pt idx="16">
                  <c:v>0.52696078431372562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88-4983-8A93-67A4C1AA5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755-498F-ACBE-928F942F07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5-498F-ACBE-928F942F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755-498F-ACBE-928F942F07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55-498F-ACBE-928F942F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6537</c:v>
                </c:pt>
                <c:pt idx="2">
                  <c:v>23880</c:v>
                </c:pt>
                <c:pt idx="3">
                  <c:v>5720</c:v>
                </c:pt>
                <c:pt idx="4">
                  <c:v>24828</c:v>
                </c:pt>
                <c:pt idx="6">
                  <c:v>3367</c:v>
                </c:pt>
                <c:pt idx="7">
                  <c:v>12946</c:v>
                </c:pt>
                <c:pt idx="9">
                  <c:v>5226</c:v>
                </c:pt>
                <c:pt idx="12">
                  <c:v>1778</c:v>
                </c:pt>
                <c:pt idx="13">
                  <c:v>2075</c:v>
                </c:pt>
                <c:pt idx="14">
                  <c:v>15524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9-495C-86A4-53F34D1AF970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6537</c:v>
                </c:pt>
                <c:pt idx="1">
                  <c:v>5307</c:v>
                </c:pt>
                <c:pt idx="2">
                  <c:v>23880</c:v>
                </c:pt>
                <c:pt idx="3">
                  <c:v>5720</c:v>
                </c:pt>
                <c:pt idx="4">
                  <c:v>24828</c:v>
                </c:pt>
                <c:pt idx="5">
                  <c:v>1326</c:v>
                </c:pt>
                <c:pt idx="6">
                  <c:v>3367</c:v>
                </c:pt>
                <c:pt idx="7">
                  <c:v>12946</c:v>
                </c:pt>
                <c:pt idx="8">
                  <c:v>329</c:v>
                </c:pt>
                <c:pt idx="9">
                  <c:v>5226</c:v>
                </c:pt>
                <c:pt idx="10">
                  <c:v>495</c:v>
                </c:pt>
                <c:pt idx="11">
                  <c:v>556</c:v>
                </c:pt>
                <c:pt idx="12">
                  <c:v>1778</c:v>
                </c:pt>
                <c:pt idx="13">
                  <c:v>2075</c:v>
                </c:pt>
                <c:pt idx="14">
                  <c:v>15524</c:v>
                </c:pt>
                <c:pt idx="15">
                  <c:v>36784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9-495C-86A4-53F34D1AF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71%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50%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0.70833333333333337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0.5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A-48B8-81D4-3D9FE702A1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EA-48B8-81D4-3D9FE702A1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0.53645833333333337</c:v>
                </c:pt>
                <c:pt idx="1">
                  <c:v>0.53645833333333337</c:v>
                </c:pt>
                <c:pt idx="2">
                  <c:v>0.53645833333333337</c:v>
                </c:pt>
                <c:pt idx="3">
                  <c:v>0.53645833333333337</c:v>
                </c:pt>
                <c:pt idx="4">
                  <c:v>0.53645833333333337</c:v>
                </c:pt>
                <c:pt idx="5">
                  <c:v>0.53645833333333337</c:v>
                </c:pt>
                <c:pt idx="6">
                  <c:v>0.53645833333333337</c:v>
                </c:pt>
                <c:pt idx="7">
                  <c:v>0.53645833333333337</c:v>
                </c:pt>
                <c:pt idx="8">
                  <c:v>0.53645833333333337</c:v>
                </c:pt>
                <c:pt idx="9">
                  <c:v>0.53645833333333337</c:v>
                </c:pt>
                <c:pt idx="10">
                  <c:v>0.53645833333333337</c:v>
                </c:pt>
                <c:pt idx="11">
                  <c:v>0.53645833333333337</c:v>
                </c:pt>
                <c:pt idx="12">
                  <c:v>0.53645833333333337</c:v>
                </c:pt>
                <c:pt idx="13">
                  <c:v>0.53645833333333337</c:v>
                </c:pt>
                <c:pt idx="14">
                  <c:v>0.53645833333333337</c:v>
                </c:pt>
                <c:pt idx="15">
                  <c:v>0.53645833333333337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EA-48B8-81D4-3D9FE702A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6537</c:v>
                </c:pt>
                <c:pt idx="2">
                  <c:v>23880</c:v>
                </c:pt>
                <c:pt idx="3">
                  <c:v>5720</c:v>
                </c:pt>
                <c:pt idx="4">
                  <c:v>24828</c:v>
                </c:pt>
                <c:pt idx="6">
                  <c:v>3367</c:v>
                </c:pt>
                <c:pt idx="7">
                  <c:v>12946</c:v>
                </c:pt>
                <c:pt idx="9">
                  <c:v>5226</c:v>
                </c:pt>
                <c:pt idx="12">
                  <c:v>1778</c:v>
                </c:pt>
                <c:pt idx="13">
                  <c:v>2075</c:v>
                </c:pt>
                <c:pt idx="14">
                  <c:v>15524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E-46B7-AC31-C7F527D3910B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6537</c:v>
                </c:pt>
                <c:pt idx="1">
                  <c:v>5307</c:v>
                </c:pt>
                <c:pt idx="2">
                  <c:v>23880</c:v>
                </c:pt>
                <c:pt idx="3">
                  <c:v>5720</c:v>
                </c:pt>
                <c:pt idx="4">
                  <c:v>24828</c:v>
                </c:pt>
                <c:pt idx="5">
                  <c:v>1326</c:v>
                </c:pt>
                <c:pt idx="6">
                  <c:v>3367</c:v>
                </c:pt>
                <c:pt idx="7">
                  <c:v>12946</c:v>
                </c:pt>
                <c:pt idx="8">
                  <c:v>329</c:v>
                </c:pt>
                <c:pt idx="9">
                  <c:v>5226</c:v>
                </c:pt>
                <c:pt idx="10">
                  <c:v>495</c:v>
                </c:pt>
                <c:pt idx="11">
                  <c:v>556</c:v>
                </c:pt>
                <c:pt idx="12">
                  <c:v>1778</c:v>
                </c:pt>
                <c:pt idx="13">
                  <c:v>2075</c:v>
                </c:pt>
                <c:pt idx="14">
                  <c:v>15524</c:v>
                </c:pt>
                <c:pt idx="15">
                  <c:v>36784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E-46B7-AC31-C7F527D39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100%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71%</c:v>
                </c:pt>
                <c:pt idx="7">
                  <c:v>100%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0%</c:v>
                </c:pt>
                <c:pt idx="12">
                  <c:v>54%</c:v>
                </c:pt>
                <c:pt idx="13">
                  <c:v>50%</c:v>
                </c:pt>
                <c:pt idx="14">
                  <c:v>83%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0.70833333333333337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0.54166666666666663</c:v>
                </c:pt>
                <c:pt idx="13">
                  <c:v>0.5</c:v>
                </c:pt>
                <c:pt idx="14">
                  <c:v>0.83333333333333337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4-4B58-8FE6-E7BA9AE0214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94-4B58-8FE6-E7BA9AE0214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0.53645833333333337</c:v>
                </c:pt>
                <c:pt idx="1">
                  <c:v>0.53645833333333337</c:v>
                </c:pt>
                <c:pt idx="2">
                  <c:v>0.53645833333333337</c:v>
                </c:pt>
                <c:pt idx="3">
                  <c:v>0.53645833333333337</c:v>
                </c:pt>
                <c:pt idx="4">
                  <c:v>0.53645833333333337</c:v>
                </c:pt>
                <c:pt idx="5">
                  <c:v>0.53645833333333337</c:v>
                </c:pt>
                <c:pt idx="6">
                  <c:v>0.53645833333333337</c:v>
                </c:pt>
                <c:pt idx="7">
                  <c:v>0.53645833333333337</c:v>
                </c:pt>
                <c:pt idx="8">
                  <c:v>0.53645833333333337</c:v>
                </c:pt>
                <c:pt idx="9">
                  <c:v>0.53645833333333337</c:v>
                </c:pt>
                <c:pt idx="10">
                  <c:v>0.53645833333333337</c:v>
                </c:pt>
                <c:pt idx="11">
                  <c:v>0.53645833333333337</c:v>
                </c:pt>
                <c:pt idx="12">
                  <c:v>0.53645833333333337</c:v>
                </c:pt>
                <c:pt idx="13">
                  <c:v>0.53645833333333337</c:v>
                </c:pt>
                <c:pt idx="14">
                  <c:v>0.53645833333333337</c:v>
                </c:pt>
                <c:pt idx="15">
                  <c:v>0.53645833333333337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94-4B58-8FE6-E7BA9AE02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594-40DC-AFAB-B70FDB15A2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4-40DC-AFAB-B70FDB15A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594-40DC-AFAB-B70FDB15A2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94-40DC-AFAB-B70FDB15A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0">
                  <c:v>617</c:v>
                </c:pt>
                <c:pt idx="1">
                  <c:v>2639</c:v>
                </c:pt>
                <c:pt idx="2">
                  <c:v>22096</c:v>
                </c:pt>
                <c:pt idx="3">
                  <c:v>5202</c:v>
                </c:pt>
                <c:pt idx="4">
                  <c:v>23236</c:v>
                </c:pt>
                <c:pt idx="5">
                  <c:v>2915</c:v>
                </c:pt>
                <c:pt idx="6">
                  <c:v>0</c:v>
                </c:pt>
                <c:pt idx="7">
                  <c:v>5214</c:v>
                </c:pt>
                <c:pt idx="9">
                  <c:v>625</c:v>
                </c:pt>
                <c:pt idx="13">
                  <c:v>3595</c:v>
                </c:pt>
                <c:pt idx="14">
                  <c:v>17860</c:v>
                </c:pt>
                <c:pt idx="15">
                  <c:v>32300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F-4938-974F-5A654F7EAC19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617</c:v>
                </c:pt>
                <c:pt idx="1">
                  <c:v>2639</c:v>
                </c:pt>
                <c:pt idx="2">
                  <c:v>22096</c:v>
                </c:pt>
                <c:pt idx="3">
                  <c:v>5202</c:v>
                </c:pt>
                <c:pt idx="4">
                  <c:v>23236</c:v>
                </c:pt>
                <c:pt idx="5">
                  <c:v>2915</c:v>
                </c:pt>
                <c:pt idx="6">
                  <c:v>3367</c:v>
                </c:pt>
                <c:pt idx="7">
                  <c:v>5214</c:v>
                </c:pt>
                <c:pt idx="8">
                  <c:v>329</c:v>
                </c:pt>
                <c:pt idx="9">
                  <c:v>625</c:v>
                </c:pt>
                <c:pt idx="10">
                  <c:v>495</c:v>
                </c:pt>
                <c:pt idx="11">
                  <c:v>556</c:v>
                </c:pt>
                <c:pt idx="12">
                  <c:v>1778</c:v>
                </c:pt>
                <c:pt idx="13">
                  <c:v>3595</c:v>
                </c:pt>
                <c:pt idx="14">
                  <c:v>17860</c:v>
                </c:pt>
                <c:pt idx="15">
                  <c:v>32300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F-4938-974F-5A654F7EA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17%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63%</c:v>
                </c:pt>
                <c:pt idx="6">
                  <c:v>0%</c:v>
                </c:pt>
                <c:pt idx="7">
                  <c:v>54%</c:v>
                </c:pt>
                <c:pt idx="8">
                  <c:v>0%</c:v>
                </c:pt>
                <c:pt idx="9">
                  <c:v>17%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75%</c:v>
                </c:pt>
                <c:pt idx="14">
                  <c:v>88%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0.625</c:v>
                </c:pt>
                <c:pt idx="6">
                  <c:v>0</c:v>
                </c:pt>
                <c:pt idx="7">
                  <c:v>0.54166666666666663</c:v>
                </c:pt>
                <c:pt idx="8">
                  <c:v>0</c:v>
                </c:pt>
                <c:pt idx="9">
                  <c:v>0.16666666666666666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0.75</c:v>
                </c:pt>
                <c:pt idx="14">
                  <c:v>0.875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E-4748-9FC9-D0C0A09B365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5E-4748-9FC9-D0C0A09B36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0.44791666666666669</c:v>
                </c:pt>
                <c:pt idx="1">
                  <c:v>0.44791666666666669</c:v>
                </c:pt>
                <c:pt idx="2">
                  <c:v>0.44791666666666669</c:v>
                </c:pt>
                <c:pt idx="3">
                  <c:v>0.44791666666666669</c:v>
                </c:pt>
                <c:pt idx="4">
                  <c:v>0.44791666666666669</c:v>
                </c:pt>
                <c:pt idx="5">
                  <c:v>0.44791666666666669</c:v>
                </c:pt>
                <c:pt idx="6">
                  <c:v>0.44791666666666669</c:v>
                </c:pt>
                <c:pt idx="7">
                  <c:v>0.44791666666666669</c:v>
                </c:pt>
                <c:pt idx="8">
                  <c:v>0.44791666666666669</c:v>
                </c:pt>
                <c:pt idx="9">
                  <c:v>0.44791666666666669</c:v>
                </c:pt>
                <c:pt idx="10">
                  <c:v>0.44791666666666669</c:v>
                </c:pt>
                <c:pt idx="11">
                  <c:v>0.44791666666666669</c:v>
                </c:pt>
                <c:pt idx="12">
                  <c:v>0.44791666666666669</c:v>
                </c:pt>
                <c:pt idx="13">
                  <c:v>0.44791666666666669</c:v>
                </c:pt>
                <c:pt idx="14">
                  <c:v>0.44791666666666669</c:v>
                </c:pt>
                <c:pt idx="15">
                  <c:v>0.44791666666666669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5E-4748-9FC9-D0C0A09B3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0">
                  <c:v>617</c:v>
                </c:pt>
                <c:pt idx="1">
                  <c:v>2639</c:v>
                </c:pt>
                <c:pt idx="2">
                  <c:v>22096</c:v>
                </c:pt>
                <c:pt idx="3">
                  <c:v>5202</c:v>
                </c:pt>
                <c:pt idx="4">
                  <c:v>23236</c:v>
                </c:pt>
                <c:pt idx="5">
                  <c:v>2915</c:v>
                </c:pt>
                <c:pt idx="6">
                  <c:v>0</c:v>
                </c:pt>
                <c:pt idx="7">
                  <c:v>5214</c:v>
                </c:pt>
                <c:pt idx="9">
                  <c:v>625</c:v>
                </c:pt>
                <c:pt idx="13">
                  <c:v>3595</c:v>
                </c:pt>
                <c:pt idx="14">
                  <c:v>17860</c:v>
                </c:pt>
                <c:pt idx="15">
                  <c:v>32300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8-4844-8175-F9989BB30CC9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617</c:v>
                </c:pt>
                <c:pt idx="1">
                  <c:v>2639</c:v>
                </c:pt>
                <c:pt idx="2">
                  <c:v>22096</c:v>
                </c:pt>
                <c:pt idx="3">
                  <c:v>5202</c:v>
                </c:pt>
                <c:pt idx="4">
                  <c:v>23236</c:v>
                </c:pt>
                <c:pt idx="5">
                  <c:v>2915</c:v>
                </c:pt>
                <c:pt idx="6">
                  <c:v>3367</c:v>
                </c:pt>
                <c:pt idx="7">
                  <c:v>5214</c:v>
                </c:pt>
                <c:pt idx="8">
                  <c:v>329</c:v>
                </c:pt>
                <c:pt idx="9">
                  <c:v>625</c:v>
                </c:pt>
                <c:pt idx="10">
                  <c:v>495</c:v>
                </c:pt>
                <c:pt idx="11">
                  <c:v>556</c:v>
                </c:pt>
                <c:pt idx="12">
                  <c:v>1778</c:v>
                </c:pt>
                <c:pt idx="13">
                  <c:v>3595</c:v>
                </c:pt>
                <c:pt idx="14">
                  <c:v>17860</c:v>
                </c:pt>
                <c:pt idx="15">
                  <c:v>32300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8-4844-8175-F9989BB30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17%</c:v>
                </c:pt>
                <c:pt idx="1">
                  <c:v>58%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63%</c:v>
                </c:pt>
                <c:pt idx="6">
                  <c:v>0%</c:v>
                </c:pt>
                <c:pt idx="7">
                  <c:v>54%</c:v>
                </c:pt>
                <c:pt idx="8">
                  <c:v>0%</c:v>
                </c:pt>
                <c:pt idx="9">
                  <c:v>17%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75%</c:v>
                </c:pt>
                <c:pt idx="14">
                  <c:v>88%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0.58333333333333337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0.625</c:v>
                </c:pt>
                <c:pt idx="6">
                  <c:v>0</c:v>
                </c:pt>
                <c:pt idx="7">
                  <c:v>0.54166666666666663</c:v>
                </c:pt>
                <c:pt idx="8">
                  <c:v>0</c:v>
                </c:pt>
                <c:pt idx="9">
                  <c:v>0.16666666666666666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0.75</c:v>
                </c:pt>
                <c:pt idx="14">
                  <c:v>0.875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8-4331-9DF3-4840E6B72F4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58-4331-9DF3-4840E6B72F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0.44791666666666669</c:v>
                </c:pt>
                <c:pt idx="1">
                  <c:v>0.44791666666666669</c:v>
                </c:pt>
                <c:pt idx="2">
                  <c:v>0.44791666666666669</c:v>
                </c:pt>
                <c:pt idx="3">
                  <c:v>0.44791666666666669</c:v>
                </c:pt>
                <c:pt idx="4">
                  <c:v>0.44791666666666669</c:v>
                </c:pt>
                <c:pt idx="5">
                  <c:v>0.44791666666666669</c:v>
                </c:pt>
                <c:pt idx="6">
                  <c:v>0.44791666666666669</c:v>
                </c:pt>
                <c:pt idx="7">
                  <c:v>0.44791666666666669</c:v>
                </c:pt>
                <c:pt idx="8">
                  <c:v>0.44791666666666669</c:v>
                </c:pt>
                <c:pt idx="9">
                  <c:v>0.44791666666666669</c:v>
                </c:pt>
                <c:pt idx="10">
                  <c:v>0.44791666666666669</c:v>
                </c:pt>
                <c:pt idx="11">
                  <c:v>0.44791666666666669</c:v>
                </c:pt>
                <c:pt idx="12">
                  <c:v>0.44791666666666669</c:v>
                </c:pt>
                <c:pt idx="13">
                  <c:v>0.44791666666666669</c:v>
                </c:pt>
                <c:pt idx="14">
                  <c:v>0.44791666666666669</c:v>
                </c:pt>
                <c:pt idx="15">
                  <c:v>0.44791666666666669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58-4331-9DF3-4840E6B72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127-409B-9774-B70D3DAD0B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7-409B-9774-B70D3DAD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127-409B-9774-B70D3DAD0B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7-409B-9774-B70D3DAD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24340</c:v>
                </c:pt>
                <c:pt idx="3">
                  <c:v>4071</c:v>
                </c:pt>
                <c:pt idx="4">
                  <c:v>25072</c:v>
                </c:pt>
                <c:pt idx="5">
                  <c:v>5354</c:v>
                </c:pt>
                <c:pt idx="7">
                  <c:v>12358</c:v>
                </c:pt>
                <c:pt idx="8">
                  <c:v>260</c:v>
                </c:pt>
                <c:pt idx="9">
                  <c:v>4849</c:v>
                </c:pt>
                <c:pt idx="13">
                  <c:v>5570</c:v>
                </c:pt>
                <c:pt idx="14">
                  <c:v>22424</c:v>
                </c:pt>
                <c:pt idx="15">
                  <c:v>35864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2-400D-BBA4-5B586F1CE76D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617</c:v>
                </c:pt>
                <c:pt idx="1">
                  <c:v>2639</c:v>
                </c:pt>
                <c:pt idx="2">
                  <c:v>24340</c:v>
                </c:pt>
                <c:pt idx="3">
                  <c:v>4071</c:v>
                </c:pt>
                <c:pt idx="4">
                  <c:v>25072</c:v>
                </c:pt>
                <c:pt idx="5">
                  <c:v>5354</c:v>
                </c:pt>
                <c:pt idx="6">
                  <c:v>3367</c:v>
                </c:pt>
                <c:pt idx="7">
                  <c:v>12358</c:v>
                </c:pt>
                <c:pt idx="8">
                  <c:v>260</c:v>
                </c:pt>
                <c:pt idx="9">
                  <c:v>4849</c:v>
                </c:pt>
                <c:pt idx="10">
                  <c:v>495</c:v>
                </c:pt>
                <c:pt idx="11">
                  <c:v>556</c:v>
                </c:pt>
                <c:pt idx="12">
                  <c:v>1778</c:v>
                </c:pt>
                <c:pt idx="13">
                  <c:v>5570</c:v>
                </c:pt>
                <c:pt idx="14">
                  <c:v>22424</c:v>
                </c:pt>
                <c:pt idx="15">
                  <c:v>35864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2-400D-BBA4-5B586F1C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25%</c:v>
                </c:pt>
                <c:pt idx="9">
                  <c:v>92%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0.25</c:v>
                </c:pt>
                <c:pt idx="9">
                  <c:v>0.91666666666666663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7-418A-81AE-BAEF2A0C0D9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97-418A-81AE-BAEF2A0C0D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0.52604166666666674</c:v>
                </c:pt>
                <c:pt idx="1">
                  <c:v>0.52604166666666674</c:v>
                </c:pt>
                <c:pt idx="2">
                  <c:v>0.52604166666666674</c:v>
                </c:pt>
                <c:pt idx="3">
                  <c:v>0.52604166666666674</c:v>
                </c:pt>
                <c:pt idx="4">
                  <c:v>0.52604166666666674</c:v>
                </c:pt>
                <c:pt idx="5">
                  <c:v>0.52604166666666674</c:v>
                </c:pt>
                <c:pt idx="6">
                  <c:v>0.52604166666666674</c:v>
                </c:pt>
                <c:pt idx="7">
                  <c:v>0.52604166666666674</c:v>
                </c:pt>
                <c:pt idx="8">
                  <c:v>0.52604166666666674</c:v>
                </c:pt>
                <c:pt idx="9">
                  <c:v>0.52604166666666674</c:v>
                </c:pt>
                <c:pt idx="10">
                  <c:v>0.52604166666666674</c:v>
                </c:pt>
                <c:pt idx="11">
                  <c:v>0.52604166666666674</c:v>
                </c:pt>
                <c:pt idx="12">
                  <c:v>0.52604166666666674</c:v>
                </c:pt>
                <c:pt idx="13">
                  <c:v>0.52604166666666674</c:v>
                </c:pt>
                <c:pt idx="14">
                  <c:v>0.52604166666666674</c:v>
                </c:pt>
                <c:pt idx="15">
                  <c:v>0.52604166666666674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7-418A-81AE-BAEF2A0C0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24340</c:v>
                </c:pt>
                <c:pt idx="3">
                  <c:v>4071</c:v>
                </c:pt>
                <c:pt idx="4">
                  <c:v>25072</c:v>
                </c:pt>
                <c:pt idx="5">
                  <c:v>5354</c:v>
                </c:pt>
                <c:pt idx="7">
                  <c:v>12358</c:v>
                </c:pt>
                <c:pt idx="8">
                  <c:v>260</c:v>
                </c:pt>
                <c:pt idx="9">
                  <c:v>4849</c:v>
                </c:pt>
                <c:pt idx="13">
                  <c:v>5570</c:v>
                </c:pt>
                <c:pt idx="14">
                  <c:v>22424</c:v>
                </c:pt>
                <c:pt idx="15">
                  <c:v>35864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A-499B-953B-A84D849D1E8A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617</c:v>
                </c:pt>
                <c:pt idx="1">
                  <c:v>2639</c:v>
                </c:pt>
                <c:pt idx="2">
                  <c:v>24340</c:v>
                </c:pt>
                <c:pt idx="3">
                  <c:v>4071</c:v>
                </c:pt>
                <c:pt idx="4">
                  <c:v>25072</c:v>
                </c:pt>
                <c:pt idx="5">
                  <c:v>5354</c:v>
                </c:pt>
                <c:pt idx="6">
                  <c:v>3367</c:v>
                </c:pt>
                <c:pt idx="7">
                  <c:v>12358</c:v>
                </c:pt>
                <c:pt idx="8">
                  <c:v>260</c:v>
                </c:pt>
                <c:pt idx="9">
                  <c:v>4849</c:v>
                </c:pt>
                <c:pt idx="10">
                  <c:v>495</c:v>
                </c:pt>
                <c:pt idx="11">
                  <c:v>556</c:v>
                </c:pt>
                <c:pt idx="12">
                  <c:v>1778</c:v>
                </c:pt>
                <c:pt idx="13">
                  <c:v>5570</c:v>
                </c:pt>
                <c:pt idx="14">
                  <c:v>22424</c:v>
                </c:pt>
                <c:pt idx="15">
                  <c:v>35864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A-499B-953B-A84D849D1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83%</c:v>
                </c:pt>
                <c:pt idx="4">
                  <c:v>100%</c:v>
                </c:pt>
                <c:pt idx="5">
                  <c:v>100%</c:v>
                </c:pt>
                <c:pt idx="6">
                  <c:v>0%</c:v>
                </c:pt>
                <c:pt idx="7">
                  <c:v>100%</c:v>
                </c:pt>
                <c:pt idx="8">
                  <c:v>25%</c:v>
                </c:pt>
                <c:pt idx="9">
                  <c:v>92%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88%</c:v>
                </c:pt>
                <c:pt idx="15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0.25</c:v>
                </c:pt>
                <c:pt idx="9">
                  <c:v>0.91666666666666663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0.875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A-4D7C-936A-B372849F6D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DA-4D7C-936A-B372849F6D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ADAPTER</c:v>
                </c:pt>
                <c:pt idx="1">
                  <c:v>IC GUIDE</c:v>
                </c:pt>
                <c:pt idx="2">
                  <c:v>LEAD GUIDE</c:v>
                </c:pt>
                <c:pt idx="3">
                  <c:v>ACTUATOR</c:v>
                </c:pt>
                <c:pt idx="4">
                  <c:v>STOPPER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12*12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0.52604166666666674</c:v>
                </c:pt>
                <c:pt idx="1">
                  <c:v>0.52604166666666674</c:v>
                </c:pt>
                <c:pt idx="2">
                  <c:v>0.52604166666666674</c:v>
                </c:pt>
                <c:pt idx="3">
                  <c:v>0.52604166666666674</c:v>
                </c:pt>
                <c:pt idx="4">
                  <c:v>0.52604166666666674</c:v>
                </c:pt>
                <c:pt idx="5">
                  <c:v>0.52604166666666674</c:v>
                </c:pt>
                <c:pt idx="6">
                  <c:v>0.52604166666666674</c:v>
                </c:pt>
                <c:pt idx="7">
                  <c:v>0.52604166666666674</c:v>
                </c:pt>
                <c:pt idx="8">
                  <c:v>0.52604166666666674</c:v>
                </c:pt>
                <c:pt idx="9">
                  <c:v>0.52604166666666674</c:v>
                </c:pt>
                <c:pt idx="10">
                  <c:v>0.52604166666666674</c:v>
                </c:pt>
                <c:pt idx="11">
                  <c:v>0.52604166666666674</c:v>
                </c:pt>
                <c:pt idx="12">
                  <c:v>0.52604166666666674</c:v>
                </c:pt>
                <c:pt idx="13">
                  <c:v>0.52604166666666674</c:v>
                </c:pt>
                <c:pt idx="14">
                  <c:v>0.52604166666666674</c:v>
                </c:pt>
                <c:pt idx="15">
                  <c:v>0.52604166666666674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A-4D7C-936A-B372849F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06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BE1-4816-908A-43938EA679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1-4816-908A-43938EA6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BE1-4816-908A-43938EA679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E1-4816-908A-43938EA6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06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0.29166666666666669</c:v>
                </c:pt>
                <c:pt idx="1">
                  <c:v>0.33854166666666669</c:v>
                </c:pt>
                <c:pt idx="2">
                  <c:v>0.46354166666666663</c:v>
                </c:pt>
                <c:pt idx="3">
                  <c:v>0.47619047619047616</c:v>
                </c:pt>
                <c:pt idx="4">
                  <c:v>0.52864583333333337</c:v>
                </c:pt>
                <c:pt idx="5">
                  <c:v>0.5</c:v>
                </c:pt>
                <c:pt idx="6">
                  <c:v>0.23177083333333334</c:v>
                </c:pt>
                <c:pt idx="7">
                  <c:v>0.640625</c:v>
                </c:pt>
                <c:pt idx="8">
                  <c:v>0.6064814814814814</c:v>
                </c:pt>
                <c:pt idx="9">
                  <c:v>0.546875</c:v>
                </c:pt>
                <c:pt idx="10">
                  <c:v>0.51302083333333326</c:v>
                </c:pt>
                <c:pt idx="11">
                  <c:v>0.62760416666666674</c:v>
                </c:pt>
                <c:pt idx="12">
                  <c:v>0.39843749999999994</c:v>
                </c:pt>
                <c:pt idx="14">
                  <c:v>0.50462962962962954</c:v>
                </c:pt>
                <c:pt idx="15">
                  <c:v>0.45965471104371408</c:v>
                </c:pt>
                <c:pt idx="16">
                  <c:v>0.41176470588235298</c:v>
                </c:pt>
                <c:pt idx="17">
                  <c:v>0.625</c:v>
                </c:pt>
                <c:pt idx="18">
                  <c:v>0.49019607843137258</c:v>
                </c:pt>
                <c:pt idx="19">
                  <c:v>0.55208333333333326</c:v>
                </c:pt>
                <c:pt idx="21">
                  <c:v>0.61458333333333337</c:v>
                </c:pt>
                <c:pt idx="22">
                  <c:v>0.44583333333333341</c:v>
                </c:pt>
                <c:pt idx="23">
                  <c:v>0.58333333333333337</c:v>
                </c:pt>
                <c:pt idx="24">
                  <c:v>0.57352941176470595</c:v>
                </c:pt>
                <c:pt idx="25">
                  <c:v>0.52696078431372562</c:v>
                </c:pt>
                <c:pt idx="26">
                  <c:v>0.53645833333333337</c:v>
                </c:pt>
                <c:pt idx="28">
                  <c:v>0.44791666666666669</c:v>
                </c:pt>
                <c:pt idx="29">
                  <c:v>0.52604166666666674</c:v>
                </c:pt>
                <c:pt idx="31">
                  <c:v>0.44871288151347094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06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0.46249999999999986</c:v>
                </c:pt>
                <c:pt idx="1">
                  <c:v>0.12500000000000003</c:v>
                </c:pt>
                <c:pt idx="2">
                  <c:v>0.75416666666666665</c:v>
                </c:pt>
                <c:pt idx="3">
                  <c:v>0.63194444444444442</c:v>
                </c:pt>
                <c:pt idx="4">
                  <c:v>0.72777777777777775</c:v>
                </c:pt>
                <c:pt idx="5">
                  <c:v>0.51249999999999996</c:v>
                </c:pt>
                <c:pt idx="6">
                  <c:v>0.43611111111111112</c:v>
                </c:pt>
                <c:pt idx="7">
                  <c:v>0.73611111111111105</c:v>
                </c:pt>
                <c:pt idx="8">
                  <c:v>5.694444444444445E-2</c:v>
                </c:pt>
                <c:pt idx="9">
                  <c:v>0.41919531639262581</c:v>
                </c:pt>
                <c:pt idx="10">
                  <c:v>3.888888888888889E-2</c:v>
                </c:pt>
                <c:pt idx="11">
                  <c:v>0.4152777777777778</c:v>
                </c:pt>
                <c:pt idx="12">
                  <c:v>0.36388888888888882</c:v>
                </c:pt>
                <c:pt idx="13">
                  <c:v>0.55555555555555558</c:v>
                </c:pt>
                <c:pt idx="14">
                  <c:v>0.64444444444444438</c:v>
                </c:pt>
                <c:pt idx="15">
                  <c:v>0.5358082228239488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2.xml"/><Relationship Id="rId1" Type="http://schemas.openxmlformats.org/officeDocument/2006/relationships/chart" Target="../charts/chart121.xml"/><Relationship Id="rId6" Type="http://schemas.openxmlformats.org/officeDocument/2006/relationships/chart" Target="../charts/chart125.xml"/><Relationship Id="rId5" Type="http://schemas.openxmlformats.org/officeDocument/2006/relationships/chart" Target="../charts/chart124.xml"/><Relationship Id="rId4" Type="http://schemas.openxmlformats.org/officeDocument/2006/relationships/chart" Target="../charts/chart123.xml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7.xml"/><Relationship Id="rId1" Type="http://schemas.openxmlformats.org/officeDocument/2006/relationships/chart" Target="../charts/chart126.xml"/><Relationship Id="rId6" Type="http://schemas.openxmlformats.org/officeDocument/2006/relationships/chart" Target="../charts/chart130.xml"/><Relationship Id="rId5" Type="http://schemas.openxmlformats.org/officeDocument/2006/relationships/chart" Target="../charts/chart129.xml"/><Relationship Id="rId4" Type="http://schemas.openxmlformats.org/officeDocument/2006/relationships/chart" Target="../charts/chart128.xml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2.xml"/><Relationship Id="rId1" Type="http://schemas.openxmlformats.org/officeDocument/2006/relationships/chart" Target="../charts/chart131.xml"/><Relationship Id="rId6" Type="http://schemas.openxmlformats.org/officeDocument/2006/relationships/chart" Target="../charts/chart135.xml"/><Relationship Id="rId5" Type="http://schemas.openxmlformats.org/officeDocument/2006/relationships/chart" Target="../charts/chart134.xml"/><Relationship Id="rId4" Type="http://schemas.openxmlformats.org/officeDocument/2006/relationships/chart" Target="../charts/chart133.xml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7.xml"/><Relationship Id="rId1" Type="http://schemas.openxmlformats.org/officeDocument/2006/relationships/chart" Target="../charts/chart1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9C0EFC4-D32F-4F85-A525-90DB5E337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DFE009E-35FF-4A09-93B0-F0CDA8552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4AAFE63-68EC-4F07-8BA2-CB1CA12E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7412A83-DB66-4008-BDE3-F4887557C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938B387-FC08-4195-82F3-48C30AE13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B81B9A9-5A3C-46A9-9825-F68D0ACC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05C89D8-3DEE-49EF-ACB2-498456F8E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F35EF43-5FF3-4E39-9FD9-C417F0BAB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C617439-2055-470E-8F0B-3EA077A4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DD485CD-0523-4CE2-8E6E-1B4A2E442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08067C0-4F20-4798-B596-D7E5B3EE2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5302F02-5692-4656-ABB8-99B2ADC23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303321A-D494-4ECE-91DD-4B9AD856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429F386-D499-4F21-9E6F-32936AEC2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765B44A-2009-4EB3-8A9F-64EB7F58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CB08EF6-C8B0-4D39-9BF5-FD91525A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FEC249C-730B-47DF-8AE9-75BCCB93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E9F9B69-4A9B-4DE4-94B3-E81E479F9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9C6E80D-DB6F-446F-8B91-C1B0671E2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F8EE304-ADF2-49FF-B031-E1504CA88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54651A7-220E-4677-A65B-55FBDA29A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29</xdr:row>
      <xdr:rowOff>0</xdr:rowOff>
    </xdr:from>
    <xdr:to>
      <xdr:col>12</xdr:col>
      <xdr:colOff>1199028</xdr:colOff>
      <xdr:row>42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827FB18-19EF-4030-BC8C-54236BC5D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29</xdr:row>
      <xdr:rowOff>0</xdr:rowOff>
    </xdr:from>
    <xdr:to>
      <xdr:col>29</xdr:col>
      <xdr:colOff>457200</xdr:colOff>
      <xdr:row>42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829D18-EAAB-46EF-8E9F-0D4305578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E224BAB-BD73-4FE8-A8EF-49107B1E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29</xdr:row>
      <xdr:rowOff>0</xdr:rowOff>
    </xdr:from>
    <xdr:to>
      <xdr:col>12</xdr:col>
      <xdr:colOff>1199028</xdr:colOff>
      <xdr:row>42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29B1615-56A2-41A6-A8EC-09A60B417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29</xdr:row>
      <xdr:rowOff>0</xdr:rowOff>
    </xdr:from>
    <xdr:to>
      <xdr:col>29</xdr:col>
      <xdr:colOff>457200</xdr:colOff>
      <xdr:row>42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49F7223-458D-4178-9726-9D0252715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3080CAD-A490-4929-8B82-92C741E1F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43</xdr:row>
      <xdr:rowOff>13607</xdr:rowOff>
    </xdr:from>
    <xdr:to>
      <xdr:col>29</xdr:col>
      <xdr:colOff>476250</xdr:colOff>
      <xdr:row>51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534DC67-98CF-4AE4-821B-A5FE0E4BC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49B6BDC-6F35-4CA9-9162-1AC37FCEE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4A6C831-3402-4EE7-9D18-B8BA9C260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0221B7D-E690-45B6-9413-51A1C226C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D16311-4381-4DA8-81D8-F1AA2E99F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979027C-EB22-46E1-9586-41BF1B13C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CAD7720-6364-4CF6-897B-71E88C06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4856698-E8EA-4C02-A741-0612D46ED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3DF9AE-AA0D-442A-AFEB-C40CD33CB9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9FA35AB-199A-4A2B-BC5A-EF6178E0A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B3E285E-FB4F-4104-83E8-8D1B2C29A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A33B9CB-1A39-4E36-B2F9-36B0B6F11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345CA27-A2F8-4701-9430-9F65C94CA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11CFF30-2577-4F93-8F6D-5A594190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FE29F6A-4036-41C9-858B-D5718DF29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A22EA2E-795F-4F59-8456-640479657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9B6221-DE6A-4074-93B0-9E3AD3A45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10420E4-544C-4262-AF5F-66850EC17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5BCB928-D755-45E0-8C97-E25511A1C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DBA4A7D-89E5-4214-A76F-0CC3A9F48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6C4EC32-FF30-40A9-9997-A6BEB5ECF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FE50978-6F6B-4FBC-B7B2-4B0AE726D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FF11252-40ED-4B6B-AA34-4D54716AB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85AED30-238D-44F0-B044-D580804F8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45676F-2230-4F9E-B7D3-AD9FD4378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81BD5CE-27A8-41E8-B70A-0C1A6E6D5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FC7E87D-DEEF-4702-927C-CE649FE2F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00ECD62-74A3-4D3C-9993-51483B9E2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6026012-91DC-42D6-A297-62B1FE2EA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3AF59E-4E73-4C15-B3A9-64663DF06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7463187-811F-43B9-BC28-A061E21FD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34B0559-4F6C-4399-AF05-FA5A3904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520ACD2-6BF4-470C-9149-592ABA346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52ADCF4-FDFE-455E-BB55-232C0B1AF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5F58841-A6F1-4329-87EB-6A0698CE1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66CAECC-03F4-496E-AFD2-631DB24CA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BC10E5-E08C-4672-9AC5-2B1E8F36F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9A02B9-8E84-4976-9D9F-93C62A770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65A2509-EF87-4BD9-BE48-7F06D10B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264FE78-E72B-4C27-AACA-1345A923C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490C640-7E80-4F8F-ABF5-91893BE6C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C85C3B1-ABAE-4DA9-8DB9-999431536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6B9C5BB-EC01-44E5-8244-07698216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DCA24DD-64EB-45E9-BF1C-7A884EED83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F5BB048-CFAB-41BE-B3CF-F8139D627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CED6CB0-E416-4941-8FD0-8845E93B9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1EA9DC9-D7AA-46A2-AE12-5DC070296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B279340-EF15-4F3E-B14C-AB8C503C6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79481D7-E9FD-449C-93EB-F1FD78B4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8FC8BD5-3DC5-4350-AEF0-47F0EAB3F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705509-17BE-46CF-9CA1-7DA51463E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02E5387-652A-4744-96B1-800DBD02A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911CBA3-D386-4C7E-8276-1B7B5B0C3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A8FD890-E7CF-4D97-95B3-9CF0B5731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1A56699-F910-4B07-AAEE-0408D36B4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6787749-D7B6-40AA-B466-317C503C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0228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8AF9CF1-C8EB-4C40-8F4D-60FACF308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2E552F1-CCC5-40B7-8CFF-3F6C7FAD8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5CFC916-0151-4CBC-832B-32720543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8547291-9236-44AE-A8A3-B02197F43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471FBA9-F61D-41F3-88E8-0B975E325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315ABAD-B1D4-4890-B3A8-F8CDE0C24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DB74895-1F2E-49F1-9455-CA96490C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C0A5598-1C27-4FCA-A7C6-88A8B2BFB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C4BDC9C-A850-4B72-807C-60CFDDE70E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F9E921F-74B1-4A8C-B6CF-44C8B7B31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39B882E-64C8-4CE1-8413-031B1993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8C009F9-D422-407F-B319-162403EDF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A4D7350-DD2B-46E2-AC46-E21BDE8FD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EFF44D8-BFE6-4A76-B692-E376EAAD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6041E2B-E73E-4162-9487-BB2EA0CBE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8A9ABE9-9EFF-4EEB-A1A8-321EFF2F1E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CFBF48A-2CB2-4684-B889-EE1C1C180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DE03102-B86E-485D-BD97-C068F2737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E02E0F7-BE93-45D9-884C-179E602E8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214BF6D-E0CC-4F31-A3F1-DE0C2850B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E74DA79-F9BE-4967-8FB5-57FEDF7EC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BE178D0-C75C-4D14-AEDD-168B92CD9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110E4DD-5723-439E-9C9D-1EFCE22AA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391593-2282-4709-B9CF-9A65F360D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D04B5F2-8F67-4F04-A7A8-7E002394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85371A7-D830-4DBA-8666-F6DD38047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18480D7-FA7D-445C-8048-FDE201A82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39F0A71-D489-43A8-92E2-3E74151BE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21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36F8A7-BB38-4360-AF20-3052CB6F7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14D7C15-E31B-4E68-B080-44E366CCF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C3D4FF9-6D67-4995-BBC8-8311C13B9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B5E4949-5055-4BFB-8400-9CCF2A06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B310637-31AE-4C20-96B3-A53CF4AF1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9D817D3-73A7-4E92-BFD4-392325661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9AF60C0-DDF6-4771-9E16-64521834F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D24F998-DB5C-4BC4-B718-5BFFCC8E2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1D2137A-D259-403D-9FF5-25621A0EF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EF69DC1-824F-45D3-A7DA-1C3C2BBA4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BC236A5-2748-4E6D-A5A2-ED031D6DE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81C4770-2852-48ED-9550-2F36BA7C6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0E449E7-1111-4839-84B0-AA08E42E0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DCDE675-2221-4A8A-9B52-098D3015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03713FF-6BB5-4F4D-9877-834CC94E0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BD9ECC-4661-43C2-902F-49BDF48DB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C6B0743-F8D2-41C7-9BC2-0C25A3D28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A8DEC1C-BDF6-4078-A244-32656318B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5C47721-94A7-4EC3-9701-93C3AAE91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231FC6A-5FC0-47E7-B227-338BA0597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5BFE6D5-79BB-4DCE-AF87-C59D18A7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BE8C34E-1B6F-4D4B-92B4-D95A3A52F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E9F808-A28B-40C9-BCC7-E6779CF8E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8859A42-3ABA-45B7-BDEC-0BEBA885E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63A23E6-1A6F-46D8-AEDF-1817D9A5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0ADDAFC-229F-4C74-AB2C-44825847C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F5FD659-EB40-41CD-AD6F-DF4354C8A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E3CD255-3943-4D4E-A270-27155E44B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6C5EC4F-4A35-4A3F-9E16-7099E913B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BEC6FF-87FA-427B-9AB5-7AEEF74A7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3B8C3CF-7B8F-415D-9544-1C2C29B1E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FFBA0DE-7A4E-448D-9877-735B9321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52EA224-2DF5-4C7C-832F-AD6BAEF9D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1C0378A-D189-42A2-B030-DE4D5360C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C73EFF1-3EAD-4013-ADD7-0719CED0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42</xdr:row>
      <xdr:rowOff>13607</xdr:rowOff>
    </xdr:from>
    <xdr:to>
      <xdr:col>29</xdr:col>
      <xdr:colOff>476250</xdr:colOff>
      <xdr:row>50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8088EE9-825A-41B8-8CBB-E03A40949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B022AE3-E345-451E-9CCA-5886D8957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279E381-890B-4FCE-945C-179988FC8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109FEA3-2DFE-48E7-8509-70F2B9D0B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F28A323-8720-4AA2-BBC9-B8BCFB9E5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3E84E20-8CA2-4825-B59C-E6ED48565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4DFF433-0A15-4043-84A9-F494CD69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9383A2E-8B01-4DBE-AD85-5A3A87AAD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71849E-E4C5-405E-B46E-1EBCDC008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6F47B5B-4F78-4B46-9059-92F4848C4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7E790F4-8CAC-4904-9C4F-F3F2B284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884FF43-5D11-4F60-9A3D-A3A883186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903761E-B434-41C5-9DA6-6A6D39449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F422443-D846-4A83-908F-031BCAF79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6891276-716D-4133-9C41-05B7E64BA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933153-71A8-4D8A-8C84-BED2ADBFF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19F7C1B-858C-4348-AD65-27C619871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CBBDDA9-3CA5-46AA-A9B9-E8A7A93F3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B241A57-9F2D-47D3-B458-EF6F74A63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4B62FFC-2896-457C-878C-A4B233401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A1AD01D-0736-45FE-B9DA-4BE62FB3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4416F67-E890-4000-832A-EAA98D63A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CD4F4B-2F30-4039-B6E0-F2720722F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A500578-D134-4C66-842D-24149EC08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4A2E917-EDBC-487E-B09B-BD8591B4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915AA2B-C70F-458D-B45F-0B56E7848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1A3A0BE-2B37-403C-8245-A9EC91268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8D0AAB4-3C79-4125-A9F0-1A1493112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11329D5-4165-494B-82AD-BD42D5071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2C91BFD-8735-432A-82C3-59DC7292F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2CFCB8E-5CB4-4876-8B0A-3B22CD2A7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6ECB7BC-44E7-4BD7-BC6E-9E28B28D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A290739-B563-4729-BBA7-A7E46DA05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D6059A8-03A7-42CF-B61A-1DDCB9D4D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D237982-EAA7-4298-9735-9FEE29CA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A0A5244-1CAD-47BC-816F-31CE439EA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CDD480-8E1B-423C-B6F0-B841ECE49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087D2A-60DD-4929-99B0-BD70D27C8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380C24C-37D6-4F51-8C81-0C1B73CA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528A5A9-6B71-4932-B291-0366E4D68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B969C02-B317-4A72-AB1B-13EBB0471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70F6724-4F78-42B1-A330-23562DF1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6428" y="54428"/>
          <a:ext cx="32929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3157173-BD83-4829-99A1-58DB22552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36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36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47AD-C738-4B58-86FB-0D98956EDF00}">
  <sheetPr codeName="Sheet2"/>
  <dimension ref="A1:AF87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165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120" t="s">
        <v>17</v>
      </c>
      <c r="L5" s="120" t="s">
        <v>18</v>
      </c>
      <c r="M5" s="120" t="s">
        <v>19</v>
      </c>
      <c r="N5" s="1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149</v>
      </c>
      <c r="F6" s="30" t="s">
        <v>128</v>
      </c>
      <c r="G6" s="12">
        <v>1</v>
      </c>
      <c r="H6" s="13">
        <v>24</v>
      </c>
      <c r="I6" s="31">
        <v>7000</v>
      </c>
      <c r="J6" s="5">
        <v>5612</v>
      </c>
      <c r="K6" s="15">
        <f>L6+3044</f>
        <v>8656</v>
      </c>
      <c r="L6" s="15">
        <f>2714+2898</f>
        <v>5612</v>
      </c>
      <c r="M6" s="15">
        <f t="shared" ref="M6:M21" si="0">L6-N6</f>
        <v>5612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0.29166666666666669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0.29166666666666669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150</v>
      </c>
      <c r="E8" s="53" t="s">
        <v>153</v>
      </c>
      <c r="F8" s="30" t="s">
        <v>129</v>
      </c>
      <c r="G8" s="33">
        <v>1</v>
      </c>
      <c r="H8" s="35">
        <v>24</v>
      </c>
      <c r="I8" s="7">
        <v>10000</v>
      </c>
      <c r="J8" s="14">
        <v>2454</v>
      </c>
      <c r="K8" s="15">
        <f>L8+4254+1756+3035+3563+1503+4510+5243+2454</f>
        <v>26318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0.29166666666666669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73000</v>
      </c>
      <c r="J9" s="14">
        <v>2490</v>
      </c>
      <c r="K9" s="15">
        <f>L9+3600</f>
        <v>6090</v>
      </c>
      <c r="L9" s="15">
        <f>1245*2</f>
        <v>2490</v>
      </c>
      <c r="M9" s="15">
        <f t="shared" si="0"/>
        <v>2490</v>
      </c>
      <c r="N9" s="15">
        <v>0</v>
      </c>
      <c r="O9" s="58">
        <f t="shared" si="1"/>
        <v>0</v>
      </c>
      <c r="P9" s="39">
        <f t="shared" si="2"/>
        <v>7</v>
      </c>
      <c r="Q9" s="40">
        <f t="shared" si="3"/>
        <v>17</v>
      </c>
      <c r="R9" s="7"/>
      <c r="S9" s="6"/>
      <c r="T9" s="16"/>
      <c r="U9" s="16"/>
      <c r="V9" s="17">
        <v>17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6">
        <f t="shared" si="7"/>
        <v>0.29166666666666669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141</v>
      </c>
      <c r="E10" s="53" t="s">
        <v>155</v>
      </c>
      <c r="F10" s="30" t="s">
        <v>124</v>
      </c>
      <c r="G10" s="33">
        <v>2</v>
      </c>
      <c r="H10" s="35">
        <v>24</v>
      </c>
      <c r="I10" s="7">
        <v>6000</v>
      </c>
      <c r="J10" s="5">
        <v>6524</v>
      </c>
      <c r="K10" s="15">
        <f>L10+6524</f>
        <v>6524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0.29166666666666669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141</v>
      </c>
      <c r="E11" s="53" t="s">
        <v>143</v>
      </c>
      <c r="F11" s="30" t="s">
        <v>129</v>
      </c>
      <c r="G11" s="33">
        <v>1</v>
      </c>
      <c r="H11" s="35">
        <v>24</v>
      </c>
      <c r="I11" s="7">
        <v>4000</v>
      </c>
      <c r="J11" s="14">
        <v>3047</v>
      </c>
      <c r="K11" s="15">
        <f>L11</f>
        <v>3047</v>
      </c>
      <c r="L11" s="15">
        <f>2843+204</f>
        <v>3047</v>
      </c>
      <c r="M11" s="15">
        <f t="shared" si="0"/>
        <v>3047</v>
      </c>
      <c r="N11" s="15">
        <v>0</v>
      </c>
      <c r="O11" s="58">
        <f t="shared" si="1"/>
        <v>0</v>
      </c>
      <c r="P11" s="39">
        <f t="shared" si="2"/>
        <v>15</v>
      </c>
      <c r="Q11" s="40">
        <f t="shared" si="3"/>
        <v>9</v>
      </c>
      <c r="R11" s="7"/>
      <c r="S11" s="6">
        <v>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0.625</v>
      </c>
      <c r="AD11" s="10">
        <f t="shared" ref="AD11:AD14" si="9">AC11*AB11*(1-O11)</f>
        <v>0.625</v>
      </c>
      <c r="AE11" s="36">
        <f t="shared" si="7"/>
        <v>0.29166666666666669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2432</v>
      </c>
      <c r="K12" s="15">
        <f>L12+4200</f>
        <v>6632</v>
      </c>
      <c r="L12" s="15">
        <f>1216*2</f>
        <v>2432</v>
      </c>
      <c r="M12" s="15">
        <f t="shared" si="0"/>
        <v>2432</v>
      </c>
      <c r="N12" s="15">
        <v>0</v>
      </c>
      <c r="O12" s="58">
        <f t="shared" si="1"/>
        <v>0</v>
      </c>
      <c r="P12" s="39">
        <f t="shared" si="2"/>
        <v>7</v>
      </c>
      <c r="Q12" s="40">
        <f t="shared" si="3"/>
        <v>17</v>
      </c>
      <c r="R12" s="7"/>
      <c r="S12" s="6"/>
      <c r="T12" s="16"/>
      <c r="U12" s="16"/>
      <c r="V12" s="17">
        <v>17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0.29166666666666669</v>
      </c>
      <c r="AD12" s="10">
        <f t="shared" si="9"/>
        <v>0.29166666666666669</v>
      </c>
      <c r="AE12" s="36">
        <f t="shared" si="7"/>
        <v>0.29166666666666669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10230</v>
      </c>
      <c r="K13" s="15">
        <f>L13</f>
        <v>10230</v>
      </c>
      <c r="L13" s="15">
        <f>2512*2+2603*2</f>
        <v>10230</v>
      </c>
      <c r="M13" s="15">
        <f t="shared" si="0"/>
        <v>10230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0.29166666666666669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121</v>
      </c>
      <c r="D14" s="52" t="s">
        <v>157</v>
      </c>
      <c r="E14" s="53"/>
      <c r="F14" s="30" t="s">
        <v>124</v>
      </c>
      <c r="G14" s="33" t="s">
        <v>158</v>
      </c>
      <c r="H14" s="35">
        <v>24</v>
      </c>
      <c r="I14" s="7">
        <v>5000</v>
      </c>
      <c r="J14" s="5">
        <v>3358</v>
      </c>
      <c r="K14" s="15">
        <f>L14+2880+3392+3142+3358</f>
        <v>12772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0.29166666666666669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2422</v>
      </c>
      <c r="K15" s="15">
        <f>L15</f>
        <v>2422</v>
      </c>
      <c r="L15" s="15">
        <f>1211*2</f>
        <v>2422</v>
      </c>
      <c r="M15" s="15">
        <f t="shared" si="0"/>
        <v>2422</v>
      </c>
      <c r="N15" s="15">
        <v>0</v>
      </c>
      <c r="O15" s="58">
        <f t="shared" si="1"/>
        <v>0</v>
      </c>
      <c r="P15" s="39">
        <f t="shared" si="2"/>
        <v>5</v>
      </c>
      <c r="Q15" s="40">
        <f t="shared" si="3"/>
        <v>19</v>
      </c>
      <c r="R15" s="7"/>
      <c r="S15" s="6"/>
      <c r="T15" s="16"/>
      <c r="U15" s="16"/>
      <c r="V15" s="17">
        <v>19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0.20833333333333334</v>
      </c>
      <c r="AD15" s="10">
        <f t="shared" si="6"/>
        <v>0.20833333333333334</v>
      </c>
      <c r="AE15" s="36">
        <f t="shared" si="7"/>
        <v>0.29166666666666669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146</v>
      </c>
      <c r="E16" s="53" t="s">
        <v>145</v>
      </c>
      <c r="F16" s="30" t="s">
        <v>131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0.29166666666666669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162</v>
      </c>
      <c r="F17" s="30" t="s">
        <v>140</v>
      </c>
      <c r="G17" s="12">
        <v>2</v>
      </c>
      <c r="H17" s="13">
        <v>24</v>
      </c>
      <c r="I17" s="7">
        <v>1000</v>
      </c>
      <c r="J17" s="14">
        <v>1049</v>
      </c>
      <c r="K17" s="15">
        <f>L17</f>
        <v>1049</v>
      </c>
      <c r="L17" s="15">
        <v>1049</v>
      </c>
      <c r="M17" s="15">
        <f t="shared" si="0"/>
        <v>1049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>
        <v>18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7"/>
        <v>0.29166666666666669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147</v>
      </c>
      <c r="F18" s="30" t="s">
        <v>132</v>
      </c>
      <c r="G18" s="33">
        <v>1</v>
      </c>
      <c r="H18" s="35">
        <v>24</v>
      </c>
      <c r="I18" s="7">
        <v>20000</v>
      </c>
      <c r="J18" s="14">
        <v>5207</v>
      </c>
      <c r="K18" s="15">
        <f>L18+3143+5226+5251+4739+4938+5342+804+3385+5207</f>
        <v>38035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0.29166666666666669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142</v>
      </c>
      <c r="E19" s="53" t="s">
        <v>163</v>
      </c>
      <c r="F19" s="30" t="s">
        <v>129</v>
      </c>
      <c r="G19" s="33" t="s">
        <v>164</v>
      </c>
      <c r="H19" s="35">
        <v>24</v>
      </c>
      <c r="I19" s="7">
        <v>1000</v>
      </c>
      <c r="J19" s="5">
        <v>841</v>
      </c>
      <c r="K19" s="15">
        <f>L19+841</f>
        <v>841</v>
      </c>
      <c r="L19" s="15"/>
      <c r="M19" s="15">
        <f t="shared" ref="M19" si="10">L19-N19</f>
        <v>0</v>
      </c>
      <c r="N19" s="15">
        <v>0</v>
      </c>
      <c r="O19" s="58" t="str">
        <f t="shared" ref="O19" si="11">IF(L19=0,"0",N19/L19)</f>
        <v>0</v>
      </c>
      <c r="P19" s="39" t="str">
        <f t="shared" ref="P19" si="12">IF(L19=0,"0",(24-Q19))</f>
        <v>0</v>
      </c>
      <c r="Q19" s="40">
        <f t="shared" ref="Q19" si="13">SUM(R19:AA19)</f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ref="AB19" si="14">IF(J19=0,"0",(L19/J19))</f>
        <v>0</v>
      </c>
      <c r="AC19" s="9">
        <f t="shared" ref="AC19" si="15">IF(P19=0,"0",(P19/24))</f>
        <v>0</v>
      </c>
      <c r="AD19" s="10">
        <f>AC19*AB19*(1-O19)</f>
        <v>0</v>
      </c>
      <c r="AE19" s="36">
        <f t="shared" si="7"/>
        <v>0.29166666666666669</v>
      </c>
      <c r="AF19" s="84">
        <f t="shared" ref="AF19" si="16">A19</f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159</v>
      </c>
      <c r="F20" s="30" t="s">
        <v>119</v>
      </c>
      <c r="G20" s="12">
        <v>1</v>
      </c>
      <c r="H20" s="13">
        <v>28</v>
      </c>
      <c r="I20" s="31">
        <v>10000</v>
      </c>
      <c r="J20" s="5">
        <v>4719</v>
      </c>
      <c r="K20" s="15">
        <f>L20+3810+4285+4661+4561+4719</f>
        <v>22036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 t="shared" ref="AD20" si="17">AC20*AB20*(1-O20)</f>
        <v>0</v>
      </c>
      <c r="AE20" s="36">
        <f t="shared" si="7"/>
        <v>0.29166666666666669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134</v>
      </c>
      <c r="F21" s="12" t="s">
        <v>114</v>
      </c>
      <c r="G21" s="12">
        <v>4</v>
      </c>
      <c r="H21" s="35">
        <v>20</v>
      </c>
      <c r="I21" s="7">
        <v>300000</v>
      </c>
      <c r="J21" s="14">
        <v>66628</v>
      </c>
      <c r="K21" s="15">
        <f>L21+66912+52516+29980+71540+64240+72608+74100</f>
        <v>498524</v>
      </c>
      <c r="L21" s="15">
        <f>7001*4+8791*4+865*4</f>
        <v>66628</v>
      </c>
      <c r="M21" s="15">
        <f t="shared" si="0"/>
        <v>66628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0.29166666666666669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8">SUM(I6:I21)</f>
        <v>1018000</v>
      </c>
      <c r="J22" s="19">
        <f t="shared" si="18"/>
        <v>123953</v>
      </c>
      <c r="K22" s="20">
        <f t="shared" si="18"/>
        <v>714819</v>
      </c>
      <c r="L22" s="21">
        <f t="shared" si="18"/>
        <v>93910</v>
      </c>
      <c r="M22" s="20">
        <f t="shared" si="18"/>
        <v>93910</v>
      </c>
      <c r="N22" s="21">
        <f t="shared" si="18"/>
        <v>0</v>
      </c>
      <c r="O22" s="41">
        <f t="shared" si="1"/>
        <v>0</v>
      </c>
      <c r="P22" s="42">
        <f t="shared" ref="P22:AA22" si="19">SUM(P6:P21)</f>
        <v>112</v>
      </c>
      <c r="Q22" s="43">
        <f t="shared" si="19"/>
        <v>272</v>
      </c>
      <c r="R22" s="23">
        <f t="shared" si="19"/>
        <v>24</v>
      </c>
      <c r="S22" s="24">
        <f t="shared" si="19"/>
        <v>51</v>
      </c>
      <c r="T22" s="24">
        <f t="shared" si="19"/>
        <v>0</v>
      </c>
      <c r="U22" s="24">
        <f t="shared" si="19"/>
        <v>0</v>
      </c>
      <c r="V22" s="25">
        <f t="shared" si="19"/>
        <v>53</v>
      </c>
      <c r="W22" s="26">
        <f t="shared" si="19"/>
        <v>0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144</v>
      </c>
      <c r="AB22" s="28">
        <f>AVERAGE(AB6:AB21)</f>
        <v>0.5</v>
      </c>
      <c r="AC22" s="4">
        <f>AVERAGE(AC6:AC21)</f>
        <v>0.29166666666666669</v>
      </c>
      <c r="AD22" s="4">
        <f>AVERAGE(AD6:AD21)</f>
        <v>0.29166666666666669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135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136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121" t="s">
        <v>46</v>
      </c>
      <c r="D51" s="121" t="s">
        <v>47</v>
      </c>
      <c r="E51" s="121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121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123" t="s">
        <v>144</v>
      </c>
      <c r="D52" s="123" t="s">
        <v>115</v>
      </c>
      <c r="E52" s="123" t="s">
        <v>160</v>
      </c>
      <c r="F52" s="512" t="s">
        <v>167</v>
      </c>
      <c r="G52" s="513"/>
      <c r="H52" s="513"/>
      <c r="I52" s="513"/>
      <c r="J52" s="513"/>
      <c r="K52" s="513"/>
      <c r="L52" s="513"/>
      <c r="M52" s="514"/>
      <c r="N52" s="122" t="s">
        <v>177</v>
      </c>
      <c r="O52" s="128" t="s">
        <v>178</v>
      </c>
      <c r="P52" s="524"/>
      <c r="Q52" s="525"/>
      <c r="R52" s="524" t="s">
        <v>179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168</v>
      </c>
      <c r="B53" s="511"/>
      <c r="C53" s="123" t="s">
        <v>169</v>
      </c>
      <c r="D53" s="123" t="s">
        <v>170</v>
      </c>
      <c r="E53" s="123" t="s">
        <v>171</v>
      </c>
      <c r="F53" s="512" t="s">
        <v>118</v>
      </c>
      <c r="G53" s="513"/>
      <c r="H53" s="513"/>
      <c r="I53" s="513"/>
      <c r="J53" s="513"/>
      <c r="K53" s="513"/>
      <c r="L53" s="513"/>
      <c r="M53" s="514"/>
      <c r="N53" s="122" t="s">
        <v>183</v>
      </c>
      <c r="O53" s="128" t="s">
        <v>184</v>
      </c>
      <c r="P53" s="524"/>
      <c r="Q53" s="525"/>
      <c r="R53" s="524" t="s">
        <v>181</v>
      </c>
      <c r="S53" s="526"/>
      <c r="T53" s="526"/>
      <c r="U53" s="525"/>
      <c r="V53" s="496" t="s">
        <v>182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123</v>
      </c>
      <c r="B54" s="511"/>
      <c r="C54" s="133" t="s">
        <v>148</v>
      </c>
      <c r="D54" s="133"/>
      <c r="E54" s="133" t="s">
        <v>162</v>
      </c>
      <c r="F54" s="512" t="s">
        <v>176</v>
      </c>
      <c r="G54" s="513"/>
      <c r="H54" s="513"/>
      <c r="I54" s="513"/>
      <c r="J54" s="513"/>
      <c r="K54" s="513"/>
      <c r="L54" s="513"/>
      <c r="M54" s="514"/>
      <c r="N54" s="122"/>
      <c r="O54" s="128"/>
      <c r="P54" s="524"/>
      <c r="Q54" s="525"/>
      <c r="R54" s="524"/>
      <c r="S54" s="526"/>
      <c r="T54" s="526"/>
      <c r="U54" s="525"/>
      <c r="V54" s="496"/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168</v>
      </c>
      <c r="B55" s="511"/>
      <c r="C55" s="123" t="s">
        <v>174</v>
      </c>
      <c r="D55" s="123" t="s">
        <v>175</v>
      </c>
      <c r="E55" s="123" t="s">
        <v>172</v>
      </c>
      <c r="F55" s="512" t="s">
        <v>173</v>
      </c>
      <c r="G55" s="513"/>
      <c r="H55" s="513"/>
      <c r="I55" s="513"/>
      <c r="J55" s="513"/>
      <c r="K55" s="513"/>
      <c r="L55" s="513"/>
      <c r="M55" s="514"/>
      <c r="N55" s="122"/>
      <c r="O55" s="128"/>
      <c r="P55" s="524"/>
      <c r="Q55" s="525"/>
      <c r="R55" s="524"/>
      <c r="S55" s="526"/>
      <c r="T55" s="526"/>
      <c r="U55" s="525"/>
      <c r="V55" s="496"/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/>
      <c r="B56" s="511"/>
      <c r="C56" s="123"/>
      <c r="D56" s="123"/>
      <c r="E56" s="123"/>
      <c r="F56" s="512"/>
      <c r="G56" s="513"/>
      <c r="H56" s="513"/>
      <c r="I56" s="513"/>
      <c r="J56" s="513"/>
      <c r="K56" s="513"/>
      <c r="L56" s="513"/>
      <c r="M56" s="514"/>
      <c r="N56" s="122"/>
      <c r="O56" s="128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132"/>
      <c r="D57" s="132"/>
      <c r="E57" s="132"/>
      <c r="F57" s="512"/>
      <c r="G57" s="513"/>
      <c r="H57" s="513"/>
      <c r="I57" s="513"/>
      <c r="J57" s="513"/>
      <c r="K57" s="513"/>
      <c r="L57" s="513"/>
      <c r="M57" s="514"/>
      <c r="N57" s="122"/>
      <c r="O57" s="128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/>
      <c r="B58" s="511"/>
      <c r="C58" s="123"/>
      <c r="D58" s="123"/>
      <c r="E58" s="123"/>
      <c r="F58" s="512"/>
      <c r="G58" s="513"/>
      <c r="H58" s="513"/>
      <c r="I58" s="513"/>
      <c r="J58" s="513"/>
      <c r="K58" s="513"/>
      <c r="L58" s="513"/>
      <c r="M58" s="514"/>
      <c r="N58" s="122"/>
      <c r="O58" s="128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123"/>
      <c r="D59" s="123"/>
      <c r="E59" s="123"/>
      <c r="F59" s="512"/>
      <c r="G59" s="513"/>
      <c r="H59" s="513"/>
      <c r="I59" s="513"/>
      <c r="J59" s="513"/>
      <c r="K59" s="513"/>
      <c r="L59" s="513"/>
      <c r="M59" s="514"/>
      <c r="N59" s="122"/>
      <c r="O59" s="128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123"/>
      <c r="D60" s="123"/>
      <c r="E60" s="123"/>
      <c r="F60" s="512"/>
      <c r="G60" s="513"/>
      <c r="H60" s="513"/>
      <c r="I60" s="513"/>
      <c r="J60" s="513"/>
      <c r="K60" s="513"/>
      <c r="L60" s="513"/>
      <c r="M60" s="514"/>
      <c r="N60" s="122"/>
      <c r="O60" s="128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124"/>
      <c r="D61" s="125"/>
      <c r="E61" s="125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137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126" t="s">
        <v>2</v>
      </c>
      <c r="D63" s="126" t="s">
        <v>37</v>
      </c>
      <c r="E63" s="126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126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193</v>
      </c>
      <c r="D64" s="130"/>
      <c r="E64" s="127" t="s">
        <v>186</v>
      </c>
      <c r="F64" s="497" t="s">
        <v>185</v>
      </c>
      <c r="G64" s="498"/>
      <c r="H64" s="498"/>
      <c r="I64" s="498"/>
      <c r="J64" s="499"/>
      <c r="K64" s="485" t="s">
        <v>187</v>
      </c>
      <c r="L64" s="485"/>
      <c r="M64" s="51" t="s">
        <v>188</v>
      </c>
      <c r="N64" s="494" t="s">
        <v>189</v>
      </c>
      <c r="O64" s="494"/>
      <c r="P64" s="495">
        <v>100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193</v>
      </c>
      <c r="D65" s="130"/>
      <c r="E65" s="127" t="s">
        <v>194</v>
      </c>
      <c r="F65" s="497" t="s">
        <v>190</v>
      </c>
      <c r="G65" s="498"/>
      <c r="H65" s="498"/>
      <c r="I65" s="498"/>
      <c r="J65" s="499"/>
      <c r="K65" s="485" t="s">
        <v>191</v>
      </c>
      <c r="L65" s="485"/>
      <c r="M65" s="51" t="s">
        <v>188</v>
      </c>
      <c r="N65" s="494" t="s">
        <v>192</v>
      </c>
      <c r="O65" s="494"/>
      <c r="P65" s="495">
        <v>100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193</v>
      </c>
      <c r="D66" s="130"/>
      <c r="E66" s="127" t="s">
        <v>170</v>
      </c>
      <c r="F66" s="497" t="s">
        <v>195</v>
      </c>
      <c r="G66" s="498"/>
      <c r="H66" s="498"/>
      <c r="I66" s="498"/>
      <c r="J66" s="499"/>
      <c r="K66" s="485" t="s">
        <v>191</v>
      </c>
      <c r="L66" s="485"/>
      <c r="M66" s="51" t="s">
        <v>196</v>
      </c>
      <c r="N66" s="494" t="s">
        <v>197</v>
      </c>
      <c r="O66" s="494"/>
      <c r="P66" s="495">
        <v>100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 t="s">
        <v>193</v>
      </c>
      <c r="D67" s="130"/>
      <c r="E67" s="127" t="s">
        <v>194</v>
      </c>
      <c r="F67" s="497" t="s">
        <v>198</v>
      </c>
      <c r="G67" s="498"/>
      <c r="H67" s="498"/>
      <c r="I67" s="498"/>
      <c r="J67" s="499"/>
      <c r="K67" s="485" t="s">
        <v>191</v>
      </c>
      <c r="L67" s="485"/>
      <c r="M67" s="51" t="s">
        <v>196</v>
      </c>
      <c r="N67" s="494" t="s">
        <v>197</v>
      </c>
      <c r="O67" s="494"/>
      <c r="P67" s="495"/>
      <c r="Q67" s="495"/>
      <c r="R67" s="496" t="s">
        <v>199</v>
      </c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 t="s">
        <v>193</v>
      </c>
      <c r="D68" s="130"/>
      <c r="E68" s="127" t="s">
        <v>115</v>
      </c>
      <c r="F68" s="497" t="s">
        <v>200</v>
      </c>
      <c r="G68" s="498"/>
      <c r="H68" s="498"/>
      <c r="I68" s="498"/>
      <c r="J68" s="499"/>
      <c r="K68" s="485" t="s">
        <v>191</v>
      </c>
      <c r="L68" s="485"/>
      <c r="M68" s="51" t="s">
        <v>188</v>
      </c>
      <c r="N68" s="494" t="s">
        <v>201</v>
      </c>
      <c r="O68" s="494"/>
      <c r="P68" s="495">
        <v>100</v>
      </c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 t="s">
        <v>193</v>
      </c>
      <c r="D69" s="130"/>
      <c r="E69" s="127" t="s">
        <v>170</v>
      </c>
      <c r="F69" s="497" t="s">
        <v>202</v>
      </c>
      <c r="G69" s="498"/>
      <c r="H69" s="498"/>
      <c r="I69" s="498"/>
      <c r="J69" s="499"/>
      <c r="K69" s="485" t="s">
        <v>191</v>
      </c>
      <c r="L69" s="485"/>
      <c r="M69" s="51" t="s">
        <v>188</v>
      </c>
      <c r="N69" s="494" t="s">
        <v>203</v>
      </c>
      <c r="O69" s="494"/>
      <c r="P69" s="495">
        <v>100</v>
      </c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130"/>
      <c r="E70" s="127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130"/>
      <c r="E71" s="127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130"/>
      <c r="E72" s="127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130"/>
      <c r="E73" s="127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138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129" t="s">
        <v>2</v>
      </c>
      <c r="D75" s="129" t="s">
        <v>37</v>
      </c>
      <c r="E75" s="129" t="s">
        <v>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131" t="s">
        <v>112</v>
      </c>
      <c r="D76" s="131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130"/>
      <c r="D77" s="130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20">A77+1</f>
        <v>3</v>
      </c>
      <c r="B78" s="453"/>
      <c r="C78" s="130"/>
      <c r="D78" s="130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20"/>
        <v>4</v>
      </c>
      <c r="B79" s="453"/>
      <c r="C79" s="130"/>
      <c r="D79" s="130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20"/>
        <v>5</v>
      </c>
      <c r="B80" s="453"/>
      <c r="C80" s="130"/>
      <c r="D80" s="130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20"/>
        <v>6</v>
      </c>
      <c r="B81" s="453"/>
      <c r="C81" s="130"/>
      <c r="D81" s="130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0"/>
        <v>7</v>
      </c>
      <c r="B82" s="453"/>
      <c r="C82" s="130"/>
      <c r="D82" s="130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139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1"/>
      <c r="U85" s="461"/>
      <c r="V85" s="462"/>
      <c r="W85" s="462"/>
      <c r="X85" s="462"/>
      <c r="Y85" s="463"/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0084-6A1D-466E-BC5A-B74FEAE90260}">
  <sheetPr codeName="Sheet3"/>
  <dimension ref="A1:AF87"/>
  <sheetViews>
    <sheetView view="pageBreakPreview" zoomScale="70" zoomScaleNormal="72" zoomScaleSheetLayoutView="70" workbookViewId="0">
      <selection activeCell="K69" sqref="K69:L6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204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145" t="s">
        <v>17</v>
      </c>
      <c r="L5" s="145" t="s">
        <v>18</v>
      </c>
      <c r="M5" s="145" t="s">
        <v>19</v>
      </c>
      <c r="N5" s="14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149</v>
      </c>
      <c r="F6" s="30" t="s">
        <v>128</v>
      </c>
      <c r="G6" s="12">
        <v>1</v>
      </c>
      <c r="H6" s="13">
        <v>24</v>
      </c>
      <c r="I6" s="31">
        <v>7000</v>
      </c>
      <c r="J6" s="5">
        <v>933</v>
      </c>
      <c r="K6" s="15">
        <f>L6+3044+5612</f>
        <v>9589</v>
      </c>
      <c r="L6" s="15">
        <v>933</v>
      </c>
      <c r="M6" s="15">
        <f t="shared" ref="M6:M21" si="0">L6-N6</f>
        <v>933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5</v>
      </c>
      <c r="Q6" s="40">
        <f t="shared" ref="Q6:Q21" si="3">SUM(R6:AA6)</f>
        <v>19</v>
      </c>
      <c r="R6" s="7"/>
      <c r="S6" s="6"/>
      <c r="T6" s="16"/>
      <c r="U6" s="16"/>
      <c r="V6" s="17"/>
      <c r="W6" s="5">
        <v>19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0.20833333333333334</v>
      </c>
      <c r="AD6" s="10">
        <f t="shared" ref="AD6:AD21" si="6">AC6*AB6*(1-O6)</f>
        <v>0.20833333333333334</v>
      </c>
      <c r="AE6" s="36">
        <f t="shared" ref="AE6:AE21" si="7">$AD$22</f>
        <v>0.33854166666666669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0.33854166666666669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120</v>
      </c>
      <c r="D8" s="52" t="s">
        <v>150</v>
      </c>
      <c r="E8" s="53" t="s">
        <v>153</v>
      </c>
      <c r="F8" s="30" t="s">
        <v>129</v>
      </c>
      <c r="G8" s="33">
        <v>1</v>
      </c>
      <c r="H8" s="35">
        <v>24</v>
      </c>
      <c r="I8" s="7">
        <v>10000</v>
      </c>
      <c r="J8" s="14">
        <v>2454</v>
      </c>
      <c r="K8" s="15">
        <f>L8+4254+1756+3035+3563+1503+4510+5243+2454</f>
        <v>26318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0.33854166666666669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73000</v>
      </c>
      <c r="J9" s="14">
        <v>2490</v>
      </c>
      <c r="K9" s="15">
        <f>L9+3600+2490</f>
        <v>6090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0.33854166666666669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400000</v>
      </c>
      <c r="J10" s="5">
        <v>5588</v>
      </c>
      <c r="K10" s="15">
        <f>L10</f>
        <v>5588</v>
      </c>
      <c r="L10" s="15">
        <f>2794*2</f>
        <v>5588</v>
      </c>
      <c r="M10" s="15">
        <f t="shared" si="0"/>
        <v>5588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>
        <v>8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>AC10*AB10*(1-O10)</f>
        <v>0.66666666666666663</v>
      </c>
      <c r="AE10" s="36">
        <f t="shared" si="7"/>
        <v>0.33854166666666669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141</v>
      </c>
      <c r="E11" s="53" t="s">
        <v>143</v>
      </c>
      <c r="F11" s="30" t="s">
        <v>129</v>
      </c>
      <c r="G11" s="33">
        <v>1</v>
      </c>
      <c r="H11" s="35">
        <v>24</v>
      </c>
      <c r="I11" s="7">
        <v>4000</v>
      </c>
      <c r="J11" s="14">
        <v>5891</v>
      </c>
      <c r="K11" s="15">
        <f>L11+3047</f>
        <v>8938</v>
      </c>
      <c r="L11" s="15">
        <f>2856+3035</f>
        <v>5891</v>
      </c>
      <c r="M11" s="15">
        <f t="shared" si="0"/>
        <v>5891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0.33854166666666669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2432</v>
      </c>
      <c r="K12" s="15">
        <f>L12+4200+2432</f>
        <v>6632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>
        <v>24</v>
      </c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0.33854166666666669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8758</v>
      </c>
      <c r="K13" s="15">
        <f>L13+10230</f>
        <v>18988</v>
      </c>
      <c r="L13" s="15">
        <f>2723*2+1656*2</f>
        <v>8758</v>
      </c>
      <c r="M13" s="15">
        <f t="shared" si="0"/>
        <v>8758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0.33854166666666669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205</v>
      </c>
      <c r="F14" s="30" t="s">
        <v>132</v>
      </c>
      <c r="G14" s="33">
        <v>1</v>
      </c>
      <c r="H14" s="35">
        <v>24</v>
      </c>
      <c r="I14" s="7">
        <v>50</v>
      </c>
      <c r="J14" s="5">
        <v>226</v>
      </c>
      <c r="K14" s="15">
        <f>L14</f>
        <v>226</v>
      </c>
      <c r="L14" s="15">
        <f>226</f>
        <v>226</v>
      </c>
      <c r="M14" s="15">
        <f t="shared" si="0"/>
        <v>226</v>
      </c>
      <c r="N14" s="15">
        <v>0</v>
      </c>
      <c r="O14" s="58">
        <f t="shared" si="1"/>
        <v>0</v>
      </c>
      <c r="P14" s="39">
        <f t="shared" si="2"/>
        <v>5</v>
      </c>
      <c r="Q14" s="40">
        <f t="shared" si="3"/>
        <v>19</v>
      </c>
      <c r="R14" s="7"/>
      <c r="S14" s="6"/>
      <c r="T14" s="16"/>
      <c r="U14" s="16"/>
      <c r="V14" s="17"/>
      <c r="W14" s="5">
        <v>19</v>
      </c>
      <c r="X14" s="16"/>
      <c r="Y14" s="16"/>
      <c r="Z14" s="16"/>
      <c r="AA14" s="18"/>
      <c r="AB14" s="8">
        <f t="shared" si="4"/>
        <v>1</v>
      </c>
      <c r="AC14" s="9">
        <f t="shared" si="5"/>
        <v>0.20833333333333334</v>
      </c>
      <c r="AD14" s="10">
        <f t="shared" si="9"/>
        <v>0.20833333333333334</v>
      </c>
      <c r="AE14" s="36">
        <f t="shared" si="7"/>
        <v>0.33854166666666669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2422</v>
      </c>
      <c r="K15" s="15">
        <f>L15+2422</f>
        <v>2422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0.33854166666666669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146</v>
      </c>
      <c r="E16" s="53" t="s">
        <v>145</v>
      </c>
      <c r="F16" s="30" t="s">
        <v>131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0.33854166666666669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162</v>
      </c>
      <c r="F17" s="30" t="s">
        <v>140</v>
      </c>
      <c r="G17" s="12">
        <v>2</v>
      </c>
      <c r="H17" s="13">
        <v>24</v>
      </c>
      <c r="I17" s="7">
        <v>1000</v>
      </c>
      <c r="J17" s="14">
        <v>3172</v>
      </c>
      <c r="K17" s="15">
        <f>L17+1049</f>
        <v>4221</v>
      </c>
      <c r="L17" s="15">
        <f>1474+1698</f>
        <v>3172</v>
      </c>
      <c r="M17" s="15">
        <f t="shared" si="0"/>
        <v>3172</v>
      </c>
      <c r="N17" s="15">
        <v>0</v>
      </c>
      <c r="O17" s="58">
        <f t="shared" si="1"/>
        <v>0</v>
      </c>
      <c r="P17" s="39">
        <f t="shared" si="2"/>
        <v>17</v>
      </c>
      <c r="Q17" s="40">
        <f t="shared" si="3"/>
        <v>7</v>
      </c>
      <c r="R17" s="7"/>
      <c r="S17" s="6">
        <v>4</v>
      </c>
      <c r="T17" s="16"/>
      <c r="U17" s="16"/>
      <c r="V17" s="17"/>
      <c r="W17" s="5">
        <v>3</v>
      </c>
      <c r="X17" s="16"/>
      <c r="Y17" s="16"/>
      <c r="Z17" s="16"/>
      <c r="AA17" s="18"/>
      <c r="AB17" s="8">
        <f t="shared" si="4"/>
        <v>1</v>
      </c>
      <c r="AC17" s="9">
        <f t="shared" si="5"/>
        <v>0.70833333333333337</v>
      </c>
      <c r="AD17" s="10">
        <f t="shared" si="6"/>
        <v>0.70833333333333337</v>
      </c>
      <c r="AE17" s="36">
        <f t="shared" si="7"/>
        <v>0.33854166666666669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147</v>
      </c>
      <c r="F18" s="30" t="s">
        <v>132</v>
      </c>
      <c r="G18" s="33">
        <v>1</v>
      </c>
      <c r="H18" s="35">
        <v>24</v>
      </c>
      <c r="I18" s="7">
        <v>20000</v>
      </c>
      <c r="J18" s="14">
        <v>5207</v>
      </c>
      <c r="K18" s="15">
        <f>L18+3143+5226+5251+4739+4938+5342+804+3385+5207</f>
        <v>38035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0.33854166666666669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121</v>
      </c>
      <c r="D19" s="52" t="s">
        <v>142</v>
      </c>
      <c r="E19" s="53" t="s">
        <v>163</v>
      </c>
      <c r="F19" s="30" t="s">
        <v>129</v>
      </c>
      <c r="G19" s="33" t="s">
        <v>164</v>
      </c>
      <c r="H19" s="35">
        <v>24</v>
      </c>
      <c r="I19" s="7">
        <v>1000</v>
      </c>
      <c r="J19" s="5">
        <v>841</v>
      </c>
      <c r="K19" s="15">
        <f>L19+841</f>
        <v>841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>AC19*AB19*(1-O19)</f>
        <v>0</v>
      </c>
      <c r="AE19" s="36">
        <f t="shared" si="7"/>
        <v>0.33854166666666669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6852</v>
      </c>
      <c r="K20" s="15">
        <f>L20</f>
        <v>6852</v>
      </c>
      <c r="L20" s="15">
        <f>858*2+2568*2</f>
        <v>6852</v>
      </c>
      <c r="M20" s="15">
        <f t="shared" si="0"/>
        <v>6852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/>
      <c r="T20" s="16"/>
      <c r="U20" s="16"/>
      <c r="V20" s="17">
        <v>6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ref="AD20" si="10">AC20*AB20*(1-O20)</f>
        <v>0.75</v>
      </c>
      <c r="AE20" s="36">
        <f t="shared" si="7"/>
        <v>0.33854166666666669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206</v>
      </c>
      <c r="F21" s="12" t="s">
        <v>114</v>
      </c>
      <c r="G21" s="12">
        <v>3</v>
      </c>
      <c r="H21" s="35">
        <v>20</v>
      </c>
      <c r="I21" s="7">
        <v>300000</v>
      </c>
      <c r="J21" s="14">
        <v>50076</v>
      </c>
      <c r="K21" s="15">
        <f>L21</f>
        <v>50076</v>
      </c>
      <c r="L21" s="15">
        <f>7931*3+8761*3</f>
        <v>50076</v>
      </c>
      <c r="M21" s="15">
        <f t="shared" si="0"/>
        <v>50076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0.33854166666666669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1">SUM(I6:I21)</f>
        <v>1797050</v>
      </c>
      <c r="J22" s="19">
        <f t="shared" si="11"/>
        <v>104282</v>
      </c>
      <c r="K22" s="20">
        <f t="shared" si="11"/>
        <v>256459</v>
      </c>
      <c r="L22" s="21">
        <f t="shared" si="11"/>
        <v>81496</v>
      </c>
      <c r="M22" s="20">
        <f t="shared" si="11"/>
        <v>81496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130</v>
      </c>
      <c r="Q22" s="43">
        <f t="shared" si="12"/>
        <v>254</v>
      </c>
      <c r="R22" s="23">
        <f t="shared" si="12"/>
        <v>24</v>
      </c>
      <c r="S22" s="24">
        <f t="shared" si="12"/>
        <v>63</v>
      </c>
      <c r="T22" s="24">
        <f t="shared" si="12"/>
        <v>0</v>
      </c>
      <c r="U22" s="24">
        <f t="shared" si="12"/>
        <v>0</v>
      </c>
      <c r="V22" s="25">
        <f t="shared" si="12"/>
        <v>54</v>
      </c>
      <c r="W22" s="26">
        <f t="shared" si="12"/>
        <v>41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72</v>
      </c>
      <c r="AB22" s="28">
        <f>AVERAGE(AB6:AB21)</f>
        <v>0.5</v>
      </c>
      <c r="AC22" s="4">
        <f>AVERAGE(AC6:AC21)</f>
        <v>0.33854166666666669</v>
      </c>
      <c r="AD22" s="4">
        <f>AVERAGE(AD6:AD21)</f>
        <v>0.33854166666666669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207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211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144" t="s">
        <v>46</v>
      </c>
      <c r="D51" s="144" t="s">
        <v>47</v>
      </c>
      <c r="E51" s="144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144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141" t="s">
        <v>144</v>
      </c>
      <c r="D52" s="141" t="s">
        <v>115</v>
      </c>
      <c r="E52" s="141" t="s">
        <v>160</v>
      </c>
      <c r="F52" s="512" t="s">
        <v>208</v>
      </c>
      <c r="G52" s="513"/>
      <c r="H52" s="513"/>
      <c r="I52" s="513"/>
      <c r="J52" s="513"/>
      <c r="K52" s="513"/>
      <c r="L52" s="513"/>
      <c r="M52" s="514"/>
      <c r="N52" s="140" t="s">
        <v>120</v>
      </c>
      <c r="O52" s="138" t="s">
        <v>148</v>
      </c>
      <c r="P52" s="524" t="s">
        <v>212</v>
      </c>
      <c r="Q52" s="525"/>
      <c r="R52" s="524" t="s">
        <v>213</v>
      </c>
      <c r="S52" s="526"/>
      <c r="T52" s="526"/>
      <c r="U52" s="525"/>
      <c r="V52" s="496" t="s">
        <v>118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123</v>
      </c>
      <c r="B53" s="511"/>
      <c r="C53" s="141" t="s">
        <v>148</v>
      </c>
      <c r="D53" s="141"/>
      <c r="E53" s="141" t="s">
        <v>162</v>
      </c>
      <c r="F53" s="512" t="s">
        <v>180</v>
      </c>
      <c r="G53" s="513"/>
      <c r="H53" s="513"/>
      <c r="I53" s="513"/>
      <c r="J53" s="513"/>
      <c r="K53" s="513"/>
      <c r="L53" s="513"/>
      <c r="M53" s="514"/>
      <c r="N53" s="140" t="s">
        <v>120</v>
      </c>
      <c r="O53" s="138" t="s">
        <v>214</v>
      </c>
      <c r="P53" s="524" t="s">
        <v>215</v>
      </c>
      <c r="Q53" s="525"/>
      <c r="R53" s="524" t="s">
        <v>216</v>
      </c>
      <c r="S53" s="526"/>
      <c r="T53" s="526"/>
      <c r="U53" s="525"/>
      <c r="V53" s="496" t="s">
        <v>118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121</v>
      </c>
      <c r="B54" s="511"/>
      <c r="C54" s="141" t="s">
        <v>192</v>
      </c>
      <c r="D54" s="141" t="s">
        <v>150</v>
      </c>
      <c r="E54" s="141" t="s">
        <v>190</v>
      </c>
      <c r="F54" s="512" t="s">
        <v>209</v>
      </c>
      <c r="G54" s="513"/>
      <c r="H54" s="513"/>
      <c r="I54" s="513"/>
      <c r="J54" s="513"/>
      <c r="K54" s="513"/>
      <c r="L54" s="513"/>
      <c r="M54" s="514"/>
      <c r="N54" s="140" t="s">
        <v>120</v>
      </c>
      <c r="O54" s="138" t="s">
        <v>197</v>
      </c>
      <c r="P54" s="524" t="s">
        <v>218</v>
      </c>
      <c r="Q54" s="525"/>
      <c r="R54" s="524" t="s">
        <v>217</v>
      </c>
      <c r="S54" s="526"/>
      <c r="T54" s="526"/>
      <c r="U54" s="525"/>
      <c r="V54" s="496" t="s">
        <v>118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112</v>
      </c>
      <c r="B55" s="511"/>
      <c r="C55" s="141" t="s">
        <v>210</v>
      </c>
      <c r="D55" s="141" t="s">
        <v>115</v>
      </c>
      <c r="E55" s="141" t="s">
        <v>205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140"/>
      <c r="O55" s="138"/>
      <c r="P55" s="524"/>
      <c r="Q55" s="525"/>
      <c r="R55" s="524"/>
      <c r="S55" s="526"/>
      <c r="T55" s="526"/>
      <c r="U55" s="525"/>
      <c r="V55" s="496"/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121</v>
      </c>
      <c r="B56" s="511"/>
      <c r="C56" s="141" t="s">
        <v>203</v>
      </c>
      <c r="D56" s="141" t="s">
        <v>115</v>
      </c>
      <c r="E56" s="141" t="s">
        <v>200</v>
      </c>
      <c r="F56" s="512" t="s">
        <v>118</v>
      </c>
      <c r="G56" s="513"/>
      <c r="H56" s="513"/>
      <c r="I56" s="513"/>
      <c r="J56" s="513"/>
      <c r="K56" s="513"/>
      <c r="L56" s="513"/>
      <c r="M56" s="514"/>
      <c r="N56" s="140"/>
      <c r="O56" s="138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113</v>
      </c>
      <c r="B57" s="511"/>
      <c r="C57" s="141" t="s">
        <v>184</v>
      </c>
      <c r="D57" s="141"/>
      <c r="E57" s="141" t="s">
        <v>206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140"/>
      <c r="O57" s="138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/>
      <c r="B58" s="511"/>
      <c r="C58" s="141"/>
      <c r="D58" s="141"/>
      <c r="E58" s="141"/>
      <c r="F58" s="512"/>
      <c r="G58" s="513"/>
      <c r="H58" s="513"/>
      <c r="I58" s="513"/>
      <c r="J58" s="513"/>
      <c r="K58" s="513"/>
      <c r="L58" s="513"/>
      <c r="M58" s="514"/>
      <c r="N58" s="140"/>
      <c r="O58" s="138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141"/>
      <c r="D59" s="141"/>
      <c r="E59" s="141"/>
      <c r="F59" s="512"/>
      <c r="G59" s="513"/>
      <c r="H59" s="513"/>
      <c r="I59" s="513"/>
      <c r="J59" s="513"/>
      <c r="K59" s="513"/>
      <c r="L59" s="513"/>
      <c r="M59" s="514"/>
      <c r="N59" s="140"/>
      <c r="O59" s="138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141"/>
      <c r="D60" s="141"/>
      <c r="E60" s="141"/>
      <c r="F60" s="512"/>
      <c r="G60" s="513"/>
      <c r="H60" s="513"/>
      <c r="I60" s="513"/>
      <c r="J60" s="513"/>
      <c r="K60" s="513"/>
      <c r="L60" s="513"/>
      <c r="M60" s="514"/>
      <c r="N60" s="140"/>
      <c r="O60" s="138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142"/>
      <c r="D61" s="143"/>
      <c r="E61" s="143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219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139" t="s">
        <v>2</v>
      </c>
      <c r="D63" s="139" t="s">
        <v>37</v>
      </c>
      <c r="E63" s="139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139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121</v>
      </c>
      <c r="D64" s="134"/>
      <c r="E64" s="137" t="s">
        <v>186</v>
      </c>
      <c r="F64" s="497" t="s">
        <v>185</v>
      </c>
      <c r="G64" s="498"/>
      <c r="H64" s="498"/>
      <c r="I64" s="498"/>
      <c r="J64" s="499"/>
      <c r="K64" s="485" t="s">
        <v>187</v>
      </c>
      <c r="L64" s="485"/>
      <c r="M64" s="51" t="s">
        <v>188</v>
      </c>
      <c r="N64" s="494" t="s">
        <v>189</v>
      </c>
      <c r="O64" s="494"/>
      <c r="P64" s="495">
        <v>100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120</v>
      </c>
      <c r="D65" s="134"/>
      <c r="E65" s="137" t="s">
        <v>115</v>
      </c>
      <c r="F65" s="497" t="s">
        <v>220</v>
      </c>
      <c r="G65" s="498"/>
      <c r="H65" s="498"/>
      <c r="I65" s="498"/>
      <c r="J65" s="499"/>
      <c r="K65" s="485" t="s">
        <v>221</v>
      </c>
      <c r="L65" s="485"/>
      <c r="M65" s="51" t="s">
        <v>196</v>
      </c>
      <c r="N65" s="494" t="s">
        <v>197</v>
      </c>
      <c r="O65" s="494"/>
      <c r="P65" s="495"/>
      <c r="Q65" s="495"/>
      <c r="R65" s="496" t="s">
        <v>199</v>
      </c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/>
      <c r="D66" s="134"/>
      <c r="E66" s="137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134"/>
      <c r="E67" s="137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134"/>
      <c r="E68" s="137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134"/>
      <c r="E69" s="137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134"/>
      <c r="E70" s="137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134"/>
      <c r="E71" s="137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134"/>
      <c r="E72" s="137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134"/>
      <c r="E73" s="137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222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136" t="s">
        <v>2</v>
      </c>
      <c r="D75" s="136" t="s">
        <v>37</v>
      </c>
      <c r="E75" s="136" t="s">
        <v>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135" t="s">
        <v>112</v>
      </c>
      <c r="D76" s="135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134"/>
      <c r="D77" s="134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3">A77+1</f>
        <v>3</v>
      </c>
      <c r="B78" s="453"/>
      <c r="C78" s="134"/>
      <c r="D78" s="134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3"/>
        <v>4</v>
      </c>
      <c r="B79" s="453"/>
      <c r="C79" s="134"/>
      <c r="D79" s="134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3"/>
        <v>5</v>
      </c>
      <c r="B80" s="453"/>
      <c r="C80" s="134"/>
      <c r="D80" s="134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3"/>
        <v>6</v>
      </c>
      <c r="B81" s="453"/>
      <c r="C81" s="134"/>
      <c r="D81" s="134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3"/>
        <v>7</v>
      </c>
      <c r="B82" s="453"/>
      <c r="C82" s="134"/>
      <c r="D82" s="134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223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1"/>
      <c r="U85" s="461"/>
      <c r="V85" s="462"/>
      <c r="W85" s="462"/>
      <c r="X85" s="462"/>
      <c r="Y85" s="463"/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06C1-8A77-49DD-88AF-87D22BBE9EAA}">
  <sheetPr codeName="Sheet4"/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224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157" t="s">
        <v>17</v>
      </c>
      <c r="L5" s="157" t="s">
        <v>18</v>
      </c>
      <c r="M5" s="157" t="s">
        <v>19</v>
      </c>
      <c r="N5" s="15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149</v>
      </c>
      <c r="F6" s="30" t="s">
        <v>128</v>
      </c>
      <c r="G6" s="12">
        <v>1</v>
      </c>
      <c r="H6" s="13">
        <v>24</v>
      </c>
      <c r="I6" s="31">
        <v>7000</v>
      </c>
      <c r="J6" s="5">
        <v>933</v>
      </c>
      <c r="K6" s="15">
        <f>L6+3044+5612+933</f>
        <v>9589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19</v>
      </c>
      <c r="R6" s="7"/>
      <c r="S6" s="6"/>
      <c r="T6" s="16"/>
      <c r="U6" s="16"/>
      <c r="V6" s="17"/>
      <c r="W6" s="5">
        <v>19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0.46354166666666663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0.46354166666666663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8404</v>
      </c>
      <c r="K8" s="15">
        <f>L8</f>
        <v>8404</v>
      </c>
      <c r="L8" s="15">
        <f>1541*2+2661*2</f>
        <v>8404</v>
      </c>
      <c r="M8" s="15">
        <f t="shared" si="0"/>
        <v>8404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/>
      <c r="T8" s="16">
        <v>3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0.46354166666666663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73000</v>
      </c>
      <c r="J9" s="14">
        <v>2490</v>
      </c>
      <c r="K9" s="15">
        <f>L9+3600+2490</f>
        <v>6090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0.46354166666666663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400000</v>
      </c>
      <c r="J10" s="5">
        <v>11272</v>
      </c>
      <c r="K10" s="15">
        <f>L10+5588</f>
        <v>16860</v>
      </c>
      <c r="L10" s="15">
        <f>2620*2+3016*2</f>
        <v>11272</v>
      </c>
      <c r="M10" s="15">
        <f t="shared" si="0"/>
        <v>11272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0.46354166666666663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141</v>
      </c>
      <c r="E11" s="53" t="s">
        <v>143</v>
      </c>
      <c r="F11" s="30" t="s">
        <v>129</v>
      </c>
      <c r="G11" s="33">
        <v>1</v>
      </c>
      <c r="H11" s="35">
        <v>24</v>
      </c>
      <c r="I11" s="7">
        <v>4000</v>
      </c>
      <c r="J11" s="14">
        <v>4811</v>
      </c>
      <c r="K11" s="15">
        <f>L11+3047+5891</f>
        <v>13749</v>
      </c>
      <c r="L11" s="15">
        <f>2638+2173</f>
        <v>4811</v>
      </c>
      <c r="M11" s="15">
        <f t="shared" si="0"/>
        <v>4811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ref="AD11:AD14" si="9">AC11*AB11*(1-O11)</f>
        <v>0.91666666666666663</v>
      </c>
      <c r="AE11" s="36">
        <f t="shared" si="7"/>
        <v>0.46354166666666663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2432</v>
      </c>
      <c r="K12" s="15">
        <f>L12+4200+2432</f>
        <v>6632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>
        <v>24</v>
      </c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0.46354166666666663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7458</v>
      </c>
      <c r="K13" s="15">
        <f>L13+10230+8758</f>
        <v>26446</v>
      </c>
      <c r="L13" s="15">
        <f>2218*2+1511*2</f>
        <v>7458</v>
      </c>
      <c r="M13" s="15">
        <f t="shared" si="0"/>
        <v>7458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0.46354166666666663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205</v>
      </c>
      <c r="F14" s="30" t="s">
        <v>132</v>
      </c>
      <c r="G14" s="33">
        <v>1</v>
      </c>
      <c r="H14" s="35">
        <v>24</v>
      </c>
      <c r="I14" s="7">
        <v>50</v>
      </c>
      <c r="J14" s="5">
        <v>226</v>
      </c>
      <c r="K14" s="15">
        <f>L14+226</f>
        <v>226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0.46354166666666663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2422</v>
      </c>
      <c r="K15" s="15">
        <f>L15+2422</f>
        <v>2422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0.46354166666666663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146</v>
      </c>
      <c r="E16" s="53" t="s">
        <v>145</v>
      </c>
      <c r="F16" s="30" t="s">
        <v>131</v>
      </c>
      <c r="G16" s="12">
        <v>2</v>
      </c>
      <c r="H16" s="13">
        <v>24</v>
      </c>
      <c r="I16" s="7">
        <v>300000</v>
      </c>
      <c r="J16" s="14">
        <v>1640</v>
      </c>
      <c r="K16" s="15">
        <f>L16+6564+12528+9524+11762+12146+1640</f>
        <v>54164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0.46354166666666663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212</v>
      </c>
      <c r="E17" s="53" t="s">
        <v>213</v>
      </c>
      <c r="F17" s="30" t="s">
        <v>187</v>
      </c>
      <c r="G17" s="12">
        <v>1</v>
      </c>
      <c r="H17" s="13">
        <v>24</v>
      </c>
      <c r="I17" s="7">
        <v>1000</v>
      </c>
      <c r="J17" s="14">
        <v>3678</v>
      </c>
      <c r="K17" s="15">
        <f>L17</f>
        <v>3678</v>
      </c>
      <c r="L17" s="15">
        <f>2724+954</f>
        <v>3678</v>
      </c>
      <c r="M17" s="15">
        <f t="shared" si="0"/>
        <v>3678</v>
      </c>
      <c r="N17" s="15">
        <v>0</v>
      </c>
      <c r="O17" s="58">
        <f t="shared" si="1"/>
        <v>0</v>
      </c>
      <c r="P17" s="39">
        <f t="shared" si="2"/>
        <v>21</v>
      </c>
      <c r="Q17" s="40">
        <f t="shared" si="3"/>
        <v>3</v>
      </c>
      <c r="R17" s="7"/>
      <c r="S17" s="6"/>
      <c r="T17" s="16">
        <v>3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0.875</v>
      </c>
      <c r="AD17" s="10">
        <f t="shared" si="6"/>
        <v>0.875</v>
      </c>
      <c r="AE17" s="36">
        <f t="shared" si="7"/>
        <v>0.46354166666666663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218</v>
      </c>
      <c r="E18" s="53" t="s">
        <v>217</v>
      </c>
      <c r="F18" s="30" t="s">
        <v>225</v>
      </c>
      <c r="G18" s="33">
        <v>1</v>
      </c>
      <c r="H18" s="35">
        <v>24</v>
      </c>
      <c r="I18" s="7">
        <v>1000</v>
      </c>
      <c r="J18" s="14">
        <v>3631</v>
      </c>
      <c r="K18" s="15">
        <f>L18</f>
        <v>3631</v>
      </c>
      <c r="L18" s="15">
        <f>1749+1882</f>
        <v>3631</v>
      </c>
      <c r="M18" s="15">
        <f t="shared" si="0"/>
        <v>3631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/>
      <c r="T18" s="16">
        <v>3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0.46354166666666663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34" t="s">
        <v>112</v>
      </c>
      <c r="D19" s="52" t="s">
        <v>115</v>
      </c>
      <c r="E19" s="53" t="s">
        <v>226</v>
      </c>
      <c r="F19" s="30" t="s">
        <v>227</v>
      </c>
      <c r="G19" s="33">
        <v>1</v>
      </c>
      <c r="H19" s="35">
        <v>24</v>
      </c>
      <c r="I19" s="7">
        <v>100</v>
      </c>
      <c r="J19" s="5">
        <v>230</v>
      </c>
      <c r="K19" s="15">
        <f>L19</f>
        <v>230</v>
      </c>
      <c r="L19" s="15">
        <v>230</v>
      </c>
      <c r="M19" s="15">
        <f t="shared" si="0"/>
        <v>230</v>
      </c>
      <c r="N19" s="15">
        <v>0</v>
      </c>
      <c r="O19" s="58">
        <f t="shared" si="1"/>
        <v>0</v>
      </c>
      <c r="P19" s="39">
        <f t="shared" si="2"/>
        <v>4</v>
      </c>
      <c r="Q19" s="40">
        <f t="shared" si="3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4"/>
        <v>1</v>
      </c>
      <c r="AC19" s="9">
        <f t="shared" si="5"/>
        <v>0.16666666666666666</v>
      </c>
      <c r="AD19" s="10">
        <f>AC19*AB19*(1-O19)</f>
        <v>0.16666666666666666</v>
      </c>
      <c r="AE19" s="36">
        <f t="shared" si="7"/>
        <v>0.46354166666666663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6648</v>
      </c>
      <c r="K20" s="15">
        <f>L20+6852</f>
        <v>13500</v>
      </c>
      <c r="L20" s="15">
        <f>1527*2+1797*2</f>
        <v>6648</v>
      </c>
      <c r="M20" s="15">
        <f t="shared" si="0"/>
        <v>6648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ref="AD20" si="10">AC20*AB20*(1-O20)</f>
        <v>0.83333333333333337</v>
      </c>
      <c r="AE20" s="36">
        <f t="shared" si="7"/>
        <v>0.46354166666666663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206</v>
      </c>
      <c r="F21" s="12" t="s">
        <v>114</v>
      </c>
      <c r="G21" s="12">
        <v>3</v>
      </c>
      <c r="H21" s="35">
        <v>20</v>
      </c>
      <c r="I21" s="7">
        <v>300000</v>
      </c>
      <c r="J21" s="14">
        <v>54231</v>
      </c>
      <c r="K21" s="15">
        <f>L21+50076</f>
        <v>104307</v>
      </c>
      <c r="L21" s="15">
        <f>8699*3+163*3+9215*3</f>
        <v>54231</v>
      </c>
      <c r="M21" s="15">
        <f t="shared" si="0"/>
        <v>54231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0.46354166666666663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1">SUM(I6:I21)</f>
        <v>2487150</v>
      </c>
      <c r="J22" s="19">
        <f t="shared" si="11"/>
        <v>115806</v>
      </c>
      <c r="K22" s="20">
        <f t="shared" si="11"/>
        <v>287407</v>
      </c>
      <c r="L22" s="21">
        <f t="shared" si="11"/>
        <v>100363</v>
      </c>
      <c r="M22" s="20">
        <f t="shared" si="11"/>
        <v>100363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178</v>
      </c>
      <c r="Q22" s="43">
        <f t="shared" si="12"/>
        <v>201</v>
      </c>
      <c r="R22" s="23">
        <f t="shared" si="12"/>
        <v>24</v>
      </c>
      <c r="S22" s="24">
        <f t="shared" si="12"/>
        <v>9</v>
      </c>
      <c r="T22" s="24">
        <f t="shared" si="12"/>
        <v>9</v>
      </c>
      <c r="U22" s="24">
        <f t="shared" si="12"/>
        <v>0</v>
      </c>
      <c r="V22" s="25">
        <f t="shared" si="12"/>
        <v>48</v>
      </c>
      <c r="W22" s="26">
        <f t="shared" si="12"/>
        <v>63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48</v>
      </c>
      <c r="AB22" s="28">
        <f>AVERAGE(AB6:AB21)</f>
        <v>0.5625</v>
      </c>
      <c r="AC22" s="4">
        <f>AVERAGE(AC6:AC21)</f>
        <v>0.46354166666666663</v>
      </c>
      <c r="AD22" s="4">
        <f>AVERAGE(AD6:AD21)</f>
        <v>0.46354166666666663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228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235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156" t="s">
        <v>46</v>
      </c>
      <c r="D51" s="156" t="s">
        <v>47</v>
      </c>
      <c r="E51" s="156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156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153" t="s">
        <v>144</v>
      </c>
      <c r="D52" s="153" t="s">
        <v>115</v>
      </c>
      <c r="E52" s="153" t="s">
        <v>160</v>
      </c>
      <c r="F52" s="512" t="s">
        <v>232</v>
      </c>
      <c r="G52" s="513"/>
      <c r="H52" s="513"/>
      <c r="I52" s="513"/>
      <c r="J52" s="513"/>
      <c r="K52" s="513"/>
      <c r="L52" s="513"/>
      <c r="M52" s="514"/>
      <c r="N52" s="152" t="s">
        <v>121</v>
      </c>
      <c r="O52" s="150" t="s">
        <v>203</v>
      </c>
      <c r="P52" s="524" t="s">
        <v>115</v>
      </c>
      <c r="Q52" s="525"/>
      <c r="R52" s="524" t="s">
        <v>200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121</v>
      </c>
      <c r="B53" s="511"/>
      <c r="C53" s="153" t="s">
        <v>229</v>
      </c>
      <c r="D53" s="153" t="s">
        <v>141</v>
      </c>
      <c r="E53" s="153" t="s">
        <v>202</v>
      </c>
      <c r="F53" s="512" t="s">
        <v>118</v>
      </c>
      <c r="G53" s="513"/>
      <c r="H53" s="513"/>
      <c r="I53" s="513"/>
      <c r="J53" s="513"/>
      <c r="K53" s="513"/>
      <c r="L53" s="513"/>
      <c r="M53" s="514"/>
      <c r="N53" s="152" t="s">
        <v>120</v>
      </c>
      <c r="O53" s="150" t="s">
        <v>214</v>
      </c>
      <c r="P53" s="524" t="s">
        <v>215</v>
      </c>
      <c r="Q53" s="525"/>
      <c r="R53" s="524" t="s">
        <v>216</v>
      </c>
      <c r="S53" s="526"/>
      <c r="T53" s="526"/>
      <c r="U53" s="525"/>
      <c r="V53" s="496" t="s">
        <v>118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112</v>
      </c>
      <c r="B54" s="511"/>
      <c r="C54" s="153" t="s">
        <v>169</v>
      </c>
      <c r="D54" s="153" t="s">
        <v>141</v>
      </c>
      <c r="E54" s="153" t="s">
        <v>143</v>
      </c>
      <c r="F54" s="512" t="s">
        <v>231</v>
      </c>
      <c r="G54" s="513"/>
      <c r="H54" s="513"/>
      <c r="I54" s="513"/>
      <c r="J54" s="513"/>
      <c r="K54" s="513"/>
      <c r="L54" s="513"/>
      <c r="M54" s="514"/>
      <c r="N54" s="152" t="s">
        <v>112</v>
      </c>
      <c r="O54" s="150" t="s">
        <v>210</v>
      </c>
      <c r="P54" s="524" t="s">
        <v>115</v>
      </c>
      <c r="Q54" s="525"/>
      <c r="R54" s="524" t="s">
        <v>236</v>
      </c>
      <c r="S54" s="526"/>
      <c r="T54" s="526"/>
      <c r="U54" s="525"/>
      <c r="V54" s="496" t="s">
        <v>118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120</v>
      </c>
      <c r="B55" s="511"/>
      <c r="C55" s="153" t="s">
        <v>148</v>
      </c>
      <c r="D55" s="153" t="s">
        <v>212</v>
      </c>
      <c r="E55" s="153" t="s">
        <v>213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152" t="s">
        <v>112</v>
      </c>
      <c r="O55" s="150" t="s">
        <v>210</v>
      </c>
      <c r="P55" s="524" t="s">
        <v>115</v>
      </c>
      <c r="Q55" s="525"/>
      <c r="R55" s="524" t="s">
        <v>237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121</v>
      </c>
      <c r="B56" s="511"/>
      <c r="C56" s="153" t="s">
        <v>203</v>
      </c>
      <c r="D56" s="153" t="s">
        <v>115</v>
      </c>
      <c r="E56" s="153" t="s">
        <v>200</v>
      </c>
      <c r="F56" s="512" t="s">
        <v>234</v>
      </c>
      <c r="G56" s="513"/>
      <c r="H56" s="513"/>
      <c r="I56" s="513"/>
      <c r="J56" s="513"/>
      <c r="K56" s="513"/>
      <c r="L56" s="513"/>
      <c r="M56" s="514"/>
      <c r="N56" s="152" t="s">
        <v>120</v>
      </c>
      <c r="O56" s="150" t="s">
        <v>239</v>
      </c>
      <c r="P56" s="524" t="s">
        <v>130</v>
      </c>
      <c r="Q56" s="525"/>
      <c r="R56" s="524" t="s">
        <v>238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113</v>
      </c>
      <c r="B57" s="511"/>
      <c r="C57" s="153" t="s">
        <v>184</v>
      </c>
      <c r="D57" s="153"/>
      <c r="E57" s="153" t="s">
        <v>230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152"/>
      <c r="O57" s="150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120</v>
      </c>
      <c r="B58" s="511"/>
      <c r="C58" s="153" t="s">
        <v>197</v>
      </c>
      <c r="D58" s="153" t="s">
        <v>218</v>
      </c>
      <c r="E58" s="153" t="s">
        <v>217</v>
      </c>
      <c r="F58" s="512" t="s">
        <v>118</v>
      </c>
      <c r="G58" s="513"/>
      <c r="H58" s="513"/>
      <c r="I58" s="513"/>
      <c r="J58" s="513"/>
      <c r="K58" s="513"/>
      <c r="L58" s="513"/>
      <c r="M58" s="514"/>
      <c r="N58" s="152"/>
      <c r="O58" s="150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 t="s">
        <v>112</v>
      </c>
      <c r="B59" s="511"/>
      <c r="C59" s="153" t="s">
        <v>201</v>
      </c>
      <c r="D59" s="153" t="s">
        <v>115</v>
      </c>
      <c r="E59" s="153" t="s">
        <v>226</v>
      </c>
      <c r="F59" s="512" t="s">
        <v>118</v>
      </c>
      <c r="G59" s="513"/>
      <c r="H59" s="513"/>
      <c r="I59" s="513"/>
      <c r="J59" s="513"/>
      <c r="K59" s="513"/>
      <c r="L59" s="513"/>
      <c r="M59" s="514"/>
      <c r="N59" s="152"/>
      <c r="O59" s="150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 t="s">
        <v>121</v>
      </c>
      <c r="B60" s="511"/>
      <c r="C60" s="153" t="s">
        <v>201</v>
      </c>
      <c r="D60" s="153" t="s">
        <v>215</v>
      </c>
      <c r="E60" s="153" t="s">
        <v>233</v>
      </c>
      <c r="F60" s="512" t="s">
        <v>118</v>
      </c>
      <c r="G60" s="513"/>
      <c r="H60" s="513"/>
      <c r="I60" s="513"/>
      <c r="J60" s="513"/>
      <c r="K60" s="513"/>
      <c r="L60" s="513"/>
      <c r="M60" s="514"/>
      <c r="N60" s="152"/>
      <c r="O60" s="150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154"/>
      <c r="D61" s="155"/>
      <c r="E61" s="155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240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151" t="s">
        <v>2</v>
      </c>
      <c r="D63" s="151" t="s">
        <v>37</v>
      </c>
      <c r="E63" s="151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151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120</v>
      </c>
      <c r="D64" s="146"/>
      <c r="E64" s="149" t="s">
        <v>130</v>
      </c>
      <c r="F64" s="497" t="s">
        <v>241</v>
      </c>
      <c r="G64" s="498"/>
      <c r="H64" s="498"/>
      <c r="I64" s="498"/>
      <c r="J64" s="499"/>
      <c r="K64" s="485" t="s">
        <v>128</v>
      </c>
      <c r="L64" s="485"/>
      <c r="M64" s="51" t="s">
        <v>242</v>
      </c>
      <c r="N64" s="494" t="s">
        <v>239</v>
      </c>
      <c r="O64" s="494"/>
      <c r="P64" s="495">
        <v>50</v>
      </c>
      <c r="Q64" s="495"/>
      <c r="R64" s="496" t="s">
        <v>243</v>
      </c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121</v>
      </c>
      <c r="D65" s="146"/>
      <c r="E65" s="149" t="s">
        <v>186</v>
      </c>
      <c r="F65" s="497" t="s">
        <v>244</v>
      </c>
      <c r="G65" s="498"/>
      <c r="H65" s="498"/>
      <c r="I65" s="498"/>
      <c r="J65" s="499"/>
      <c r="K65" s="485" t="s">
        <v>187</v>
      </c>
      <c r="L65" s="485"/>
      <c r="M65" s="51" t="s">
        <v>196</v>
      </c>
      <c r="N65" s="494" t="s">
        <v>189</v>
      </c>
      <c r="O65" s="494"/>
      <c r="P65" s="495">
        <v>100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120</v>
      </c>
      <c r="D66" s="146"/>
      <c r="E66" s="149" t="s">
        <v>115</v>
      </c>
      <c r="F66" s="497" t="s">
        <v>220</v>
      </c>
      <c r="G66" s="498"/>
      <c r="H66" s="498"/>
      <c r="I66" s="498"/>
      <c r="J66" s="499"/>
      <c r="K66" s="485" t="s">
        <v>119</v>
      </c>
      <c r="L66" s="485"/>
      <c r="M66" s="51" t="s">
        <v>196</v>
      </c>
      <c r="N66" s="494" t="s">
        <v>197</v>
      </c>
      <c r="O66" s="494"/>
      <c r="P66" s="495">
        <v>50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146"/>
      <c r="E67" s="149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146"/>
      <c r="E68" s="149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146"/>
      <c r="E69" s="149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146"/>
      <c r="E70" s="149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146"/>
      <c r="E71" s="149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146"/>
      <c r="E72" s="149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146"/>
      <c r="E73" s="149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245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148" t="s">
        <v>2</v>
      </c>
      <c r="D75" s="148" t="s">
        <v>37</v>
      </c>
      <c r="E75" s="148" t="s">
        <v>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147" t="s">
        <v>112</v>
      </c>
      <c r="D76" s="147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146"/>
      <c r="D77" s="146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3">A77+1</f>
        <v>3</v>
      </c>
      <c r="B78" s="453"/>
      <c r="C78" s="146"/>
      <c r="D78" s="146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3"/>
        <v>4</v>
      </c>
      <c r="B79" s="453"/>
      <c r="C79" s="146"/>
      <c r="D79" s="146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3"/>
        <v>5</v>
      </c>
      <c r="B80" s="453"/>
      <c r="C80" s="146"/>
      <c r="D80" s="146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3"/>
        <v>6</v>
      </c>
      <c r="B81" s="453"/>
      <c r="C81" s="146"/>
      <c r="D81" s="146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3"/>
        <v>7</v>
      </c>
      <c r="B82" s="453"/>
      <c r="C82" s="146"/>
      <c r="D82" s="146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246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1"/>
      <c r="U85" s="461"/>
      <c r="V85" s="462"/>
      <c r="W85" s="462"/>
      <c r="X85" s="462"/>
      <c r="Y85" s="463"/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26BE-7C65-4A2F-92DE-051B19399741}">
  <sheetPr codeName="Sheet5"/>
  <dimension ref="A1:AF92"/>
  <sheetViews>
    <sheetView view="pageBreakPreview" zoomScale="70" zoomScaleNormal="72" zoomScaleSheetLayoutView="70" workbookViewId="0">
      <selection activeCell="F83" sqref="F83:J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247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158" t="s">
        <v>17</v>
      </c>
      <c r="L5" s="158" t="s">
        <v>18</v>
      </c>
      <c r="M5" s="158" t="s">
        <v>19</v>
      </c>
      <c r="N5" s="15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5516</v>
      </c>
      <c r="K6" s="15">
        <f>L6</f>
        <v>5516</v>
      </c>
      <c r="L6" s="15">
        <f>2626+2890</f>
        <v>5516</v>
      </c>
      <c r="M6" s="15">
        <f t="shared" ref="M6:M26" si="0">L6-N6</f>
        <v>5516</v>
      </c>
      <c r="N6" s="15">
        <v>0</v>
      </c>
      <c r="O6" s="58">
        <f t="shared" ref="O6:O27" si="1">IF(L6=0,"0",N6/L6)</f>
        <v>0</v>
      </c>
      <c r="P6" s="39">
        <f t="shared" ref="P6:P26" si="2">IF(L6=0,"0",(24-Q6))</f>
        <v>24</v>
      </c>
      <c r="Q6" s="40">
        <f t="shared" ref="Q6:Q26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6" si="4">IF(J6=0,"0",(L6/J6))</f>
        <v>1</v>
      </c>
      <c r="AC6" s="9">
        <f t="shared" ref="AC6:AC26" si="5">IF(P6=0,"0",(P6/24))</f>
        <v>1</v>
      </c>
      <c r="AD6" s="10">
        <f t="shared" ref="AD6:AD26" si="6">AC6*AB6*(1-O6)</f>
        <v>1</v>
      </c>
      <c r="AE6" s="36">
        <f t="shared" ref="AE6:AE26" si="7">$AD$27</f>
        <v>0.47619047619047616</v>
      </c>
      <c r="AF6" s="84">
        <f t="shared" ref="AF6:AF26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0.47619047619047616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12360</v>
      </c>
      <c r="K8" s="15">
        <f>L8+8404</f>
        <v>20764</v>
      </c>
      <c r="L8" s="15">
        <f>3036*2+3144*2</f>
        <v>12360</v>
      </c>
      <c r="M8" s="15">
        <f t="shared" si="0"/>
        <v>12360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0.47619047619047616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6946</v>
      </c>
      <c r="K9" s="15">
        <f>L9+3600+2490</f>
        <v>13036</v>
      </c>
      <c r="L9" s="15">
        <f>2401*2+1072*2</f>
        <v>6946</v>
      </c>
      <c r="M9" s="15">
        <f t="shared" si="0"/>
        <v>6946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0.47619047619047616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12940</v>
      </c>
      <c r="K10" s="15">
        <f>L10+5588+11272</f>
        <v>29800</v>
      </c>
      <c r="L10" s="15">
        <f>3164*2+3306*2</f>
        <v>12940</v>
      </c>
      <c r="M10" s="15">
        <f t="shared" si="0"/>
        <v>12940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0.47619047619047616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150</v>
      </c>
      <c r="E11" s="53" t="s">
        <v>248</v>
      </c>
      <c r="F11" s="30" t="s">
        <v>129</v>
      </c>
      <c r="G11" s="33">
        <v>1</v>
      </c>
      <c r="H11" s="35">
        <v>24</v>
      </c>
      <c r="I11" s="7">
        <v>20000</v>
      </c>
      <c r="J11" s="14">
        <v>3288</v>
      </c>
      <c r="K11" s="15">
        <f>L11</f>
        <v>3288</v>
      </c>
      <c r="L11" s="15">
        <f>2758+530</f>
        <v>3288</v>
      </c>
      <c r="M11" s="15">
        <f t="shared" si="0"/>
        <v>3288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>
        <v>8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ref="AD11:AD14" si="9">AC11*AB11*(1-O11)</f>
        <v>0.66666666666666663</v>
      </c>
      <c r="AE11" s="36">
        <f t="shared" si="7"/>
        <v>0.47619047619047616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5144</v>
      </c>
      <c r="K12" s="15">
        <f>L12+4200+2432</f>
        <v>11776</v>
      </c>
      <c r="L12" s="15">
        <f>1462*2+1110*2</f>
        <v>5144</v>
      </c>
      <c r="M12" s="15">
        <f t="shared" si="0"/>
        <v>5144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9"/>
        <v>0.58333333333333337</v>
      </c>
      <c r="AE12" s="36">
        <f t="shared" si="7"/>
        <v>0.47619047619047616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4298</v>
      </c>
      <c r="K13" s="15">
        <f>L13+10230+8758+7458</f>
        <v>30744</v>
      </c>
      <c r="L13" s="15">
        <f>1949*2+200*2</f>
        <v>4298</v>
      </c>
      <c r="M13" s="15">
        <f t="shared" si="0"/>
        <v>4298</v>
      </c>
      <c r="N13" s="15">
        <v>0</v>
      </c>
      <c r="O13" s="58">
        <f t="shared" si="1"/>
        <v>0</v>
      </c>
      <c r="P13" s="39">
        <f t="shared" si="2"/>
        <v>13</v>
      </c>
      <c r="Q13" s="40">
        <f t="shared" si="3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0.54166666666666663</v>
      </c>
      <c r="AD13" s="10">
        <f>AC13*AB13*(1-O13)</f>
        <v>0.54166666666666663</v>
      </c>
      <c r="AE13" s="36">
        <f t="shared" si="7"/>
        <v>0.47619047619047616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242</v>
      </c>
      <c r="K14" s="15">
        <f>L14</f>
        <v>242</v>
      </c>
      <c r="L14" s="15">
        <v>242</v>
      </c>
      <c r="M14" s="15">
        <f t="shared" si="0"/>
        <v>242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8</v>
      </c>
      <c r="T14" s="16"/>
      <c r="U14" s="16">
        <v>10</v>
      </c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7"/>
        <v>0.47619047619047616</v>
      </c>
      <c r="AF14" s="84">
        <f t="shared" si="8"/>
        <v>9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237</v>
      </c>
      <c r="F15" s="30" t="s">
        <v>249</v>
      </c>
      <c r="G15" s="33">
        <v>1</v>
      </c>
      <c r="H15" s="35">
        <v>24</v>
      </c>
      <c r="I15" s="7">
        <v>300</v>
      </c>
      <c r="J15" s="5">
        <v>628</v>
      </c>
      <c r="K15" s="15">
        <f>L15</f>
        <v>628</v>
      </c>
      <c r="L15" s="15">
        <v>628</v>
      </c>
      <c r="M15" s="15">
        <f t="shared" ref="M15" si="10">L15-N15</f>
        <v>628</v>
      </c>
      <c r="N15" s="15">
        <v>0</v>
      </c>
      <c r="O15" s="58">
        <f t="shared" ref="O15" si="11">IF(L15=0,"0",N15/L15)</f>
        <v>0</v>
      </c>
      <c r="P15" s="39">
        <f t="shared" ref="P15" si="12">IF(L15=0,"0",(24-Q15))</f>
        <v>10</v>
      </c>
      <c r="Q15" s="40">
        <f t="shared" ref="Q15" si="13">SUM(R15:AA15)</f>
        <v>14</v>
      </c>
      <c r="R15" s="7"/>
      <c r="S15" s="6"/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ref="AB15" si="14">IF(J15=0,"0",(L15/J15))</f>
        <v>1</v>
      </c>
      <c r="AC15" s="9">
        <f t="shared" ref="AC15" si="15">IF(P15=0,"0",(P15/24))</f>
        <v>0.41666666666666669</v>
      </c>
      <c r="AD15" s="10">
        <f t="shared" ref="AD15" si="16">AC15*AB15*(1-O15)</f>
        <v>0.41666666666666669</v>
      </c>
      <c r="AE15" s="36">
        <f t="shared" si="7"/>
        <v>0.47619047619047616</v>
      </c>
      <c r="AF15" s="84">
        <f t="shared" ref="AF15" si="17">A15</f>
        <v>9</v>
      </c>
    </row>
    <row r="16" spans="1:32" ht="27" customHeight="1">
      <c r="A16" s="95">
        <v>10</v>
      </c>
      <c r="B16" s="11" t="s">
        <v>57</v>
      </c>
      <c r="C16" s="34" t="s">
        <v>112</v>
      </c>
      <c r="D16" s="52" t="s">
        <v>130</v>
      </c>
      <c r="E16" s="53" t="s">
        <v>161</v>
      </c>
      <c r="F16" s="12">
        <v>8301</v>
      </c>
      <c r="G16" s="12">
        <v>1</v>
      </c>
      <c r="H16" s="13">
        <v>24</v>
      </c>
      <c r="I16" s="31">
        <v>73000</v>
      </c>
      <c r="J16" s="14">
        <v>2422</v>
      </c>
      <c r="K16" s="15">
        <f>L16+2422</f>
        <v>2422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0.47619047619047616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215</v>
      </c>
      <c r="E17" s="53" t="s">
        <v>216</v>
      </c>
      <c r="F17" s="30" t="s">
        <v>225</v>
      </c>
      <c r="G17" s="12">
        <v>1</v>
      </c>
      <c r="H17" s="13">
        <v>24</v>
      </c>
      <c r="I17" s="7">
        <v>500</v>
      </c>
      <c r="J17" s="14">
        <v>495</v>
      </c>
      <c r="K17" s="15">
        <f t="shared" ref="K17:K24" si="18">L17</f>
        <v>495</v>
      </c>
      <c r="L17" s="15">
        <v>495</v>
      </c>
      <c r="M17" s="15">
        <f t="shared" si="0"/>
        <v>495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>
        <v>20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0.47619047619047616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121</v>
      </c>
      <c r="D18" s="52" t="s">
        <v>250</v>
      </c>
      <c r="E18" s="53" t="s">
        <v>251</v>
      </c>
      <c r="F18" s="30" t="s">
        <v>252</v>
      </c>
      <c r="G18" s="12">
        <v>1</v>
      </c>
      <c r="H18" s="13">
        <v>24</v>
      </c>
      <c r="I18" s="7">
        <v>1000</v>
      </c>
      <c r="J18" s="14">
        <v>1482</v>
      </c>
      <c r="K18" s="15">
        <f t="shared" si="18"/>
        <v>1482</v>
      </c>
      <c r="L18" s="15">
        <f>877+605</f>
        <v>1482</v>
      </c>
      <c r="M18" s="15">
        <f t="shared" si="0"/>
        <v>1482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/>
      <c r="T18" s="16"/>
      <c r="U18" s="16"/>
      <c r="V18" s="17"/>
      <c r="W18" s="5">
        <v>16</v>
      </c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0.47619047619047616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253</v>
      </c>
      <c r="F19" s="30" t="s">
        <v>132</v>
      </c>
      <c r="G19" s="33">
        <v>1</v>
      </c>
      <c r="H19" s="35">
        <v>24</v>
      </c>
      <c r="I19" s="7">
        <v>600</v>
      </c>
      <c r="J19" s="14">
        <v>700</v>
      </c>
      <c r="K19" s="15">
        <f t="shared" si="18"/>
        <v>700</v>
      </c>
      <c r="L19" s="15">
        <v>700</v>
      </c>
      <c r="M19" s="15">
        <f t="shared" si="0"/>
        <v>700</v>
      </c>
      <c r="N19" s="15">
        <v>0</v>
      </c>
      <c r="O19" s="58">
        <f t="shared" si="1"/>
        <v>0</v>
      </c>
      <c r="P19" s="39">
        <f t="shared" si="2"/>
        <v>5</v>
      </c>
      <c r="Q19" s="40">
        <f t="shared" si="3"/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si="4"/>
        <v>1</v>
      </c>
      <c r="AC19" s="9">
        <f t="shared" si="5"/>
        <v>0.20833333333333334</v>
      </c>
      <c r="AD19" s="10">
        <f t="shared" si="6"/>
        <v>0.20833333333333334</v>
      </c>
      <c r="AE19" s="36">
        <f t="shared" si="7"/>
        <v>0.47619047619047616</v>
      </c>
      <c r="AF19" s="84">
        <f t="shared" si="8"/>
        <v>13</v>
      </c>
    </row>
    <row r="20" spans="1:32" ht="27" customHeight="1">
      <c r="A20" s="96">
        <v>13</v>
      </c>
      <c r="B20" s="11" t="s">
        <v>57</v>
      </c>
      <c r="C20" s="11" t="s">
        <v>120</v>
      </c>
      <c r="D20" s="52" t="s">
        <v>215</v>
      </c>
      <c r="E20" s="53" t="s">
        <v>254</v>
      </c>
      <c r="F20" s="30" t="s">
        <v>131</v>
      </c>
      <c r="G20" s="33">
        <v>1</v>
      </c>
      <c r="H20" s="35">
        <v>24</v>
      </c>
      <c r="I20" s="7">
        <v>600</v>
      </c>
      <c r="J20" s="14">
        <v>680</v>
      </c>
      <c r="K20" s="15">
        <f t="shared" si="18"/>
        <v>680</v>
      </c>
      <c r="L20" s="15">
        <v>680</v>
      </c>
      <c r="M20" s="15">
        <f t="shared" ref="M20:M23" si="19">L20-N20</f>
        <v>680</v>
      </c>
      <c r="N20" s="15">
        <v>0</v>
      </c>
      <c r="O20" s="58">
        <f t="shared" ref="O20:O23" si="20">IF(L20=0,"0",N20/L20)</f>
        <v>0</v>
      </c>
      <c r="P20" s="39">
        <f t="shared" ref="P20:P23" si="21">IF(L20=0,"0",(24-Q20))</f>
        <v>5</v>
      </c>
      <c r="Q20" s="40">
        <f t="shared" ref="Q20:Q23" si="22">SUM(R20:AA20)</f>
        <v>19</v>
      </c>
      <c r="R20" s="7"/>
      <c r="S20" s="6"/>
      <c r="T20" s="16"/>
      <c r="U20" s="16"/>
      <c r="V20" s="17"/>
      <c r="W20" s="5">
        <v>19</v>
      </c>
      <c r="X20" s="16"/>
      <c r="Y20" s="16"/>
      <c r="Z20" s="16"/>
      <c r="AA20" s="18"/>
      <c r="AB20" s="8">
        <f t="shared" ref="AB20:AB23" si="23">IF(J20=0,"0",(L20/J20))</f>
        <v>1</v>
      </c>
      <c r="AC20" s="9">
        <f t="shared" ref="AC20:AC23" si="24">IF(P20=0,"0",(P20/24))</f>
        <v>0.20833333333333334</v>
      </c>
      <c r="AD20" s="10">
        <f t="shared" ref="AD20" si="25">AC20*AB20*(1-O20)</f>
        <v>0.20833333333333334</v>
      </c>
      <c r="AE20" s="36">
        <f t="shared" si="7"/>
        <v>0.47619047619047616</v>
      </c>
      <c r="AF20" s="84">
        <f t="shared" ref="AF20:AF23" si="26">A20</f>
        <v>13</v>
      </c>
    </row>
    <row r="21" spans="1:32" ht="27" customHeight="1">
      <c r="A21" s="96">
        <v>14</v>
      </c>
      <c r="B21" s="11" t="s">
        <v>57</v>
      </c>
      <c r="C21" s="11" t="s">
        <v>120</v>
      </c>
      <c r="D21" s="52" t="s">
        <v>257</v>
      </c>
      <c r="E21" s="53" t="s">
        <v>258</v>
      </c>
      <c r="F21" s="30" t="s">
        <v>131</v>
      </c>
      <c r="G21" s="33">
        <v>1</v>
      </c>
      <c r="H21" s="35">
        <v>24</v>
      </c>
      <c r="I21" s="7">
        <v>600</v>
      </c>
      <c r="J21" s="14">
        <v>640</v>
      </c>
      <c r="K21" s="15">
        <f t="shared" si="18"/>
        <v>640</v>
      </c>
      <c r="L21" s="15">
        <v>640</v>
      </c>
      <c r="M21" s="15">
        <f t="shared" ref="M21" si="27">L21-N21</f>
        <v>640</v>
      </c>
      <c r="N21" s="15">
        <v>0</v>
      </c>
      <c r="O21" s="58">
        <f t="shared" ref="O21" si="28">IF(L21=0,"0",N21/L21)</f>
        <v>0</v>
      </c>
      <c r="P21" s="39">
        <f t="shared" ref="P21" si="29">IF(L21=0,"0",(24-Q21))</f>
        <v>5</v>
      </c>
      <c r="Q21" s="40">
        <f t="shared" ref="Q21" si="30">SUM(R21:AA21)</f>
        <v>19</v>
      </c>
      <c r="R21" s="7"/>
      <c r="S21" s="6"/>
      <c r="T21" s="16"/>
      <c r="U21" s="16"/>
      <c r="V21" s="17"/>
      <c r="W21" s="5">
        <v>19</v>
      </c>
      <c r="X21" s="16"/>
      <c r="Y21" s="16"/>
      <c r="Z21" s="16"/>
      <c r="AA21" s="18"/>
      <c r="AB21" s="8">
        <f t="shared" ref="AB21" si="31">IF(J21=0,"0",(L21/J21))</f>
        <v>1</v>
      </c>
      <c r="AC21" s="9">
        <f t="shared" ref="AC21" si="32">IF(P21=0,"0",(P21/24))</f>
        <v>0.20833333333333334</v>
      </c>
      <c r="AD21" s="10">
        <f t="shared" ref="AD21" si="33">AC21*AB21*(1-O21)</f>
        <v>0.20833333333333334</v>
      </c>
      <c r="AE21" s="36">
        <f t="shared" si="7"/>
        <v>0.47619047619047616</v>
      </c>
      <c r="AF21" s="84">
        <f t="shared" ref="AF21" si="34">A21</f>
        <v>14</v>
      </c>
    </row>
    <row r="22" spans="1:32" ht="27" customHeight="1">
      <c r="A22" s="96">
        <v>14</v>
      </c>
      <c r="B22" s="11" t="s">
        <v>57</v>
      </c>
      <c r="C22" s="11" t="s">
        <v>120</v>
      </c>
      <c r="D22" s="52" t="s">
        <v>146</v>
      </c>
      <c r="E22" s="53" t="s">
        <v>259</v>
      </c>
      <c r="F22" s="30" t="s">
        <v>131</v>
      </c>
      <c r="G22" s="33">
        <v>1</v>
      </c>
      <c r="H22" s="35">
        <v>24</v>
      </c>
      <c r="I22" s="7">
        <v>1200</v>
      </c>
      <c r="J22" s="14">
        <v>1500</v>
      </c>
      <c r="K22" s="15">
        <f t="shared" si="18"/>
        <v>1500</v>
      </c>
      <c r="L22" s="15">
        <v>1500</v>
      </c>
      <c r="M22" s="15">
        <f t="shared" ref="M22" si="35">L22-N22</f>
        <v>1500</v>
      </c>
      <c r="N22" s="15">
        <v>0</v>
      </c>
      <c r="O22" s="58">
        <f t="shared" ref="O22" si="36">IF(L22=0,"0",N22/L22)</f>
        <v>0</v>
      </c>
      <c r="P22" s="39">
        <f t="shared" ref="P22" si="37">IF(L22=0,"0",(24-Q22))</f>
        <v>7</v>
      </c>
      <c r="Q22" s="40">
        <f t="shared" ref="Q22" si="38">SUM(R22:AA22)</f>
        <v>17</v>
      </c>
      <c r="R22" s="7"/>
      <c r="S22" s="6"/>
      <c r="T22" s="16"/>
      <c r="U22" s="16"/>
      <c r="V22" s="17"/>
      <c r="W22" s="5">
        <v>17</v>
      </c>
      <c r="X22" s="16"/>
      <c r="Y22" s="16"/>
      <c r="Z22" s="16"/>
      <c r="AA22" s="18"/>
      <c r="AB22" s="8">
        <f t="shared" ref="AB22" si="39">IF(J22=0,"0",(L22/J22))</f>
        <v>1</v>
      </c>
      <c r="AC22" s="9">
        <f t="shared" ref="AC22" si="40">IF(P22=0,"0",(P22/24))</f>
        <v>0.29166666666666669</v>
      </c>
      <c r="AD22" s="10">
        <f t="shared" ref="AD22" si="41">AC22*AB22*(1-O22)</f>
        <v>0.29166666666666669</v>
      </c>
      <c r="AE22" s="36">
        <f t="shared" si="7"/>
        <v>0.47619047619047616</v>
      </c>
      <c r="AF22" s="84">
        <f t="shared" ref="AF22" si="42">A22</f>
        <v>14</v>
      </c>
    </row>
    <row r="23" spans="1:32" ht="27" customHeight="1">
      <c r="A23" s="96">
        <v>14</v>
      </c>
      <c r="B23" s="11" t="s">
        <v>57</v>
      </c>
      <c r="C23" s="34" t="s">
        <v>120</v>
      </c>
      <c r="D23" s="52" t="s">
        <v>150</v>
      </c>
      <c r="E23" s="53" t="s">
        <v>255</v>
      </c>
      <c r="F23" s="30" t="s">
        <v>132</v>
      </c>
      <c r="G23" s="33">
        <v>1</v>
      </c>
      <c r="H23" s="35">
        <v>24</v>
      </c>
      <c r="I23" s="7">
        <v>600</v>
      </c>
      <c r="J23" s="5">
        <v>700</v>
      </c>
      <c r="K23" s="15">
        <f t="shared" si="18"/>
        <v>700</v>
      </c>
      <c r="L23" s="15">
        <f>700</f>
        <v>700</v>
      </c>
      <c r="M23" s="15">
        <f t="shared" si="19"/>
        <v>700</v>
      </c>
      <c r="N23" s="15">
        <v>0</v>
      </c>
      <c r="O23" s="58">
        <f t="shared" si="20"/>
        <v>0</v>
      </c>
      <c r="P23" s="39">
        <f t="shared" si="21"/>
        <v>5</v>
      </c>
      <c r="Q23" s="40">
        <f t="shared" si="22"/>
        <v>19</v>
      </c>
      <c r="R23" s="7"/>
      <c r="S23" s="6"/>
      <c r="T23" s="16"/>
      <c r="U23" s="16"/>
      <c r="V23" s="17"/>
      <c r="W23" s="5">
        <v>19</v>
      </c>
      <c r="X23" s="16"/>
      <c r="Y23" s="16"/>
      <c r="Z23" s="16"/>
      <c r="AA23" s="18"/>
      <c r="AB23" s="8">
        <f t="shared" si="23"/>
        <v>1</v>
      </c>
      <c r="AC23" s="9">
        <f t="shared" si="24"/>
        <v>0.20833333333333334</v>
      </c>
      <c r="AD23" s="10">
        <f>AC23*AB23*(1-O23)</f>
        <v>0.20833333333333334</v>
      </c>
      <c r="AE23" s="36">
        <f t="shared" si="7"/>
        <v>0.47619047619047616</v>
      </c>
      <c r="AF23" s="84">
        <f t="shared" si="26"/>
        <v>14</v>
      </c>
    </row>
    <row r="24" spans="1:32" ht="27" customHeight="1">
      <c r="A24" s="96">
        <v>14</v>
      </c>
      <c r="B24" s="11" t="s">
        <v>57</v>
      </c>
      <c r="C24" s="34" t="s">
        <v>120</v>
      </c>
      <c r="D24" s="52" t="s">
        <v>141</v>
      </c>
      <c r="E24" s="53" t="s">
        <v>256</v>
      </c>
      <c r="F24" s="30" t="s">
        <v>132</v>
      </c>
      <c r="G24" s="33">
        <v>1</v>
      </c>
      <c r="H24" s="35">
        <v>24</v>
      </c>
      <c r="I24" s="7">
        <v>600</v>
      </c>
      <c r="J24" s="5">
        <v>720</v>
      </c>
      <c r="K24" s="15">
        <f t="shared" si="18"/>
        <v>720</v>
      </c>
      <c r="L24" s="15">
        <v>720</v>
      </c>
      <c r="M24" s="15">
        <f t="shared" si="0"/>
        <v>720</v>
      </c>
      <c r="N24" s="15">
        <v>0</v>
      </c>
      <c r="O24" s="58">
        <f t="shared" si="1"/>
        <v>0</v>
      </c>
      <c r="P24" s="39">
        <f t="shared" si="2"/>
        <v>5</v>
      </c>
      <c r="Q24" s="40">
        <f t="shared" si="3"/>
        <v>19</v>
      </c>
      <c r="R24" s="7"/>
      <c r="S24" s="6"/>
      <c r="T24" s="16"/>
      <c r="U24" s="16"/>
      <c r="V24" s="17"/>
      <c r="W24" s="5">
        <v>19</v>
      </c>
      <c r="X24" s="16"/>
      <c r="Y24" s="16"/>
      <c r="Z24" s="16"/>
      <c r="AA24" s="18"/>
      <c r="AB24" s="8">
        <f t="shared" si="4"/>
        <v>1</v>
      </c>
      <c r="AC24" s="9">
        <f t="shared" si="5"/>
        <v>0.20833333333333334</v>
      </c>
      <c r="AD24" s="10">
        <f>AC24*AB24*(1-O24)</f>
        <v>0.20833333333333334</v>
      </c>
      <c r="AE24" s="36">
        <f t="shared" si="7"/>
        <v>0.47619047619047616</v>
      </c>
      <c r="AF24" s="84">
        <f t="shared" si="8"/>
        <v>14</v>
      </c>
    </row>
    <row r="25" spans="1:32" ht="27" customHeight="1">
      <c r="A25" s="113">
        <v>15</v>
      </c>
      <c r="B25" s="11" t="s">
        <v>57</v>
      </c>
      <c r="C25" s="34" t="s">
        <v>121</v>
      </c>
      <c r="D25" s="52" t="s">
        <v>115</v>
      </c>
      <c r="E25" s="53" t="s">
        <v>200</v>
      </c>
      <c r="F25" s="30" t="s">
        <v>124</v>
      </c>
      <c r="G25" s="12">
        <v>2</v>
      </c>
      <c r="H25" s="13">
        <v>28</v>
      </c>
      <c r="I25" s="31">
        <v>400000</v>
      </c>
      <c r="J25" s="5">
        <v>9128</v>
      </c>
      <c r="K25" s="15">
        <f>L25+6852+6648</f>
        <v>22628</v>
      </c>
      <c r="L25" s="15">
        <f>2498*2+2066*2</f>
        <v>9128</v>
      </c>
      <c r="M25" s="15">
        <f t="shared" si="0"/>
        <v>9128</v>
      </c>
      <c r="N25" s="15">
        <v>0</v>
      </c>
      <c r="O25" s="58">
        <f t="shared" si="1"/>
        <v>0</v>
      </c>
      <c r="P25" s="39">
        <f t="shared" si="2"/>
        <v>21</v>
      </c>
      <c r="Q25" s="40">
        <f t="shared" si="3"/>
        <v>3</v>
      </c>
      <c r="R25" s="7"/>
      <c r="S25" s="6">
        <v>3</v>
      </c>
      <c r="T25" s="16"/>
      <c r="U25" s="16"/>
      <c r="V25" s="17"/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0.875</v>
      </c>
      <c r="AD25" s="10">
        <f t="shared" ref="AD25" si="43">AC25*AB25*(1-O25)</f>
        <v>0.875</v>
      </c>
      <c r="AE25" s="36">
        <f t="shared" si="7"/>
        <v>0.47619047619047616</v>
      </c>
      <c r="AF25" s="84">
        <f t="shared" si="8"/>
        <v>15</v>
      </c>
    </row>
    <row r="26" spans="1:32" ht="27" customHeight="1" thickBot="1">
      <c r="A26" s="96">
        <v>16</v>
      </c>
      <c r="B26" s="11" t="s">
        <v>57</v>
      </c>
      <c r="C26" s="11" t="s">
        <v>113</v>
      </c>
      <c r="D26" s="52"/>
      <c r="E26" s="53" t="s">
        <v>230</v>
      </c>
      <c r="F26" s="12" t="s">
        <v>114</v>
      </c>
      <c r="G26" s="12">
        <v>4</v>
      </c>
      <c r="H26" s="35">
        <v>20</v>
      </c>
      <c r="I26" s="7">
        <v>100000</v>
      </c>
      <c r="J26" s="14">
        <v>58936</v>
      </c>
      <c r="K26" s="15">
        <f>L26</f>
        <v>58936</v>
      </c>
      <c r="L26" s="15">
        <f>7188*4+7546*4</f>
        <v>58936</v>
      </c>
      <c r="M26" s="15">
        <f t="shared" si="0"/>
        <v>58936</v>
      </c>
      <c r="N26" s="15">
        <v>0</v>
      </c>
      <c r="O26" s="58">
        <f t="shared" si="1"/>
        <v>0</v>
      </c>
      <c r="P26" s="39">
        <f t="shared" si="2"/>
        <v>24</v>
      </c>
      <c r="Q26" s="40">
        <f t="shared" si="3"/>
        <v>0</v>
      </c>
      <c r="R26" s="7"/>
      <c r="S26" s="6"/>
      <c r="T26" s="16"/>
      <c r="U26" s="16"/>
      <c r="V26" s="17"/>
      <c r="W26" s="5"/>
      <c r="X26" s="16"/>
      <c r="Y26" s="16"/>
      <c r="Z26" s="16"/>
      <c r="AA26" s="18"/>
      <c r="AB26" s="8">
        <f t="shared" si="4"/>
        <v>1</v>
      </c>
      <c r="AC26" s="9">
        <f t="shared" si="5"/>
        <v>1</v>
      </c>
      <c r="AD26" s="10">
        <f t="shared" si="6"/>
        <v>1</v>
      </c>
      <c r="AE26" s="36">
        <f t="shared" si="7"/>
        <v>0.47619047619047616</v>
      </c>
      <c r="AF26" s="84">
        <f t="shared" si="8"/>
        <v>16</v>
      </c>
    </row>
    <row r="27" spans="1:32" ht="31.5" customHeight="1" thickBot="1">
      <c r="A27" s="529" t="s">
        <v>34</v>
      </c>
      <c r="B27" s="530"/>
      <c r="C27" s="530"/>
      <c r="D27" s="530"/>
      <c r="E27" s="530"/>
      <c r="F27" s="530"/>
      <c r="G27" s="530"/>
      <c r="H27" s="531"/>
      <c r="I27" s="22">
        <f t="shared" ref="I27:N27" si="44">SUM(I6:I26)</f>
        <v>2347300</v>
      </c>
      <c r="J27" s="19">
        <f t="shared" si="44"/>
        <v>134065</v>
      </c>
      <c r="K27" s="20">
        <f t="shared" si="44"/>
        <v>224176</v>
      </c>
      <c r="L27" s="21">
        <f t="shared" si="44"/>
        <v>126343</v>
      </c>
      <c r="M27" s="20">
        <f t="shared" si="44"/>
        <v>126343</v>
      </c>
      <c r="N27" s="21">
        <f t="shared" si="44"/>
        <v>0</v>
      </c>
      <c r="O27" s="41">
        <f t="shared" si="1"/>
        <v>0</v>
      </c>
      <c r="P27" s="42">
        <f t="shared" ref="P27:AA27" si="45">SUM(P6:P26)</f>
        <v>240</v>
      </c>
      <c r="Q27" s="43">
        <f t="shared" si="45"/>
        <v>264</v>
      </c>
      <c r="R27" s="23">
        <f t="shared" si="45"/>
        <v>20</v>
      </c>
      <c r="S27" s="24">
        <f t="shared" si="45"/>
        <v>44</v>
      </c>
      <c r="T27" s="24">
        <f t="shared" si="45"/>
        <v>0</v>
      </c>
      <c r="U27" s="24">
        <f t="shared" si="45"/>
        <v>10</v>
      </c>
      <c r="V27" s="25">
        <f t="shared" si="45"/>
        <v>24</v>
      </c>
      <c r="W27" s="26">
        <f t="shared" si="45"/>
        <v>142</v>
      </c>
      <c r="X27" s="27">
        <f t="shared" si="45"/>
        <v>0</v>
      </c>
      <c r="Y27" s="27">
        <f t="shared" si="45"/>
        <v>0</v>
      </c>
      <c r="Z27" s="27">
        <f t="shared" si="45"/>
        <v>0</v>
      </c>
      <c r="AA27" s="27">
        <f t="shared" si="45"/>
        <v>24</v>
      </c>
      <c r="AB27" s="28">
        <f>AVERAGE(AB6:AB26)</f>
        <v>0.90476190476190477</v>
      </c>
      <c r="AC27" s="4">
        <f>AVERAGE(AC6:AC26)</f>
        <v>0.47619047619047616</v>
      </c>
      <c r="AD27" s="4">
        <f>AVERAGE(AD6:AD26)</f>
        <v>0.47619047619047616</v>
      </c>
      <c r="AE27" s="29"/>
    </row>
    <row r="29" spans="1:32" ht="18.75">
      <c r="A29" s="2"/>
      <c r="B29" s="2" t="s">
        <v>35</v>
      </c>
      <c r="C29" s="2"/>
      <c r="D29" s="2"/>
      <c r="E29" s="2"/>
      <c r="F29" s="2"/>
      <c r="G29" s="2"/>
      <c r="H29" s="3"/>
      <c r="I29" s="3"/>
      <c r="J29" s="2"/>
      <c r="K29" s="2"/>
      <c r="L29" s="2"/>
      <c r="M29" s="2"/>
      <c r="N29" s="2" t="s">
        <v>36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1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85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F43" s="50"/>
    </row>
    <row r="44" spans="1:32" ht="27">
      <c r="A44" s="59"/>
      <c r="B44" s="59"/>
      <c r="C44" s="59"/>
      <c r="D44" s="59"/>
      <c r="E44" s="59"/>
      <c r="F44" s="37"/>
      <c r="G44" s="37"/>
      <c r="H44" s="38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F44" s="50"/>
    </row>
    <row r="45" spans="1:32" ht="29.25" customHeight="1">
      <c r="A45" s="60"/>
      <c r="B45" s="60"/>
      <c r="C45" s="61"/>
      <c r="D45" s="61"/>
      <c r="E45" s="61"/>
      <c r="F45" s="60"/>
      <c r="G45" s="60"/>
      <c r="H45" s="60"/>
      <c r="I45" s="60"/>
      <c r="J45" s="60"/>
      <c r="K45" s="60"/>
      <c r="L45" s="60"/>
      <c r="M45" s="61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29.25" customHeight="1">
      <c r="A52" s="60"/>
      <c r="B52" s="60"/>
      <c r="C52" s="62"/>
      <c r="D52" s="61"/>
      <c r="E52" s="61"/>
      <c r="F52" s="60"/>
      <c r="G52" s="60"/>
      <c r="H52" s="60"/>
      <c r="I52" s="60"/>
      <c r="J52" s="60"/>
      <c r="K52" s="60"/>
      <c r="L52" s="60"/>
      <c r="M52" s="62"/>
      <c r="N52" s="60"/>
      <c r="O52" s="60"/>
      <c r="P52" s="63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0"/>
      <c r="AC52" s="60"/>
      <c r="AD52" s="60"/>
      <c r="AF52" s="50"/>
    </row>
    <row r="53" spans="1:32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36" thickBot="1">
      <c r="A54" s="532" t="s">
        <v>45</v>
      </c>
      <c r="B54" s="532"/>
      <c r="C54" s="532"/>
      <c r="D54" s="532"/>
      <c r="E54" s="532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F54" s="50"/>
    </row>
    <row r="55" spans="1:32" ht="26.25" thickBot="1">
      <c r="A55" s="533" t="s">
        <v>260</v>
      </c>
      <c r="B55" s="534"/>
      <c r="C55" s="534"/>
      <c r="D55" s="534"/>
      <c r="E55" s="534"/>
      <c r="F55" s="534"/>
      <c r="G55" s="534"/>
      <c r="H55" s="534"/>
      <c r="I55" s="534"/>
      <c r="J55" s="534"/>
      <c r="K55" s="534"/>
      <c r="L55" s="534"/>
      <c r="M55" s="535"/>
      <c r="N55" s="536" t="s">
        <v>265</v>
      </c>
      <c r="O55" s="537"/>
      <c r="P55" s="537"/>
      <c r="Q55" s="537"/>
      <c r="R55" s="537"/>
      <c r="S55" s="537"/>
      <c r="T55" s="537"/>
      <c r="U55" s="537"/>
      <c r="V55" s="537"/>
      <c r="W55" s="537"/>
      <c r="X55" s="537"/>
      <c r="Y55" s="537"/>
      <c r="Z55" s="537"/>
      <c r="AA55" s="537"/>
      <c r="AB55" s="537"/>
      <c r="AC55" s="537"/>
      <c r="AD55" s="538"/>
    </row>
    <row r="56" spans="1:32" ht="27" customHeight="1">
      <c r="A56" s="539" t="s">
        <v>2</v>
      </c>
      <c r="B56" s="540"/>
      <c r="C56" s="159" t="s">
        <v>46</v>
      </c>
      <c r="D56" s="159" t="s">
        <v>47</v>
      </c>
      <c r="E56" s="159" t="s">
        <v>107</v>
      </c>
      <c r="F56" s="541" t="s">
        <v>106</v>
      </c>
      <c r="G56" s="542"/>
      <c r="H56" s="542"/>
      <c r="I56" s="542"/>
      <c r="J56" s="542"/>
      <c r="K56" s="542"/>
      <c r="L56" s="542"/>
      <c r="M56" s="543"/>
      <c r="N56" s="67" t="s">
        <v>110</v>
      </c>
      <c r="O56" s="159" t="s">
        <v>46</v>
      </c>
      <c r="P56" s="541" t="s">
        <v>47</v>
      </c>
      <c r="Q56" s="544"/>
      <c r="R56" s="541" t="s">
        <v>38</v>
      </c>
      <c r="S56" s="542"/>
      <c r="T56" s="542"/>
      <c r="U56" s="544"/>
      <c r="V56" s="541" t="s">
        <v>48</v>
      </c>
      <c r="W56" s="542"/>
      <c r="X56" s="542"/>
      <c r="Y56" s="542"/>
      <c r="Z56" s="542"/>
      <c r="AA56" s="542"/>
      <c r="AB56" s="542"/>
      <c r="AC56" s="542"/>
      <c r="AD56" s="543"/>
    </row>
    <row r="57" spans="1:32" ht="27" customHeight="1">
      <c r="A57" s="510" t="s">
        <v>121</v>
      </c>
      <c r="B57" s="511"/>
      <c r="C57" s="161" t="s">
        <v>144</v>
      </c>
      <c r="D57" s="161" t="s">
        <v>115</v>
      </c>
      <c r="E57" s="161" t="s">
        <v>160</v>
      </c>
      <c r="F57" s="512" t="s">
        <v>261</v>
      </c>
      <c r="G57" s="513"/>
      <c r="H57" s="513"/>
      <c r="I57" s="513"/>
      <c r="J57" s="513"/>
      <c r="K57" s="513"/>
      <c r="L57" s="513"/>
      <c r="M57" s="514"/>
      <c r="N57" s="160" t="s">
        <v>121</v>
      </c>
      <c r="O57" s="166" t="s">
        <v>203</v>
      </c>
      <c r="P57" s="524" t="s">
        <v>115</v>
      </c>
      <c r="Q57" s="525"/>
      <c r="R57" s="524" t="s">
        <v>200</v>
      </c>
      <c r="S57" s="526"/>
      <c r="T57" s="526"/>
      <c r="U57" s="525"/>
      <c r="V57" s="496" t="s">
        <v>180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121</v>
      </c>
      <c r="B58" s="511"/>
      <c r="C58" s="161" t="s">
        <v>203</v>
      </c>
      <c r="D58" s="161" t="s">
        <v>115</v>
      </c>
      <c r="E58" s="161" t="s">
        <v>200</v>
      </c>
      <c r="F58" s="512" t="s">
        <v>262</v>
      </c>
      <c r="G58" s="513"/>
      <c r="H58" s="513"/>
      <c r="I58" s="513"/>
      <c r="J58" s="513"/>
      <c r="K58" s="513"/>
      <c r="L58" s="513"/>
      <c r="M58" s="514"/>
      <c r="N58" s="160" t="s">
        <v>121</v>
      </c>
      <c r="O58" s="166" t="s">
        <v>144</v>
      </c>
      <c r="P58" s="524" t="s">
        <v>115</v>
      </c>
      <c r="Q58" s="525"/>
      <c r="R58" s="524" t="s">
        <v>160</v>
      </c>
      <c r="S58" s="526"/>
      <c r="T58" s="526"/>
      <c r="U58" s="525"/>
      <c r="V58" s="496" t="s">
        <v>180</v>
      </c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 t="s">
        <v>112</v>
      </c>
      <c r="B59" s="511"/>
      <c r="C59" s="161" t="s">
        <v>169</v>
      </c>
      <c r="D59" s="161" t="s">
        <v>150</v>
      </c>
      <c r="E59" s="161" t="s">
        <v>248</v>
      </c>
      <c r="F59" s="512" t="s">
        <v>118</v>
      </c>
      <c r="G59" s="513"/>
      <c r="H59" s="513"/>
      <c r="I59" s="513"/>
      <c r="J59" s="513"/>
      <c r="K59" s="513"/>
      <c r="L59" s="513"/>
      <c r="M59" s="514"/>
      <c r="N59" s="160" t="s">
        <v>112</v>
      </c>
      <c r="O59" s="166" t="s">
        <v>210</v>
      </c>
      <c r="P59" s="524" t="s">
        <v>115</v>
      </c>
      <c r="Q59" s="525"/>
      <c r="R59" s="524" t="s">
        <v>236</v>
      </c>
      <c r="S59" s="526"/>
      <c r="T59" s="526"/>
      <c r="U59" s="525"/>
      <c r="V59" s="496" t="s">
        <v>180</v>
      </c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 t="s">
        <v>120</v>
      </c>
      <c r="B60" s="511"/>
      <c r="C60" s="161" t="s">
        <v>214</v>
      </c>
      <c r="D60" s="161" t="s">
        <v>215</v>
      </c>
      <c r="E60" s="161" t="s">
        <v>216</v>
      </c>
      <c r="F60" s="512" t="s">
        <v>118</v>
      </c>
      <c r="G60" s="513"/>
      <c r="H60" s="513"/>
      <c r="I60" s="513"/>
      <c r="J60" s="513"/>
      <c r="K60" s="513"/>
      <c r="L60" s="513"/>
      <c r="M60" s="514"/>
      <c r="N60" s="160" t="s">
        <v>112</v>
      </c>
      <c r="O60" s="166" t="s">
        <v>267</v>
      </c>
      <c r="P60" s="524" t="s">
        <v>133</v>
      </c>
      <c r="Q60" s="525"/>
      <c r="R60" s="524" t="s">
        <v>151</v>
      </c>
      <c r="S60" s="526"/>
      <c r="T60" s="526"/>
      <c r="U60" s="525"/>
      <c r="V60" s="496" t="s">
        <v>180</v>
      </c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 t="s">
        <v>112</v>
      </c>
      <c r="B61" s="511"/>
      <c r="C61" s="161" t="s">
        <v>210</v>
      </c>
      <c r="D61" s="161" t="s">
        <v>115</v>
      </c>
      <c r="E61" s="161" t="s">
        <v>237</v>
      </c>
      <c r="F61" s="512" t="s">
        <v>118</v>
      </c>
      <c r="G61" s="513"/>
      <c r="H61" s="513"/>
      <c r="I61" s="513"/>
      <c r="J61" s="513"/>
      <c r="K61" s="513"/>
      <c r="L61" s="513"/>
      <c r="M61" s="514"/>
      <c r="N61" s="160" t="s">
        <v>121</v>
      </c>
      <c r="O61" s="166" t="s">
        <v>201</v>
      </c>
      <c r="P61" s="524" t="s">
        <v>115</v>
      </c>
      <c r="Q61" s="525"/>
      <c r="R61" s="524" t="s">
        <v>269</v>
      </c>
      <c r="S61" s="526"/>
      <c r="T61" s="526"/>
      <c r="U61" s="525"/>
      <c r="V61" s="496" t="s">
        <v>118</v>
      </c>
      <c r="W61" s="496"/>
      <c r="X61" s="496"/>
      <c r="Y61" s="496"/>
      <c r="Z61" s="496"/>
      <c r="AA61" s="496"/>
      <c r="AB61" s="496"/>
      <c r="AC61" s="496"/>
      <c r="AD61" s="515"/>
    </row>
    <row r="62" spans="1:32" ht="27" customHeight="1">
      <c r="A62" s="510" t="s">
        <v>112</v>
      </c>
      <c r="B62" s="511"/>
      <c r="C62" s="161" t="s">
        <v>210</v>
      </c>
      <c r="D62" s="161" t="s">
        <v>115</v>
      </c>
      <c r="E62" s="161" t="s">
        <v>236</v>
      </c>
      <c r="F62" s="512" t="s">
        <v>266</v>
      </c>
      <c r="G62" s="513"/>
      <c r="H62" s="513"/>
      <c r="I62" s="513"/>
      <c r="J62" s="513"/>
      <c r="K62" s="513"/>
      <c r="L62" s="513"/>
      <c r="M62" s="514"/>
      <c r="N62" s="160"/>
      <c r="O62" s="166"/>
      <c r="P62" s="524"/>
      <c r="Q62" s="525"/>
      <c r="R62" s="524"/>
      <c r="S62" s="526"/>
      <c r="T62" s="526"/>
      <c r="U62" s="525"/>
      <c r="V62" s="496"/>
      <c r="W62" s="496"/>
      <c r="X62" s="496"/>
      <c r="Y62" s="496"/>
      <c r="Z62" s="496"/>
      <c r="AA62" s="496"/>
      <c r="AB62" s="496"/>
      <c r="AC62" s="496"/>
      <c r="AD62" s="515"/>
    </row>
    <row r="63" spans="1:32" ht="27" customHeight="1">
      <c r="A63" s="510" t="s">
        <v>120</v>
      </c>
      <c r="B63" s="511"/>
      <c r="C63" s="161" t="s">
        <v>263</v>
      </c>
      <c r="D63" s="161"/>
      <c r="E63" s="161"/>
      <c r="F63" s="512" t="s">
        <v>264</v>
      </c>
      <c r="G63" s="513"/>
      <c r="H63" s="513"/>
      <c r="I63" s="513"/>
      <c r="J63" s="513"/>
      <c r="K63" s="513"/>
      <c r="L63" s="513"/>
      <c r="M63" s="514"/>
      <c r="N63" s="160"/>
      <c r="O63" s="166"/>
      <c r="P63" s="524"/>
      <c r="Q63" s="525"/>
      <c r="R63" s="511"/>
      <c r="S63" s="511"/>
      <c r="T63" s="511"/>
      <c r="U63" s="511"/>
      <c r="V63" s="496"/>
      <c r="W63" s="496"/>
      <c r="X63" s="496"/>
      <c r="Y63" s="496"/>
      <c r="Z63" s="496"/>
      <c r="AA63" s="496"/>
      <c r="AB63" s="496"/>
      <c r="AC63" s="496"/>
      <c r="AD63" s="515"/>
    </row>
    <row r="64" spans="1:32" ht="27" customHeight="1">
      <c r="A64" s="510" t="s">
        <v>121</v>
      </c>
      <c r="B64" s="511"/>
      <c r="C64" s="161" t="s">
        <v>148</v>
      </c>
      <c r="D64" s="161" t="s">
        <v>250</v>
      </c>
      <c r="E64" s="161" t="s">
        <v>251</v>
      </c>
      <c r="F64" s="512" t="s">
        <v>118</v>
      </c>
      <c r="G64" s="513"/>
      <c r="H64" s="513"/>
      <c r="I64" s="513"/>
      <c r="J64" s="513"/>
      <c r="K64" s="513"/>
      <c r="L64" s="513"/>
      <c r="M64" s="514"/>
      <c r="N64" s="160"/>
      <c r="O64" s="166"/>
      <c r="P64" s="524"/>
      <c r="Q64" s="525"/>
      <c r="R64" s="511"/>
      <c r="S64" s="511"/>
      <c r="T64" s="511"/>
      <c r="U64" s="511"/>
      <c r="V64" s="496"/>
      <c r="W64" s="496"/>
      <c r="X64" s="496"/>
      <c r="Y64" s="496"/>
      <c r="Z64" s="496"/>
      <c r="AA64" s="496"/>
      <c r="AB64" s="496"/>
      <c r="AC64" s="496"/>
      <c r="AD64" s="515"/>
    </row>
    <row r="65" spans="1:32" ht="27" customHeight="1">
      <c r="A65" s="510" t="s">
        <v>120</v>
      </c>
      <c r="B65" s="511"/>
      <c r="C65" s="161" t="s">
        <v>239</v>
      </c>
      <c r="D65" s="161" t="s">
        <v>130</v>
      </c>
      <c r="E65" s="161" t="s">
        <v>238</v>
      </c>
      <c r="F65" s="512" t="s">
        <v>118</v>
      </c>
      <c r="G65" s="513"/>
      <c r="H65" s="513"/>
      <c r="I65" s="513"/>
      <c r="J65" s="513"/>
      <c r="K65" s="513"/>
      <c r="L65" s="513"/>
      <c r="M65" s="514"/>
      <c r="N65" s="160"/>
      <c r="O65" s="166"/>
      <c r="P65" s="511"/>
      <c r="Q65" s="511"/>
      <c r="R65" s="511"/>
      <c r="S65" s="511"/>
      <c r="T65" s="511"/>
      <c r="U65" s="511"/>
      <c r="V65" s="496"/>
      <c r="W65" s="496"/>
      <c r="X65" s="496"/>
      <c r="Y65" s="496"/>
      <c r="Z65" s="496"/>
      <c r="AA65" s="496"/>
      <c r="AB65" s="496"/>
      <c r="AC65" s="496"/>
      <c r="AD65" s="515"/>
      <c r="AF65" s="84">
        <f>8*3000</f>
        <v>24000</v>
      </c>
    </row>
    <row r="66" spans="1:32" ht="27" customHeight="1" thickBot="1">
      <c r="A66" s="516" t="s">
        <v>112</v>
      </c>
      <c r="B66" s="517"/>
      <c r="C66" s="162" t="s">
        <v>267</v>
      </c>
      <c r="D66" s="163" t="s">
        <v>133</v>
      </c>
      <c r="E66" s="163" t="s">
        <v>151</v>
      </c>
      <c r="F66" s="518" t="s">
        <v>268</v>
      </c>
      <c r="G66" s="519"/>
      <c r="H66" s="519"/>
      <c r="I66" s="519"/>
      <c r="J66" s="519"/>
      <c r="K66" s="519"/>
      <c r="L66" s="519"/>
      <c r="M66" s="520"/>
      <c r="N66" s="112"/>
      <c r="O66" s="103"/>
      <c r="P66" s="521"/>
      <c r="Q66" s="521"/>
      <c r="R66" s="521"/>
      <c r="S66" s="521"/>
      <c r="T66" s="521"/>
      <c r="U66" s="521"/>
      <c r="V66" s="522"/>
      <c r="W66" s="522"/>
      <c r="X66" s="522"/>
      <c r="Y66" s="522"/>
      <c r="Z66" s="522"/>
      <c r="AA66" s="522"/>
      <c r="AB66" s="522"/>
      <c r="AC66" s="522"/>
      <c r="AD66" s="523"/>
      <c r="AF66" s="84">
        <f>16*3000</f>
        <v>48000</v>
      </c>
    </row>
    <row r="67" spans="1:32" ht="27.75" thickBot="1">
      <c r="A67" s="508" t="s">
        <v>270</v>
      </c>
      <c r="B67" s="508"/>
      <c r="C67" s="508"/>
      <c r="D67" s="508"/>
      <c r="E67" s="508"/>
      <c r="F67" s="37"/>
      <c r="G67" s="37"/>
      <c r="H67" s="38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F67" s="84">
        <v>24000</v>
      </c>
    </row>
    <row r="68" spans="1:32" ht="29.25" customHeight="1" thickBot="1">
      <c r="A68" s="509" t="s">
        <v>111</v>
      </c>
      <c r="B68" s="503"/>
      <c r="C68" s="164" t="s">
        <v>2</v>
      </c>
      <c r="D68" s="164" t="s">
        <v>37</v>
      </c>
      <c r="E68" s="164" t="s">
        <v>3</v>
      </c>
      <c r="F68" s="503" t="s">
        <v>109</v>
      </c>
      <c r="G68" s="503"/>
      <c r="H68" s="503"/>
      <c r="I68" s="503"/>
      <c r="J68" s="503"/>
      <c r="K68" s="503" t="s">
        <v>39</v>
      </c>
      <c r="L68" s="503"/>
      <c r="M68" s="164" t="s">
        <v>40</v>
      </c>
      <c r="N68" s="503" t="s">
        <v>41</v>
      </c>
      <c r="O68" s="503"/>
      <c r="P68" s="500" t="s">
        <v>42</v>
      </c>
      <c r="Q68" s="502"/>
      <c r="R68" s="500" t="s">
        <v>43</v>
      </c>
      <c r="S68" s="501"/>
      <c r="T68" s="501"/>
      <c r="U68" s="501"/>
      <c r="V68" s="501"/>
      <c r="W68" s="501"/>
      <c r="X68" s="501"/>
      <c r="Y68" s="501"/>
      <c r="Z68" s="501"/>
      <c r="AA68" s="502"/>
      <c r="AB68" s="503" t="s">
        <v>44</v>
      </c>
      <c r="AC68" s="503"/>
      <c r="AD68" s="504"/>
      <c r="AF68" s="84">
        <f>SUM(AF65:AF67)</f>
        <v>96000</v>
      </c>
    </row>
    <row r="69" spans="1:32" ht="25.5" customHeight="1">
      <c r="A69" s="491">
        <v>1</v>
      </c>
      <c r="B69" s="492"/>
      <c r="C69" s="105" t="s">
        <v>121</v>
      </c>
      <c r="D69" s="168"/>
      <c r="E69" s="165" t="s">
        <v>186</v>
      </c>
      <c r="F69" s="497" t="s">
        <v>185</v>
      </c>
      <c r="G69" s="498"/>
      <c r="H69" s="498"/>
      <c r="I69" s="498"/>
      <c r="J69" s="499"/>
      <c r="K69" s="485" t="s">
        <v>187</v>
      </c>
      <c r="L69" s="485"/>
      <c r="M69" s="51" t="s">
        <v>188</v>
      </c>
      <c r="N69" s="494" t="s">
        <v>189</v>
      </c>
      <c r="O69" s="494"/>
      <c r="P69" s="495">
        <v>100</v>
      </c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505"/>
      <c r="AC69" s="506"/>
      <c r="AD69" s="507"/>
      <c r="AF69" s="50"/>
    </row>
    <row r="70" spans="1:32" ht="25.5" customHeight="1">
      <c r="A70" s="491">
        <v>2</v>
      </c>
      <c r="B70" s="492"/>
      <c r="C70" s="105" t="s">
        <v>120</v>
      </c>
      <c r="D70" s="168"/>
      <c r="E70" s="165" t="s">
        <v>130</v>
      </c>
      <c r="F70" s="497" t="s">
        <v>271</v>
      </c>
      <c r="G70" s="498"/>
      <c r="H70" s="498"/>
      <c r="I70" s="498"/>
      <c r="J70" s="499"/>
      <c r="K70" s="485" t="s">
        <v>187</v>
      </c>
      <c r="L70" s="485"/>
      <c r="M70" s="51" t="s">
        <v>188</v>
      </c>
      <c r="N70" s="494" t="s">
        <v>148</v>
      </c>
      <c r="O70" s="494"/>
      <c r="P70" s="495">
        <v>50</v>
      </c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3</v>
      </c>
      <c r="B71" s="492"/>
      <c r="C71" s="105" t="s">
        <v>120</v>
      </c>
      <c r="D71" s="168"/>
      <c r="E71" s="165" t="s">
        <v>117</v>
      </c>
      <c r="F71" s="497" t="s">
        <v>253</v>
      </c>
      <c r="G71" s="498"/>
      <c r="H71" s="498"/>
      <c r="I71" s="498"/>
      <c r="J71" s="499"/>
      <c r="K71" s="485">
        <v>7301</v>
      </c>
      <c r="L71" s="485"/>
      <c r="M71" s="51" t="s">
        <v>272</v>
      </c>
      <c r="N71" s="494" t="s">
        <v>197</v>
      </c>
      <c r="O71" s="494"/>
      <c r="P71" s="495">
        <v>50</v>
      </c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4</v>
      </c>
      <c r="B72" s="492"/>
      <c r="C72" s="105" t="s">
        <v>120</v>
      </c>
      <c r="D72" s="168"/>
      <c r="E72" s="165" t="s">
        <v>215</v>
      </c>
      <c r="F72" s="497" t="s">
        <v>254</v>
      </c>
      <c r="G72" s="498"/>
      <c r="H72" s="498"/>
      <c r="I72" s="498"/>
      <c r="J72" s="499"/>
      <c r="K72" s="485" t="s">
        <v>131</v>
      </c>
      <c r="L72" s="485"/>
      <c r="M72" s="51" t="s">
        <v>272</v>
      </c>
      <c r="N72" s="494" t="s">
        <v>197</v>
      </c>
      <c r="O72" s="494"/>
      <c r="P72" s="495">
        <v>50</v>
      </c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5</v>
      </c>
      <c r="B73" s="492"/>
      <c r="C73" s="105" t="s">
        <v>120</v>
      </c>
      <c r="D73" s="168"/>
      <c r="E73" s="165" t="s">
        <v>150</v>
      </c>
      <c r="F73" s="497" t="s">
        <v>255</v>
      </c>
      <c r="G73" s="498"/>
      <c r="H73" s="498"/>
      <c r="I73" s="498"/>
      <c r="J73" s="499"/>
      <c r="K73" s="485">
        <v>7301</v>
      </c>
      <c r="L73" s="485"/>
      <c r="M73" s="51" t="s">
        <v>272</v>
      </c>
      <c r="N73" s="494" t="s">
        <v>201</v>
      </c>
      <c r="O73" s="494"/>
      <c r="P73" s="495">
        <v>50</v>
      </c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6</v>
      </c>
      <c r="B74" s="492"/>
      <c r="C74" s="105" t="s">
        <v>120</v>
      </c>
      <c r="D74" s="168"/>
      <c r="E74" s="165" t="s">
        <v>141</v>
      </c>
      <c r="F74" s="497" t="s">
        <v>256</v>
      </c>
      <c r="G74" s="498"/>
      <c r="H74" s="498"/>
      <c r="I74" s="498"/>
      <c r="J74" s="499"/>
      <c r="K74" s="485">
        <v>7301</v>
      </c>
      <c r="L74" s="485"/>
      <c r="M74" s="51" t="s">
        <v>272</v>
      </c>
      <c r="N74" s="494" t="s">
        <v>201</v>
      </c>
      <c r="O74" s="494"/>
      <c r="P74" s="495">
        <v>50</v>
      </c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5.5" customHeight="1">
      <c r="A75" s="491">
        <v>7</v>
      </c>
      <c r="B75" s="492"/>
      <c r="C75" s="105" t="s">
        <v>120</v>
      </c>
      <c r="D75" s="168"/>
      <c r="E75" s="165" t="s">
        <v>257</v>
      </c>
      <c r="F75" s="493" t="s">
        <v>258</v>
      </c>
      <c r="G75" s="485"/>
      <c r="H75" s="485"/>
      <c r="I75" s="485"/>
      <c r="J75" s="485"/>
      <c r="K75" s="485" t="s">
        <v>131</v>
      </c>
      <c r="L75" s="485"/>
      <c r="M75" s="51" t="s">
        <v>272</v>
      </c>
      <c r="N75" s="494" t="s">
        <v>201</v>
      </c>
      <c r="O75" s="494"/>
      <c r="P75" s="495">
        <v>50</v>
      </c>
      <c r="Q75" s="495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85"/>
      <c r="AC75" s="485"/>
      <c r="AD75" s="486"/>
      <c r="AF75" s="50"/>
    </row>
    <row r="76" spans="1:32" ht="25.5" customHeight="1">
      <c r="A76" s="491">
        <v>8</v>
      </c>
      <c r="B76" s="492"/>
      <c r="C76" s="105" t="s">
        <v>120</v>
      </c>
      <c r="D76" s="168"/>
      <c r="E76" s="165" t="s">
        <v>146</v>
      </c>
      <c r="F76" s="493" t="s">
        <v>259</v>
      </c>
      <c r="G76" s="485"/>
      <c r="H76" s="485"/>
      <c r="I76" s="485"/>
      <c r="J76" s="485"/>
      <c r="K76" s="485" t="s">
        <v>131</v>
      </c>
      <c r="L76" s="485"/>
      <c r="M76" s="51" t="s">
        <v>272</v>
      </c>
      <c r="N76" s="494" t="s">
        <v>201</v>
      </c>
      <c r="O76" s="494"/>
      <c r="P76" s="495">
        <v>100</v>
      </c>
      <c r="Q76" s="495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85"/>
      <c r="AC76" s="485"/>
      <c r="AD76" s="486"/>
      <c r="AF76" s="50"/>
    </row>
    <row r="77" spans="1:32" ht="25.5" customHeight="1">
      <c r="A77" s="491">
        <v>9</v>
      </c>
      <c r="B77" s="492"/>
      <c r="C77" s="105"/>
      <c r="D77" s="168"/>
      <c r="E77" s="165"/>
      <c r="F77" s="493"/>
      <c r="G77" s="485"/>
      <c r="H77" s="485"/>
      <c r="I77" s="485"/>
      <c r="J77" s="485"/>
      <c r="K77" s="485"/>
      <c r="L77" s="485"/>
      <c r="M77" s="51"/>
      <c r="N77" s="494"/>
      <c r="O77" s="494"/>
      <c r="P77" s="495"/>
      <c r="Q77" s="495"/>
      <c r="R77" s="496"/>
      <c r="S77" s="496"/>
      <c r="T77" s="496"/>
      <c r="U77" s="496"/>
      <c r="V77" s="496"/>
      <c r="W77" s="496"/>
      <c r="X77" s="496"/>
      <c r="Y77" s="496"/>
      <c r="Z77" s="496"/>
      <c r="AA77" s="496"/>
      <c r="AB77" s="485"/>
      <c r="AC77" s="485"/>
      <c r="AD77" s="486"/>
      <c r="AF77" s="50"/>
    </row>
    <row r="78" spans="1:32" ht="25.5" customHeight="1">
      <c r="A78" s="491">
        <v>10</v>
      </c>
      <c r="B78" s="492"/>
      <c r="C78" s="105"/>
      <c r="D78" s="168"/>
      <c r="E78" s="165"/>
      <c r="F78" s="493"/>
      <c r="G78" s="485"/>
      <c r="H78" s="485"/>
      <c r="I78" s="485"/>
      <c r="J78" s="485"/>
      <c r="K78" s="485"/>
      <c r="L78" s="485"/>
      <c r="M78" s="51"/>
      <c r="N78" s="494"/>
      <c r="O78" s="494"/>
      <c r="P78" s="495"/>
      <c r="Q78" s="495"/>
      <c r="R78" s="496"/>
      <c r="S78" s="496"/>
      <c r="T78" s="496"/>
      <c r="U78" s="496"/>
      <c r="V78" s="496"/>
      <c r="W78" s="496"/>
      <c r="X78" s="496"/>
      <c r="Y78" s="496"/>
      <c r="Z78" s="496"/>
      <c r="AA78" s="496"/>
      <c r="AB78" s="485"/>
      <c r="AC78" s="485"/>
      <c r="AD78" s="486"/>
      <c r="AF78" s="50"/>
    </row>
    <row r="79" spans="1:32" ht="26.25" customHeight="1" thickBot="1">
      <c r="A79" s="465" t="s">
        <v>274</v>
      </c>
      <c r="B79" s="465"/>
      <c r="C79" s="465"/>
      <c r="D79" s="465"/>
      <c r="E79" s="465"/>
      <c r="F79" s="37"/>
      <c r="G79" s="37"/>
      <c r="H79" s="38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F79" s="50"/>
    </row>
    <row r="80" spans="1:32" ht="23.25" thickBot="1">
      <c r="A80" s="466" t="s">
        <v>111</v>
      </c>
      <c r="B80" s="467"/>
      <c r="C80" s="167" t="s">
        <v>2</v>
      </c>
      <c r="D80" s="167" t="s">
        <v>37</v>
      </c>
      <c r="E80" s="167" t="s">
        <v>273</v>
      </c>
      <c r="F80" s="467" t="s">
        <v>38</v>
      </c>
      <c r="G80" s="467"/>
      <c r="H80" s="467"/>
      <c r="I80" s="467"/>
      <c r="J80" s="467"/>
      <c r="K80" s="487" t="s">
        <v>58</v>
      </c>
      <c r="L80" s="488"/>
      <c r="M80" s="488"/>
      <c r="N80" s="488"/>
      <c r="O80" s="488"/>
      <c r="P80" s="488"/>
      <c r="Q80" s="488"/>
      <c r="R80" s="488"/>
      <c r="S80" s="489"/>
      <c r="T80" s="467" t="s">
        <v>49</v>
      </c>
      <c r="U80" s="467"/>
      <c r="V80" s="487" t="s">
        <v>50</v>
      </c>
      <c r="W80" s="489"/>
      <c r="X80" s="488" t="s">
        <v>51</v>
      </c>
      <c r="Y80" s="488"/>
      <c r="Z80" s="488"/>
      <c r="AA80" s="488"/>
      <c r="AB80" s="488"/>
      <c r="AC80" s="488"/>
      <c r="AD80" s="490"/>
      <c r="AF80" s="50"/>
    </row>
    <row r="81" spans="1:32" ht="33.75" customHeight="1">
      <c r="A81" s="459">
        <v>1</v>
      </c>
      <c r="B81" s="460"/>
      <c r="C81" s="169" t="s">
        <v>112</v>
      </c>
      <c r="D81" s="169"/>
      <c r="E81" s="65" t="s">
        <v>117</v>
      </c>
      <c r="F81" s="474" t="s">
        <v>116</v>
      </c>
      <c r="G81" s="475"/>
      <c r="H81" s="475"/>
      <c r="I81" s="475"/>
      <c r="J81" s="476"/>
      <c r="K81" s="477" t="s">
        <v>122</v>
      </c>
      <c r="L81" s="478"/>
      <c r="M81" s="478"/>
      <c r="N81" s="478"/>
      <c r="O81" s="478"/>
      <c r="P81" s="478"/>
      <c r="Q81" s="478"/>
      <c r="R81" s="478"/>
      <c r="S81" s="479"/>
      <c r="T81" s="480">
        <v>43675</v>
      </c>
      <c r="U81" s="481"/>
      <c r="V81" s="482"/>
      <c r="W81" s="482"/>
      <c r="X81" s="483"/>
      <c r="Y81" s="483"/>
      <c r="Z81" s="483"/>
      <c r="AA81" s="483"/>
      <c r="AB81" s="483"/>
      <c r="AC81" s="483"/>
      <c r="AD81" s="484"/>
      <c r="AF81" s="50"/>
    </row>
    <row r="82" spans="1:32" ht="30" customHeight="1">
      <c r="A82" s="452">
        <f>A81+1</f>
        <v>2</v>
      </c>
      <c r="B82" s="453"/>
      <c r="C82" s="168"/>
      <c r="D82" s="168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ref="A83:A87" si="46">A82+1</f>
        <v>3</v>
      </c>
      <c r="B83" s="453"/>
      <c r="C83" s="168"/>
      <c r="D83" s="168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0" customHeight="1">
      <c r="A84" s="452">
        <f t="shared" si="46"/>
        <v>4</v>
      </c>
      <c r="B84" s="453"/>
      <c r="C84" s="168"/>
      <c r="D84" s="168"/>
      <c r="E84" s="32"/>
      <c r="F84" s="453"/>
      <c r="G84" s="453"/>
      <c r="H84" s="453"/>
      <c r="I84" s="453"/>
      <c r="J84" s="453"/>
      <c r="K84" s="468"/>
      <c r="L84" s="469"/>
      <c r="M84" s="469"/>
      <c r="N84" s="469"/>
      <c r="O84" s="469"/>
      <c r="P84" s="469"/>
      <c r="Q84" s="469"/>
      <c r="R84" s="469"/>
      <c r="S84" s="470"/>
      <c r="T84" s="471"/>
      <c r="U84" s="471"/>
      <c r="V84" s="471"/>
      <c r="W84" s="471"/>
      <c r="X84" s="472"/>
      <c r="Y84" s="472"/>
      <c r="Z84" s="472"/>
      <c r="AA84" s="472"/>
      <c r="AB84" s="472"/>
      <c r="AC84" s="472"/>
      <c r="AD84" s="473"/>
      <c r="AF84" s="50"/>
    </row>
    <row r="85" spans="1:32" ht="30" customHeight="1">
      <c r="A85" s="452">
        <f t="shared" si="46"/>
        <v>5</v>
      </c>
      <c r="B85" s="453"/>
      <c r="C85" s="168"/>
      <c r="D85" s="168"/>
      <c r="E85" s="32"/>
      <c r="F85" s="453"/>
      <c r="G85" s="453"/>
      <c r="H85" s="453"/>
      <c r="I85" s="453"/>
      <c r="J85" s="453"/>
      <c r="K85" s="468"/>
      <c r="L85" s="469"/>
      <c r="M85" s="469"/>
      <c r="N85" s="469"/>
      <c r="O85" s="469"/>
      <c r="P85" s="469"/>
      <c r="Q85" s="469"/>
      <c r="R85" s="469"/>
      <c r="S85" s="470"/>
      <c r="T85" s="471"/>
      <c r="U85" s="471"/>
      <c r="V85" s="471"/>
      <c r="W85" s="471"/>
      <c r="X85" s="472"/>
      <c r="Y85" s="472"/>
      <c r="Z85" s="472"/>
      <c r="AA85" s="472"/>
      <c r="AB85" s="472"/>
      <c r="AC85" s="472"/>
      <c r="AD85" s="473"/>
      <c r="AF85" s="50"/>
    </row>
    <row r="86" spans="1:32" ht="30" customHeight="1">
      <c r="A86" s="452">
        <f t="shared" si="46"/>
        <v>6</v>
      </c>
      <c r="B86" s="453"/>
      <c r="C86" s="168"/>
      <c r="D86" s="168"/>
      <c r="E86" s="32"/>
      <c r="F86" s="453"/>
      <c r="G86" s="453"/>
      <c r="H86" s="453"/>
      <c r="I86" s="453"/>
      <c r="J86" s="453"/>
      <c r="K86" s="468"/>
      <c r="L86" s="469"/>
      <c r="M86" s="469"/>
      <c r="N86" s="469"/>
      <c r="O86" s="469"/>
      <c r="P86" s="469"/>
      <c r="Q86" s="469"/>
      <c r="R86" s="469"/>
      <c r="S86" s="470"/>
      <c r="T86" s="471"/>
      <c r="U86" s="471"/>
      <c r="V86" s="471"/>
      <c r="W86" s="471"/>
      <c r="X86" s="472"/>
      <c r="Y86" s="472"/>
      <c r="Z86" s="472"/>
      <c r="AA86" s="472"/>
      <c r="AB86" s="472"/>
      <c r="AC86" s="472"/>
      <c r="AD86" s="473"/>
      <c r="AF86" s="50"/>
    </row>
    <row r="87" spans="1:32" ht="30" customHeight="1">
      <c r="A87" s="452">
        <f t="shared" si="46"/>
        <v>7</v>
      </c>
      <c r="B87" s="453"/>
      <c r="C87" s="168"/>
      <c r="D87" s="168"/>
      <c r="E87" s="32"/>
      <c r="F87" s="453"/>
      <c r="G87" s="453"/>
      <c r="H87" s="453"/>
      <c r="I87" s="453"/>
      <c r="J87" s="453"/>
      <c r="K87" s="468"/>
      <c r="L87" s="469"/>
      <c r="M87" s="469"/>
      <c r="N87" s="469"/>
      <c r="O87" s="469"/>
      <c r="P87" s="469"/>
      <c r="Q87" s="469"/>
      <c r="R87" s="469"/>
      <c r="S87" s="470"/>
      <c r="T87" s="471"/>
      <c r="U87" s="471"/>
      <c r="V87" s="471"/>
      <c r="W87" s="471"/>
      <c r="X87" s="472"/>
      <c r="Y87" s="472"/>
      <c r="Z87" s="472"/>
      <c r="AA87" s="472"/>
      <c r="AB87" s="472"/>
      <c r="AC87" s="472"/>
      <c r="AD87" s="473"/>
      <c r="AF87" s="50"/>
    </row>
    <row r="88" spans="1:32" ht="36" thickBot="1">
      <c r="A88" s="465" t="s">
        <v>275</v>
      </c>
      <c r="B88" s="465"/>
      <c r="C88" s="465"/>
      <c r="D88" s="465"/>
      <c r="E88" s="465"/>
      <c r="F88" s="37"/>
      <c r="G88" s="37"/>
      <c r="H88" s="38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F88" s="50"/>
    </row>
    <row r="89" spans="1:32" ht="30.75" customHeight="1" thickBot="1">
      <c r="A89" s="466" t="s">
        <v>111</v>
      </c>
      <c r="B89" s="467"/>
      <c r="C89" s="457" t="s">
        <v>52</v>
      </c>
      <c r="D89" s="457"/>
      <c r="E89" s="457" t="s">
        <v>53</v>
      </c>
      <c r="F89" s="457"/>
      <c r="G89" s="457"/>
      <c r="H89" s="457"/>
      <c r="I89" s="457"/>
      <c r="J89" s="457"/>
      <c r="K89" s="457" t="s">
        <v>54</v>
      </c>
      <c r="L89" s="457"/>
      <c r="M89" s="457"/>
      <c r="N89" s="457"/>
      <c r="O89" s="457"/>
      <c r="P89" s="457"/>
      <c r="Q89" s="457"/>
      <c r="R89" s="457"/>
      <c r="S89" s="457"/>
      <c r="T89" s="457" t="s">
        <v>55</v>
      </c>
      <c r="U89" s="457"/>
      <c r="V89" s="457" t="s">
        <v>56</v>
      </c>
      <c r="W89" s="457"/>
      <c r="X89" s="457"/>
      <c r="Y89" s="457" t="s">
        <v>51</v>
      </c>
      <c r="Z89" s="457"/>
      <c r="AA89" s="457"/>
      <c r="AB89" s="457"/>
      <c r="AC89" s="457"/>
      <c r="AD89" s="458"/>
      <c r="AF89" s="50"/>
    </row>
    <row r="90" spans="1:32" ht="30.75" customHeight="1">
      <c r="A90" s="459">
        <v>1</v>
      </c>
      <c r="B90" s="460"/>
      <c r="C90" s="461"/>
      <c r="D90" s="461"/>
      <c r="E90" s="461"/>
      <c r="F90" s="461"/>
      <c r="G90" s="461"/>
      <c r="H90" s="461"/>
      <c r="I90" s="461"/>
      <c r="J90" s="461"/>
      <c r="K90" s="461"/>
      <c r="L90" s="461"/>
      <c r="M90" s="461"/>
      <c r="N90" s="461"/>
      <c r="O90" s="461"/>
      <c r="P90" s="461"/>
      <c r="Q90" s="461"/>
      <c r="R90" s="461"/>
      <c r="S90" s="461"/>
      <c r="T90" s="461"/>
      <c r="U90" s="461"/>
      <c r="V90" s="462"/>
      <c r="W90" s="462"/>
      <c r="X90" s="462"/>
      <c r="Y90" s="463"/>
      <c r="Z90" s="463"/>
      <c r="AA90" s="463"/>
      <c r="AB90" s="463"/>
      <c r="AC90" s="463"/>
      <c r="AD90" s="464"/>
      <c r="AF90" s="50"/>
    </row>
    <row r="91" spans="1:32" ht="30.75" customHeight="1">
      <c r="A91" s="452">
        <v>2</v>
      </c>
      <c r="B91" s="453"/>
      <c r="C91" s="454"/>
      <c r="D91" s="454"/>
      <c r="E91" s="454"/>
      <c r="F91" s="454"/>
      <c r="G91" s="454"/>
      <c r="H91" s="454"/>
      <c r="I91" s="454"/>
      <c r="J91" s="454"/>
      <c r="K91" s="454"/>
      <c r="L91" s="454"/>
      <c r="M91" s="454"/>
      <c r="N91" s="454"/>
      <c r="O91" s="454"/>
      <c r="P91" s="454"/>
      <c r="Q91" s="454"/>
      <c r="R91" s="454"/>
      <c r="S91" s="454"/>
      <c r="T91" s="455"/>
      <c r="U91" s="455"/>
      <c r="V91" s="456"/>
      <c r="W91" s="456"/>
      <c r="X91" s="456"/>
      <c r="Y91" s="445"/>
      <c r="Z91" s="445"/>
      <c r="AA91" s="445"/>
      <c r="AB91" s="445"/>
      <c r="AC91" s="445"/>
      <c r="AD91" s="446"/>
      <c r="AF91" s="50"/>
    </row>
    <row r="92" spans="1:32" ht="30.75" customHeight="1" thickBot="1">
      <c r="A92" s="447">
        <v>3</v>
      </c>
      <c r="B92" s="448"/>
      <c r="C92" s="449"/>
      <c r="D92" s="449"/>
      <c r="E92" s="449"/>
      <c r="F92" s="449"/>
      <c r="G92" s="449"/>
      <c r="H92" s="449"/>
      <c r="I92" s="449"/>
      <c r="J92" s="449"/>
      <c r="K92" s="449"/>
      <c r="L92" s="449"/>
      <c r="M92" s="449"/>
      <c r="N92" s="449"/>
      <c r="O92" s="449"/>
      <c r="P92" s="449"/>
      <c r="Q92" s="449"/>
      <c r="R92" s="449"/>
      <c r="S92" s="449"/>
      <c r="T92" s="449"/>
      <c r="U92" s="449"/>
      <c r="V92" s="449"/>
      <c r="W92" s="449"/>
      <c r="X92" s="449"/>
      <c r="Y92" s="450"/>
      <c r="Z92" s="450"/>
      <c r="AA92" s="450"/>
      <c r="AB92" s="450"/>
      <c r="AC92" s="450"/>
      <c r="AD92" s="451"/>
      <c r="AF92" s="50"/>
    </row>
  </sheetData>
  <mergeCells count="232">
    <mergeCell ref="Y91:AD91"/>
    <mergeCell ref="A92:B92"/>
    <mergeCell ref="C92:D92"/>
    <mergeCell ref="E92:J92"/>
    <mergeCell ref="K92:S92"/>
    <mergeCell ref="T92:U92"/>
    <mergeCell ref="V92:X92"/>
    <mergeCell ref="Y92:AD92"/>
    <mergeCell ref="A91:B91"/>
    <mergeCell ref="C91:D91"/>
    <mergeCell ref="E91:J91"/>
    <mergeCell ref="K91:S91"/>
    <mergeCell ref="T91:U91"/>
    <mergeCell ref="V91:X91"/>
    <mergeCell ref="V89:X89"/>
    <mergeCell ref="Y89:AD89"/>
    <mergeCell ref="A90:B90"/>
    <mergeCell ref="C90:D90"/>
    <mergeCell ref="E90:J90"/>
    <mergeCell ref="K90:S90"/>
    <mergeCell ref="T90:U90"/>
    <mergeCell ref="V90:X90"/>
    <mergeCell ref="Y90:AD90"/>
    <mergeCell ref="A88:E88"/>
    <mergeCell ref="A89:B89"/>
    <mergeCell ref="C89:D89"/>
    <mergeCell ref="E89:J89"/>
    <mergeCell ref="K89:S89"/>
    <mergeCell ref="T89:U89"/>
    <mergeCell ref="A87:B87"/>
    <mergeCell ref="F87:J87"/>
    <mergeCell ref="K87:S87"/>
    <mergeCell ref="T87:U87"/>
    <mergeCell ref="V87:W87"/>
    <mergeCell ref="X87:AD87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B78:AD78"/>
    <mergeCell ref="A79:E79"/>
    <mergeCell ref="A80:B80"/>
    <mergeCell ref="F80:J80"/>
    <mergeCell ref="K80:S80"/>
    <mergeCell ref="T80:U80"/>
    <mergeCell ref="V80:W80"/>
    <mergeCell ref="X80:AD80"/>
    <mergeCell ref="A78:B78"/>
    <mergeCell ref="F78:J78"/>
    <mergeCell ref="K78:L78"/>
    <mergeCell ref="N78:O78"/>
    <mergeCell ref="P78:Q78"/>
    <mergeCell ref="R78:AA78"/>
    <mergeCell ref="AB76:AD76"/>
    <mergeCell ref="A77:B77"/>
    <mergeCell ref="F77:J77"/>
    <mergeCell ref="K77:L77"/>
    <mergeCell ref="N77:O77"/>
    <mergeCell ref="P77:Q77"/>
    <mergeCell ref="R77:AA77"/>
    <mergeCell ref="AB77:AD77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R68:AA68"/>
    <mergeCell ref="AB68:AD68"/>
    <mergeCell ref="A69:B69"/>
    <mergeCell ref="F69:J69"/>
    <mergeCell ref="K69:L69"/>
    <mergeCell ref="N69:O69"/>
    <mergeCell ref="P69:Q69"/>
    <mergeCell ref="R69:AA69"/>
    <mergeCell ref="AB69:AD69"/>
    <mergeCell ref="A67:E67"/>
    <mergeCell ref="A68:B68"/>
    <mergeCell ref="F68:J68"/>
    <mergeCell ref="K68:L68"/>
    <mergeCell ref="N68:O68"/>
    <mergeCell ref="P68:Q68"/>
    <mergeCell ref="A65:B65"/>
    <mergeCell ref="F65:M65"/>
    <mergeCell ref="P65:Q65"/>
    <mergeCell ref="R65:U65"/>
    <mergeCell ref="V65:AD65"/>
    <mergeCell ref="A66:B66"/>
    <mergeCell ref="F66:M66"/>
    <mergeCell ref="P66:Q66"/>
    <mergeCell ref="R66:U66"/>
    <mergeCell ref="V66:AD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D4:AD5"/>
    <mergeCell ref="A27:H27"/>
    <mergeCell ref="A54:E54"/>
    <mergeCell ref="A55:M55"/>
    <mergeCell ref="N55:AD55"/>
    <mergeCell ref="A56:B56"/>
    <mergeCell ref="F56:M56"/>
    <mergeCell ref="P56:Q56"/>
    <mergeCell ref="R56:U56"/>
    <mergeCell ref="V56:AD56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2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2352-BFF8-4C18-B138-A1238929C1B9}">
  <sheetPr codeName="Sheet6"/>
  <dimension ref="A1:AF87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276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181" t="s">
        <v>17</v>
      </c>
      <c r="L5" s="181" t="s">
        <v>18</v>
      </c>
      <c r="M5" s="181" t="s">
        <v>19</v>
      </c>
      <c r="N5" s="1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6003</v>
      </c>
      <c r="K6" s="15">
        <f>L6+5516</f>
        <v>11519</v>
      </c>
      <c r="L6" s="15">
        <f>2872+3131</f>
        <v>6003</v>
      </c>
      <c r="M6" s="15">
        <f t="shared" ref="M6:M21" si="0">L6-N6</f>
        <v>6003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0.52864583333333337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0.52864583333333337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9142</v>
      </c>
      <c r="K8" s="15">
        <f>L8+8404+12360</f>
        <v>29906</v>
      </c>
      <c r="L8" s="15">
        <f>3058*2+1513*2</f>
        <v>9142</v>
      </c>
      <c r="M8" s="15">
        <f t="shared" si="0"/>
        <v>9142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0.52864583333333337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9726</v>
      </c>
      <c r="K9" s="15">
        <f>L9+3600+2490+6946</f>
        <v>22762</v>
      </c>
      <c r="L9" s="15">
        <f>2277*2+2586*2</f>
        <v>9726</v>
      </c>
      <c r="M9" s="15">
        <f t="shared" si="0"/>
        <v>9726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0.52864583333333337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13030</v>
      </c>
      <c r="K10" s="15">
        <f>L10+5588+11272+12940</f>
        <v>42830</v>
      </c>
      <c r="L10" s="15">
        <f>3132*2+3383*2</f>
        <v>13030</v>
      </c>
      <c r="M10" s="15">
        <f t="shared" si="0"/>
        <v>13030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0.52864583333333337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150</v>
      </c>
      <c r="E11" s="53" t="s">
        <v>248</v>
      </c>
      <c r="F11" s="30" t="s">
        <v>129</v>
      </c>
      <c r="G11" s="33">
        <v>1</v>
      </c>
      <c r="H11" s="35">
        <v>24</v>
      </c>
      <c r="I11" s="7">
        <v>20000</v>
      </c>
      <c r="J11" s="14">
        <v>5717</v>
      </c>
      <c r="K11" s="15">
        <f>L11+3288</f>
        <v>9005</v>
      </c>
      <c r="L11" s="15">
        <f>2741+2976</f>
        <v>5717</v>
      </c>
      <c r="M11" s="15">
        <f t="shared" si="0"/>
        <v>5717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0.52864583333333337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6184</v>
      </c>
      <c r="K12" s="15">
        <f>L12+4200+2432+5144</f>
        <v>17960</v>
      </c>
      <c r="L12" s="15">
        <f>2634*2+458*2</f>
        <v>6184</v>
      </c>
      <c r="M12" s="15">
        <f t="shared" si="0"/>
        <v>6184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0.66666666666666663</v>
      </c>
      <c r="AD12" s="10">
        <f t="shared" si="9"/>
        <v>0.66666666666666663</v>
      </c>
      <c r="AE12" s="36">
        <f t="shared" si="7"/>
        <v>0.52864583333333337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5694</v>
      </c>
      <c r="K13" s="15">
        <f>L13+10230+8758+7458+4298</f>
        <v>36438</v>
      </c>
      <c r="L13" s="15">
        <f>1241*2+1606*2</f>
        <v>5694</v>
      </c>
      <c r="M13" s="15">
        <f t="shared" si="0"/>
        <v>5694</v>
      </c>
      <c r="N13" s="15">
        <v>0</v>
      </c>
      <c r="O13" s="58">
        <f t="shared" si="1"/>
        <v>0</v>
      </c>
      <c r="P13" s="39">
        <f t="shared" si="2"/>
        <v>16</v>
      </c>
      <c r="Q13" s="40">
        <f t="shared" si="3"/>
        <v>8</v>
      </c>
      <c r="R13" s="7"/>
      <c r="S13" s="6">
        <v>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0.66666666666666663</v>
      </c>
      <c r="AD13" s="10">
        <f>AC13*AB13*(1-O13)</f>
        <v>0.66666666666666663</v>
      </c>
      <c r="AE13" s="36">
        <f t="shared" si="7"/>
        <v>0.52864583333333337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</f>
        <v>571</v>
      </c>
      <c r="L14" s="15">
        <v>329</v>
      </c>
      <c r="M14" s="15">
        <f t="shared" si="0"/>
        <v>329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7"/>
        <v>0.52864583333333337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2422</v>
      </c>
      <c r="K15" s="15">
        <f>L15+2422</f>
        <v>2422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0.52864583333333337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0.52864583333333337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130</v>
      </c>
      <c r="E17" s="53" t="s">
        <v>277</v>
      </c>
      <c r="F17" s="30" t="s">
        <v>252</v>
      </c>
      <c r="G17" s="12">
        <v>1</v>
      </c>
      <c r="H17" s="13">
        <v>24</v>
      </c>
      <c r="I17" s="7">
        <v>600</v>
      </c>
      <c r="J17" s="14">
        <v>700</v>
      </c>
      <c r="K17" s="15">
        <f>L17</f>
        <v>700</v>
      </c>
      <c r="L17" s="15">
        <v>700</v>
      </c>
      <c r="M17" s="15">
        <f t="shared" si="0"/>
        <v>700</v>
      </c>
      <c r="N17" s="15">
        <v>0</v>
      </c>
      <c r="O17" s="58">
        <f t="shared" si="1"/>
        <v>0</v>
      </c>
      <c r="P17" s="39">
        <f t="shared" si="2"/>
        <v>5</v>
      </c>
      <c r="Q17" s="40">
        <f t="shared" si="3"/>
        <v>19</v>
      </c>
      <c r="R17" s="7"/>
      <c r="S17" s="6"/>
      <c r="T17" s="16"/>
      <c r="U17" s="16"/>
      <c r="V17" s="17"/>
      <c r="W17" s="5">
        <v>19</v>
      </c>
      <c r="X17" s="16"/>
      <c r="Y17" s="16"/>
      <c r="Z17" s="16"/>
      <c r="AA17" s="18"/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6">
        <f t="shared" si="7"/>
        <v>0.52864583333333337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278</v>
      </c>
      <c r="F18" s="30" t="s">
        <v>124</v>
      </c>
      <c r="G18" s="33">
        <v>2</v>
      </c>
      <c r="H18" s="35">
        <v>24</v>
      </c>
      <c r="I18" s="7">
        <v>600</v>
      </c>
      <c r="J18" s="14">
        <v>700</v>
      </c>
      <c r="K18" s="15">
        <f>L18+700</f>
        <v>700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0.52864583333333337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121</v>
      </c>
      <c r="D19" s="52" t="s">
        <v>115</v>
      </c>
      <c r="E19" s="53" t="s">
        <v>269</v>
      </c>
      <c r="F19" s="30" t="s">
        <v>119</v>
      </c>
      <c r="G19" s="33">
        <v>1</v>
      </c>
      <c r="H19" s="35">
        <v>24</v>
      </c>
      <c r="I19" s="7">
        <v>1000</v>
      </c>
      <c r="J19" s="14">
        <v>1611</v>
      </c>
      <c r="K19" s="15">
        <f>L19</f>
        <v>1611</v>
      </c>
      <c r="L19" s="15">
        <f>1385+226</f>
        <v>1611</v>
      </c>
      <c r="M19" s="15">
        <f t="shared" si="0"/>
        <v>1611</v>
      </c>
      <c r="N19" s="15">
        <v>0</v>
      </c>
      <c r="O19" s="58">
        <f t="shared" si="1"/>
        <v>0</v>
      </c>
      <c r="P19" s="39">
        <f t="shared" si="2"/>
        <v>9</v>
      </c>
      <c r="Q19" s="40">
        <f t="shared" si="3"/>
        <v>15</v>
      </c>
      <c r="R19" s="7"/>
      <c r="S19" s="6"/>
      <c r="T19" s="16"/>
      <c r="U19" s="16"/>
      <c r="V19" s="17"/>
      <c r="W19" s="5">
        <v>15</v>
      </c>
      <c r="X19" s="16"/>
      <c r="Y19" s="16"/>
      <c r="Z19" s="16"/>
      <c r="AA19" s="18"/>
      <c r="AB19" s="8">
        <f t="shared" si="4"/>
        <v>1</v>
      </c>
      <c r="AC19" s="9">
        <f t="shared" si="5"/>
        <v>0.375</v>
      </c>
      <c r="AD19" s="10">
        <f t="shared" si="6"/>
        <v>0.375</v>
      </c>
      <c r="AE19" s="36">
        <f t="shared" si="7"/>
        <v>0.52864583333333337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6400</v>
      </c>
      <c r="K20" s="15">
        <f>L20+6852+6648+9128</f>
        <v>29028</v>
      </c>
      <c r="L20" s="15">
        <f>809*2+2391*2</f>
        <v>6400</v>
      </c>
      <c r="M20" s="15">
        <f t="shared" si="0"/>
        <v>6400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ref="AD20" si="10">AC20*AB20*(1-O20)</f>
        <v>0.75</v>
      </c>
      <c r="AE20" s="36">
        <f t="shared" si="7"/>
        <v>0.52864583333333337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230</v>
      </c>
      <c r="F21" s="12" t="s">
        <v>114</v>
      </c>
      <c r="G21" s="12">
        <v>4</v>
      </c>
      <c r="H21" s="35">
        <v>20</v>
      </c>
      <c r="I21" s="7">
        <v>100000</v>
      </c>
      <c r="J21" s="14">
        <v>34764</v>
      </c>
      <c r="K21" s="15">
        <f>L21+58936</f>
        <v>93700</v>
      </c>
      <c r="L21" s="15">
        <f>8125*4+566*4</f>
        <v>34764</v>
      </c>
      <c r="M21" s="15">
        <f t="shared" si="0"/>
        <v>34764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/>
      <c r="T21" s="16"/>
      <c r="U21" s="16"/>
      <c r="V21" s="17"/>
      <c r="W21" s="5">
        <v>8</v>
      </c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6"/>
        <v>0.66666666666666663</v>
      </c>
      <c r="AE21" s="36">
        <f t="shared" si="7"/>
        <v>0.52864583333333337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1">SUM(I6:I21)</f>
        <v>2344000</v>
      </c>
      <c r="J22" s="19">
        <f t="shared" si="11"/>
        <v>108217</v>
      </c>
      <c r="K22" s="20">
        <f t="shared" si="11"/>
        <v>317126</v>
      </c>
      <c r="L22" s="21">
        <f t="shared" si="11"/>
        <v>99300</v>
      </c>
      <c r="M22" s="20">
        <f t="shared" si="11"/>
        <v>99300</v>
      </c>
      <c r="N22" s="21">
        <f t="shared" si="11"/>
        <v>0</v>
      </c>
      <c r="O22" s="41">
        <f t="shared" si="1"/>
        <v>0</v>
      </c>
      <c r="P22" s="42">
        <f t="shared" ref="P22:AA22" si="12">SUM(P6:P21)</f>
        <v>203</v>
      </c>
      <c r="Q22" s="43">
        <f t="shared" si="12"/>
        <v>181</v>
      </c>
      <c r="R22" s="23">
        <f t="shared" si="12"/>
        <v>24</v>
      </c>
      <c r="S22" s="24">
        <f t="shared" si="12"/>
        <v>25</v>
      </c>
      <c r="T22" s="24">
        <f t="shared" si="12"/>
        <v>0</v>
      </c>
      <c r="U22" s="24">
        <f t="shared" si="12"/>
        <v>0</v>
      </c>
      <c r="V22" s="25">
        <f t="shared" si="12"/>
        <v>24</v>
      </c>
      <c r="W22" s="26">
        <f t="shared" si="12"/>
        <v>60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48</v>
      </c>
      <c r="AB22" s="28">
        <f>AVERAGE(AB6:AB21)</f>
        <v>0.75</v>
      </c>
      <c r="AC22" s="4">
        <f>AVERAGE(AC6:AC21)</f>
        <v>0.52864583333333337</v>
      </c>
      <c r="AD22" s="4">
        <f>AVERAGE(AD6:AD21)</f>
        <v>0.52864583333333337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279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281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180" t="s">
        <v>46</v>
      </c>
      <c r="D51" s="180" t="s">
        <v>47</v>
      </c>
      <c r="E51" s="180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180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177" t="s">
        <v>144</v>
      </c>
      <c r="D52" s="177" t="s">
        <v>115</v>
      </c>
      <c r="E52" s="177" t="s">
        <v>160</v>
      </c>
      <c r="F52" s="512" t="s">
        <v>261</v>
      </c>
      <c r="G52" s="513"/>
      <c r="H52" s="513"/>
      <c r="I52" s="513"/>
      <c r="J52" s="513"/>
      <c r="K52" s="513"/>
      <c r="L52" s="513"/>
      <c r="M52" s="514"/>
      <c r="N52" s="176" t="s">
        <v>121</v>
      </c>
      <c r="O52" s="174" t="s">
        <v>144</v>
      </c>
      <c r="P52" s="524" t="s">
        <v>115</v>
      </c>
      <c r="Q52" s="525"/>
      <c r="R52" s="524" t="s">
        <v>160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121</v>
      </c>
      <c r="B53" s="511"/>
      <c r="C53" s="177" t="s">
        <v>203</v>
      </c>
      <c r="D53" s="177" t="s">
        <v>115</v>
      </c>
      <c r="E53" s="177" t="s">
        <v>200</v>
      </c>
      <c r="F53" s="512" t="s">
        <v>280</v>
      </c>
      <c r="G53" s="513"/>
      <c r="H53" s="513"/>
      <c r="I53" s="513"/>
      <c r="J53" s="513"/>
      <c r="K53" s="513"/>
      <c r="L53" s="513"/>
      <c r="M53" s="514"/>
      <c r="N53" s="176" t="s">
        <v>121</v>
      </c>
      <c r="O53" s="174" t="s">
        <v>197</v>
      </c>
      <c r="P53" s="524" t="s">
        <v>142</v>
      </c>
      <c r="Q53" s="525"/>
      <c r="R53" s="524" t="s">
        <v>282</v>
      </c>
      <c r="S53" s="526"/>
      <c r="T53" s="526"/>
      <c r="U53" s="525"/>
      <c r="V53" s="496" t="s">
        <v>118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112</v>
      </c>
      <c r="B54" s="511"/>
      <c r="C54" s="177" t="s">
        <v>210</v>
      </c>
      <c r="D54" s="177" t="s">
        <v>115</v>
      </c>
      <c r="E54" s="177" t="s">
        <v>236</v>
      </c>
      <c r="F54" s="512" t="s">
        <v>180</v>
      </c>
      <c r="G54" s="513"/>
      <c r="H54" s="513"/>
      <c r="I54" s="513"/>
      <c r="J54" s="513"/>
      <c r="K54" s="513"/>
      <c r="L54" s="513"/>
      <c r="M54" s="514"/>
      <c r="N54" s="176" t="s">
        <v>112</v>
      </c>
      <c r="O54" s="174" t="s">
        <v>284</v>
      </c>
      <c r="P54" s="524" t="s">
        <v>115</v>
      </c>
      <c r="Q54" s="525"/>
      <c r="R54" s="524" t="s">
        <v>152</v>
      </c>
      <c r="S54" s="526"/>
      <c r="T54" s="526"/>
      <c r="U54" s="525"/>
      <c r="V54" s="496" t="s">
        <v>283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121</v>
      </c>
      <c r="B55" s="511"/>
      <c r="C55" s="177" t="s">
        <v>201</v>
      </c>
      <c r="D55" s="177" t="s">
        <v>115</v>
      </c>
      <c r="E55" s="177" t="s">
        <v>269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176" t="s">
        <v>112</v>
      </c>
      <c r="O55" s="174" t="s">
        <v>201</v>
      </c>
      <c r="P55" s="524" t="s">
        <v>115</v>
      </c>
      <c r="Q55" s="525"/>
      <c r="R55" s="524" t="s">
        <v>226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120</v>
      </c>
      <c r="B56" s="511"/>
      <c r="C56" s="177" t="s">
        <v>148</v>
      </c>
      <c r="D56" s="177" t="s">
        <v>130</v>
      </c>
      <c r="E56" s="177" t="s">
        <v>277</v>
      </c>
      <c r="F56" s="512" t="s">
        <v>118</v>
      </c>
      <c r="G56" s="513"/>
      <c r="H56" s="513"/>
      <c r="I56" s="513"/>
      <c r="J56" s="513"/>
      <c r="K56" s="513"/>
      <c r="L56" s="513"/>
      <c r="M56" s="514"/>
      <c r="N56" s="176"/>
      <c r="O56" s="174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112</v>
      </c>
      <c r="B57" s="511"/>
      <c r="C57" s="177" t="s">
        <v>267</v>
      </c>
      <c r="D57" s="177" t="s">
        <v>133</v>
      </c>
      <c r="E57" s="177" t="s">
        <v>151</v>
      </c>
      <c r="F57" s="512" t="s">
        <v>180</v>
      </c>
      <c r="G57" s="513"/>
      <c r="H57" s="513"/>
      <c r="I57" s="513"/>
      <c r="J57" s="513"/>
      <c r="K57" s="513"/>
      <c r="L57" s="513"/>
      <c r="M57" s="514"/>
      <c r="N57" s="176"/>
      <c r="O57" s="174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194"/>
      <c r="D58" s="194"/>
      <c r="E58" s="194"/>
      <c r="F58" s="569"/>
      <c r="G58" s="570"/>
      <c r="H58" s="570"/>
      <c r="I58" s="570"/>
      <c r="J58" s="570"/>
      <c r="K58" s="570"/>
      <c r="L58" s="570"/>
      <c r="M58" s="571"/>
      <c r="N58" s="176"/>
      <c r="O58" s="174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177"/>
      <c r="D59" s="177"/>
      <c r="E59" s="177"/>
      <c r="F59" s="512"/>
      <c r="G59" s="513"/>
      <c r="H59" s="513"/>
      <c r="I59" s="513"/>
      <c r="J59" s="513"/>
      <c r="K59" s="513"/>
      <c r="L59" s="513"/>
      <c r="M59" s="514"/>
      <c r="N59" s="176"/>
      <c r="O59" s="174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177"/>
      <c r="D60" s="177"/>
      <c r="E60" s="177"/>
      <c r="F60" s="512"/>
      <c r="G60" s="513"/>
      <c r="H60" s="513"/>
      <c r="I60" s="513"/>
      <c r="J60" s="513"/>
      <c r="K60" s="513"/>
      <c r="L60" s="513"/>
      <c r="M60" s="514"/>
      <c r="N60" s="176"/>
      <c r="O60" s="174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178"/>
      <c r="D61" s="179"/>
      <c r="E61" s="179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285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175" t="s">
        <v>2</v>
      </c>
      <c r="D63" s="175" t="s">
        <v>37</v>
      </c>
      <c r="E63" s="175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175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121</v>
      </c>
      <c r="D64" s="170"/>
      <c r="E64" s="173" t="s">
        <v>186</v>
      </c>
      <c r="F64" s="497" t="s">
        <v>286</v>
      </c>
      <c r="G64" s="498"/>
      <c r="H64" s="498"/>
      <c r="I64" s="498"/>
      <c r="J64" s="499"/>
      <c r="K64" s="485" t="s">
        <v>187</v>
      </c>
      <c r="L64" s="485"/>
      <c r="M64" s="51" t="s">
        <v>188</v>
      </c>
      <c r="N64" s="494" t="s">
        <v>189</v>
      </c>
      <c r="O64" s="494"/>
      <c r="P64" s="495">
        <v>100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112</v>
      </c>
      <c r="D65" s="170"/>
      <c r="E65" s="173" t="s">
        <v>115</v>
      </c>
      <c r="F65" s="497" t="s">
        <v>205</v>
      </c>
      <c r="G65" s="498"/>
      <c r="H65" s="498"/>
      <c r="I65" s="498"/>
      <c r="J65" s="499"/>
      <c r="K65" s="485">
        <v>7301</v>
      </c>
      <c r="L65" s="485"/>
      <c r="M65" s="51" t="s">
        <v>188</v>
      </c>
      <c r="N65" s="494" t="s">
        <v>210</v>
      </c>
      <c r="O65" s="494"/>
      <c r="P65" s="495">
        <v>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112</v>
      </c>
      <c r="D66" s="170"/>
      <c r="E66" s="173" t="s">
        <v>130</v>
      </c>
      <c r="F66" s="497" t="s">
        <v>277</v>
      </c>
      <c r="G66" s="498"/>
      <c r="H66" s="498"/>
      <c r="I66" s="498"/>
      <c r="J66" s="499"/>
      <c r="K66" s="485">
        <v>8301</v>
      </c>
      <c r="L66" s="485"/>
      <c r="M66" s="51" t="s">
        <v>272</v>
      </c>
      <c r="N66" s="494" t="s">
        <v>148</v>
      </c>
      <c r="O66" s="494"/>
      <c r="P66" s="495">
        <v>50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 t="s">
        <v>121</v>
      </c>
      <c r="D67" s="170"/>
      <c r="E67" s="173" t="s">
        <v>115</v>
      </c>
      <c r="F67" s="497" t="s">
        <v>278</v>
      </c>
      <c r="G67" s="498"/>
      <c r="H67" s="498"/>
      <c r="I67" s="498"/>
      <c r="J67" s="499"/>
      <c r="K67" s="485" t="s">
        <v>124</v>
      </c>
      <c r="L67" s="485"/>
      <c r="M67" s="51" t="s">
        <v>196</v>
      </c>
      <c r="N67" s="494" t="s">
        <v>197</v>
      </c>
      <c r="O67" s="494"/>
      <c r="P67" s="495"/>
      <c r="Q67" s="495"/>
      <c r="R67" s="496" t="s">
        <v>287</v>
      </c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 t="s">
        <v>121</v>
      </c>
      <c r="D68" s="170"/>
      <c r="E68" s="173"/>
      <c r="F68" s="497" t="s">
        <v>288</v>
      </c>
      <c r="G68" s="498"/>
      <c r="H68" s="498"/>
      <c r="I68" s="498"/>
      <c r="J68" s="499"/>
      <c r="K68" s="485" t="s">
        <v>124</v>
      </c>
      <c r="L68" s="485"/>
      <c r="M68" s="51" t="s">
        <v>196</v>
      </c>
      <c r="N68" s="494" t="s">
        <v>197</v>
      </c>
      <c r="O68" s="494"/>
      <c r="P68" s="495" t="s">
        <v>289</v>
      </c>
      <c r="Q68" s="495"/>
      <c r="R68" s="496" t="s">
        <v>290</v>
      </c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 t="s">
        <v>121</v>
      </c>
      <c r="D69" s="170"/>
      <c r="E69" s="173"/>
      <c r="F69" s="497" t="s">
        <v>291</v>
      </c>
      <c r="G69" s="498"/>
      <c r="H69" s="498"/>
      <c r="I69" s="498"/>
      <c r="J69" s="499"/>
      <c r="K69" s="485" t="s">
        <v>124</v>
      </c>
      <c r="L69" s="485"/>
      <c r="M69" s="51" t="s">
        <v>196</v>
      </c>
      <c r="N69" s="494" t="s">
        <v>197</v>
      </c>
      <c r="O69" s="494"/>
      <c r="P69" s="495">
        <v>50</v>
      </c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 t="s">
        <v>121</v>
      </c>
      <c r="D70" s="170"/>
      <c r="E70" s="173"/>
      <c r="F70" s="493" t="s">
        <v>292</v>
      </c>
      <c r="G70" s="485"/>
      <c r="H70" s="485"/>
      <c r="I70" s="485"/>
      <c r="J70" s="485"/>
      <c r="K70" s="485" t="s">
        <v>124</v>
      </c>
      <c r="L70" s="485"/>
      <c r="M70" s="51" t="s">
        <v>196</v>
      </c>
      <c r="N70" s="494" t="s">
        <v>201</v>
      </c>
      <c r="O70" s="494"/>
      <c r="P70" s="495" t="s">
        <v>289</v>
      </c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170"/>
      <c r="E71" s="173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170"/>
      <c r="E72" s="173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170"/>
      <c r="E73" s="173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293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172" t="s">
        <v>2</v>
      </c>
      <c r="D75" s="172" t="s">
        <v>37</v>
      </c>
      <c r="E75" s="172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171" t="s">
        <v>112</v>
      </c>
      <c r="D76" s="171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170"/>
      <c r="D77" s="170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3">A77+1</f>
        <v>3</v>
      </c>
      <c r="B78" s="453"/>
      <c r="C78" s="170"/>
      <c r="D78" s="170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3"/>
        <v>4</v>
      </c>
      <c r="B79" s="453"/>
      <c r="C79" s="170"/>
      <c r="D79" s="170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3"/>
        <v>5</v>
      </c>
      <c r="B80" s="453"/>
      <c r="C80" s="170"/>
      <c r="D80" s="170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3"/>
        <v>6</v>
      </c>
      <c r="B81" s="453"/>
      <c r="C81" s="170"/>
      <c r="D81" s="170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3"/>
        <v>7</v>
      </c>
      <c r="B82" s="453"/>
      <c r="C82" s="170"/>
      <c r="D82" s="170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294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51D8-F360-4FE1-B6C9-C053BD3003F0}">
  <sheetPr codeName="Sheet7"/>
  <dimension ref="A1:AF88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299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182" t="s">
        <v>17</v>
      </c>
      <c r="L5" s="182" t="s">
        <v>18</v>
      </c>
      <c r="M5" s="182" t="s">
        <v>19</v>
      </c>
      <c r="N5" s="18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6004</v>
      </c>
      <c r="K6" s="15">
        <f>L6+5516+6003</f>
        <v>17523</v>
      </c>
      <c r="L6" s="15">
        <f>3079+2925</f>
        <v>6004</v>
      </c>
      <c r="M6" s="15">
        <f t="shared" ref="M6:M22" si="0">L6-N6</f>
        <v>6004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24</v>
      </c>
      <c r="Q6" s="40">
        <f t="shared" ref="Q6:Q22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6">
        <f t="shared" ref="AE6:AE22" si="7">$AD$23</f>
        <v>0.5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12426</v>
      </c>
      <c r="K8" s="15">
        <f>L8+8404+12360+9142</f>
        <v>42332</v>
      </c>
      <c r="L8" s="15">
        <f>3188*2+3025*2</f>
        <v>12426</v>
      </c>
      <c r="M8" s="15">
        <f t="shared" si="0"/>
        <v>12426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6834</v>
      </c>
      <c r="K9" s="15">
        <f>L9+3600+2490+6946+9726</f>
        <v>29596</v>
      </c>
      <c r="L9" s="15">
        <f>2554*2+863*2</f>
        <v>6834</v>
      </c>
      <c r="M9" s="15">
        <f t="shared" si="0"/>
        <v>6834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13250</v>
      </c>
      <c r="K10" s="15">
        <f>L10+5588+11272+12940+13030</f>
        <v>56080</v>
      </c>
      <c r="L10" s="15">
        <f>3433*2+3192*2</f>
        <v>13250</v>
      </c>
      <c r="M10" s="15">
        <f t="shared" si="0"/>
        <v>13250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150</v>
      </c>
      <c r="E11" s="53" t="s">
        <v>248</v>
      </c>
      <c r="F11" s="30" t="s">
        <v>129</v>
      </c>
      <c r="G11" s="33">
        <v>1</v>
      </c>
      <c r="H11" s="35">
        <v>24</v>
      </c>
      <c r="I11" s="7">
        <v>20000</v>
      </c>
      <c r="J11" s="14">
        <v>5730</v>
      </c>
      <c r="K11" s="15">
        <f>L11+3288+5717</f>
        <v>14735</v>
      </c>
      <c r="L11" s="15">
        <f>2937+2793</f>
        <v>5730</v>
      </c>
      <c r="M11" s="15">
        <f t="shared" si="0"/>
        <v>5730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11076</v>
      </c>
      <c r="K12" s="15">
        <f>L12+4200+2432+5144+6184</f>
        <v>29036</v>
      </c>
      <c r="L12" s="15">
        <f>2841*2+2697*2</f>
        <v>11076</v>
      </c>
      <c r="M12" s="15">
        <f t="shared" si="0"/>
        <v>11076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7524</v>
      </c>
      <c r="K13" s="15">
        <f>L13+10230+8758+7458+4298+5694</f>
        <v>43962</v>
      </c>
      <c r="L13" s="15">
        <f>1678*2+2084*2</f>
        <v>7524</v>
      </c>
      <c r="M13" s="15">
        <f t="shared" si="0"/>
        <v>7524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>AC13*AB13*(1-O13)</f>
        <v>0.79166666666666663</v>
      </c>
      <c r="AE13" s="36">
        <f t="shared" si="7"/>
        <v>0.5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2422</v>
      </c>
      <c r="K15" s="15">
        <f>L15+2422</f>
        <v>2422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130</v>
      </c>
      <c r="E17" s="53" t="s">
        <v>277</v>
      </c>
      <c r="F17" s="30" t="s">
        <v>252</v>
      </c>
      <c r="G17" s="12">
        <v>1</v>
      </c>
      <c r="H17" s="13">
        <v>24</v>
      </c>
      <c r="I17" s="7">
        <v>600</v>
      </c>
      <c r="J17" s="14">
        <v>700</v>
      </c>
      <c r="K17" s="15">
        <f>L17+700</f>
        <v>700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142</v>
      </c>
      <c r="E18" s="53" t="s">
        <v>282</v>
      </c>
      <c r="F18" s="30" t="s">
        <v>119</v>
      </c>
      <c r="G18" s="33">
        <v>1</v>
      </c>
      <c r="H18" s="35">
        <v>24</v>
      </c>
      <c r="I18" s="7">
        <v>1000</v>
      </c>
      <c r="J18" s="14">
        <v>1115</v>
      </c>
      <c r="K18" s="15">
        <f>L18</f>
        <v>1115</v>
      </c>
      <c r="L18" s="15">
        <f>1115</f>
        <v>1115</v>
      </c>
      <c r="M18" s="15">
        <f t="shared" si="0"/>
        <v>1115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0.5</v>
      </c>
      <c r="AF18" s="84">
        <f t="shared" si="8"/>
        <v>13</v>
      </c>
    </row>
    <row r="19" spans="1:32" ht="27" customHeight="1">
      <c r="A19" s="96">
        <v>13</v>
      </c>
      <c r="B19" s="11" t="s">
        <v>57</v>
      </c>
      <c r="C19" s="11" t="s">
        <v>123</v>
      </c>
      <c r="D19" s="52" t="s">
        <v>115</v>
      </c>
      <c r="E19" s="53" t="s">
        <v>300</v>
      </c>
      <c r="F19" s="30" t="s">
        <v>301</v>
      </c>
      <c r="G19" s="33">
        <v>1</v>
      </c>
      <c r="H19" s="35">
        <v>24</v>
      </c>
      <c r="I19" s="7">
        <v>1000</v>
      </c>
      <c r="J19" s="14">
        <v>3028</v>
      </c>
      <c r="K19" s="15">
        <f>L19</f>
        <v>3028</v>
      </c>
      <c r="L19" s="15">
        <f>598+2430</f>
        <v>3028</v>
      </c>
      <c r="M19" s="15">
        <f t="shared" ref="M19" si="10">L19-N19</f>
        <v>3028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16</v>
      </c>
      <c r="Q19" s="40">
        <f t="shared" ref="Q19" si="13">SUM(R19:AA19)</f>
        <v>8</v>
      </c>
      <c r="R19" s="7"/>
      <c r="S19" s="6"/>
      <c r="T19" s="16">
        <v>8</v>
      </c>
      <c r="U19" s="16"/>
      <c r="V19" s="17"/>
      <c r="W19" s="5"/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0.66666666666666663</v>
      </c>
      <c r="AD19" s="10">
        <f t="shared" ref="AD19" si="16">AC19*AB19*(1-O19)</f>
        <v>0.66666666666666663</v>
      </c>
      <c r="AE19" s="36">
        <f t="shared" si="7"/>
        <v>0.5</v>
      </c>
      <c r="AF19" s="84">
        <f t="shared" ref="AF19" si="17">A19</f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226</v>
      </c>
      <c r="F20" s="30" t="s">
        <v>129</v>
      </c>
      <c r="G20" s="33">
        <v>1</v>
      </c>
      <c r="H20" s="35">
        <v>24</v>
      </c>
      <c r="I20" s="7">
        <v>100</v>
      </c>
      <c r="J20" s="14">
        <v>1611</v>
      </c>
      <c r="K20" s="15">
        <f>L20</f>
        <v>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0.5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200</v>
      </c>
      <c r="F21" s="30" t="s">
        <v>124</v>
      </c>
      <c r="G21" s="12">
        <v>2</v>
      </c>
      <c r="H21" s="13">
        <v>28</v>
      </c>
      <c r="I21" s="31">
        <v>400000</v>
      </c>
      <c r="J21" s="5">
        <v>11510</v>
      </c>
      <c r="K21" s="15">
        <f>L21+6852+6648+9128+6400</f>
        <v>40538</v>
      </c>
      <c r="L21" s="15">
        <f>2587*2+3168*2</f>
        <v>11510</v>
      </c>
      <c r="M21" s="15">
        <f t="shared" si="0"/>
        <v>11510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230</v>
      </c>
      <c r="F22" s="12" t="s">
        <v>114</v>
      </c>
      <c r="G22" s="12">
        <v>4</v>
      </c>
      <c r="H22" s="35">
        <v>20</v>
      </c>
      <c r="I22" s="7">
        <v>100000</v>
      </c>
      <c r="J22" s="14">
        <v>34764</v>
      </c>
      <c r="K22" s="15">
        <f>L22+58936+34764</f>
        <v>93700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/>
      <c r="W22" s="5">
        <v>24</v>
      </c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</v>
      </c>
      <c r="AF22" s="84">
        <f t="shared" si="8"/>
        <v>16</v>
      </c>
    </row>
    <row r="23" spans="1:32" ht="31.5" customHeight="1" thickBot="1">
      <c r="A23" s="529" t="s">
        <v>34</v>
      </c>
      <c r="B23" s="530"/>
      <c r="C23" s="530"/>
      <c r="D23" s="530"/>
      <c r="E23" s="530"/>
      <c r="F23" s="530"/>
      <c r="G23" s="530"/>
      <c r="H23" s="531"/>
      <c r="I23" s="22">
        <f t="shared" ref="I23:N23" si="18">SUM(I6:I22)</f>
        <v>2344500</v>
      </c>
      <c r="J23" s="19">
        <f t="shared" si="18"/>
        <v>124118</v>
      </c>
      <c r="K23" s="20">
        <f t="shared" si="18"/>
        <v>393312</v>
      </c>
      <c r="L23" s="21">
        <f t="shared" si="18"/>
        <v>78497</v>
      </c>
      <c r="M23" s="20">
        <f t="shared" si="18"/>
        <v>78497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204</v>
      </c>
      <c r="Q23" s="43">
        <f t="shared" si="19"/>
        <v>204</v>
      </c>
      <c r="R23" s="23">
        <f t="shared" si="19"/>
        <v>24</v>
      </c>
      <c r="S23" s="24">
        <f t="shared" si="19"/>
        <v>34</v>
      </c>
      <c r="T23" s="24">
        <f t="shared" si="19"/>
        <v>8</v>
      </c>
      <c r="U23" s="24">
        <f t="shared" si="19"/>
        <v>0</v>
      </c>
      <c r="V23" s="25">
        <f t="shared" si="19"/>
        <v>24</v>
      </c>
      <c r="W23" s="26">
        <f t="shared" si="19"/>
        <v>90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0.58823529411764708</v>
      </c>
      <c r="AC23" s="4">
        <f>AVERAGE(AC6:AC22)</f>
        <v>0.5</v>
      </c>
      <c r="AD23" s="4">
        <f>AVERAGE(AD6:AD22)</f>
        <v>0.5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32" t="s">
        <v>45</v>
      </c>
      <c r="B50" s="532"/>
      <c r="C50" s="532"/>
      <c r="D50" s="532"/>
      <c r="E50" s="53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33" t="s">
        <v>302</v>
      </c>
      <c r="B51" s="534"/>
      <c r="C51" s="534"/>
      <c r="D51" s="534"/>
      <c r="E51" s="534"/>
      <c r="F51" s="534"/>
      <c r="G51" s="534"/>
      <c r="H51" s="534"/>
      <c r="I51" s="534"/>
      <c r="J51" s="534"/>
      <c r="K51" s="534"/>
      <c r="L51" s="534"/>
      <c r="M51" s="535"/>
      <c r="N51" s="536" t="s">
        <v>306</v>
      </c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8"/>
    </row>
    <row r="52" spans="1:32" ht="27" customHeight="1">
      <c r="A52" s="539" t="s">
        <v>2</v>
      </c>
      <c r="B52" s="540"/>
      <c r="C52" s="183" t="s">
        <v>46</v>
      </c>
      <c r="D52" s="183" t="s">
        <v>47</v>
      </c>
      <c r="E52" s="183" t="s">
        <v>107</v>
      </c>
      <c r="F52" s="541" t="s">
        <v>106</v>
      </c>
      <c r="G52" s="542"/>
      <c r="H52" s="542"/>
      <c r="I52" s="542"/>
      <c r="J52" s="542"/>
      <c r="K52" s="542"/>
      <c r="L52" s="542"/>
      <c r="M52" s="543"/>
      <c r="N52" s="67" t="s">
        <v>110</v>
      </c>
      <c r="O52" s="183" t="s">
        <v>46</v>
      </c>
      <c r="P52" s="541" t="s">
        <v>47</v>
      </c>
      <c r="Q52" s="544"/>
      <c r="R52" s="541" t="s">
        <v>38</v>
      </c>
      <c r="S52" s="542"/>
      <c r="T52" s="542"/>
      <c r="U52" s="544"/>
      <c r="V52" s="541" t="s">
        <v>48</v>
      </c>
      <c r="W52" s="542"/>
      <c r="X52" s="542"/>
      <c r="Y52" s="542"/>
      <c r="Z52" s="542"/>
      <c r="AA52" s="542"/>
      <c r="AB52" s="542"/>
      <c r="AC52" s="542"/>
      <c r="AD52" s="543"/>
    </row>
    <row r="53" spans="1:32" ht="27" customHeight="1">
      <c r="A53" s="510" t="s">
        <v>121</v>
      </c>
      <c r="B53" s="511"/>
      <c r="C53" s="185" t="s">
        <v>144</v>
      </c>
      <c r="D53" s="185" t="s">
        <v>115</v>
      </c>
      <c r="E53" s="185" t="s">
        <v>160</v>
      </c>
      <c r="F53" s="512" t="s">
        <v>303</v>
      </c>
      <c r="G53" s="513"/>
      <c r="H53" s="513"/>
      <c r="I53" s="513"/>
      <c r="J53" s="513"/>
      <c r="K53" s="513"/>
      <c r="L53" s="513"/>
      <c r="M53" s="514"/>
      <c r="N53" s="184" t="s">
        <v>121</v>
      </c>
      <c r="O53" s="190" t="s">
        <v>144</v>
      </c>
      <c r="P53" s="524" t="s">
        <v>115</v>
      </c>
      <c r="Q53" s="525"/>
      <c r="R53" s="524" t="s">
        <v>160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121</v>
      </c>
      <c r="B54" s="511"/>
      <c r="C54" s="185" t="s">
        <v>203</v>
      </c>
      <c r="D54" s="185" t="s">
        <v>115</v>
      </c>
      <c r="E54" s="185" t="s">
        <v>200</v>
      </c>
      <c r="F54" s="512" t="s">
        <v>304</v>
      </c>
      <c r="G54" s="513"/>
      <c r="H54" s="513"/>
      <c r="I54" s="513"/>
      <c r="J54" s="513"/>
      <c r="K54" s="513"/>
      <c r="L54" s="513"/>
      <c r="M54" s="514"/>
      <c r="N54" s="184" t="s">
        <v>112</v>
      </c>
      <c r="O54" s="190" t="s">
        <v>201</v>
      </c>
      <c r="P54" s="524" t="s">
        <v>115</v>
      </c>
      <c r="Q54" s="525"/>
      <c r="R54" s="524" t="s">
        <v>226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112</v>
      </c>
      <c r="B55" s="511"/>
      <c r="C55" s="185" t="s">
        <v>201</v>
      </c>
      <c r="D55" s="185" t="s">
        <v>115</v>
      </c>
      <c r="E55" s="185" t="s">
        <v>226</v>
      </c>
      <c r="F55" s="512" t="s">
        <v>305</v>
      </c>
      <c r="G55" s="513"/>
      <c r="H55" s="513"/>
      <c r="I55" s="513"/>
      <c r="J55" s="513"/>
      <c r="K55" s="513"/>
      <c r="L55" s="513"/>
      <c r="M55" s="514"/>
      <c r="N55" s="184" t="s">
        <v>123</v>
      </c>
      <c r="O55" s="190" t="s">
        <v>148</v>
      </c>
      <c r="P55" s="524"/>
      <c r="Q55" s="525"/>
      <c r="R55" s="524" t="s">
        <v>307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121</v>
      </c>
      <c r="B56" s="511"/>
      <c r="C56" s="185" t="s">
        <v>197</v>
      </c>
      <c r="D56" s="185" t="s">
        <v>142</v>
      </c>
      <c r="E56" s="185" t="s">
        <v>282</v>
      </c>
      <c r="F56" s="512" t="s">
        <v>118</v>
      </c>
      <c r="G56" s="513"/>
      <c r="H56" s="513"/>
      <c r="I56" s="513"/>
      <c r="J56" s="513"/>
      <c r="K56" s="513"/>
      <c r="L56" s="513"/>
      <c r="M56" s="514"/>
      <c r="N56" s="184"/>
      <c r="O56" s="190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123</v>
      </c>
      <c r="B57" s="511"/>
      <c r="C57" s="185" t="s">
        <v>197</v>
      </c>
      <c r="D57" s="185"/>
      <c r="E57" s="185" t="s">
        <v>300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184"/>
      <c r="O57" s="190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112</v>
      </c>
      <c r="B58" s="511"/>
      <c r="C58" s="185" t="s">
        <v>284</v>
      </c>
      <c r="D58" s="185" t="s">
        <v>115</v>
      </c>
      <c r="E58" s="185" t="s">
        <v>152</v>
      </c>
      <c r="F58" s="512" t="s">
        <v>283</v>
      </c>
      <c r="G58" s="513"/>
      <c r="H58" s="513"/>
      <c r="I58" s="513"/>
      <c r="J58" s="513"/>
      <c r="K58" s="513"/>
      <c r="L58" s="513"/>
      <c r="M58" s="514"/>
      <c r="N58" s="184"/>
      <c r="O58" s="190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194"/>
      <c r="D59" s="194"/>
      <c r="E59" s="194"/>
      <c r="F59" s="569"/>
      <c r="G59" s="570"/>
      <c r="H59" s="570"/>
      <c r="I59" s="570"/>
      <c r="J59" s="570"/>
      <c r="K59" s="570"/>
      <c r="L59" s="570"/>
      <c r="M59" s="571"/>
      <c r="N59" s="184"/>
      <c r="O59" s="190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185"/>
      <c r="D60" s="185"/>
      <c r="E60" s="185"/>
      <c r="F60" s="512"/>
      <c r="G60" s="513"/>
      <c r="H60" s="513"/>
      <c r="I60" s="513"/>
      <c r="J60" s="513"/>
      <c r="K60" s="513"/>
      <c r="L60" s="513"/>
      <c r="M60" s="514"/>
      <c r="N60" s="184"/>
      <c r="O60" s="190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185"/>
      <c r="D61" s="185"/>
      <c r="E61" s="185"/>
      <c r="F61" s="512"/>
      <c r="G61" s="513"/>
      <c r="H61" s="513"/>
      <c r="I61" s="513"/>
      <c r="J61" s="513"/>
      <c r="K61" s="513"/>
      <c r="L61" s="513"/>
      <c r="M61" s="514"/>
      <c r="N61" s="184"/>
      <c r="O61" s="190"/>
      <c r="P61" s="511"/>
      <c r="Q61" s="511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  <c r="AF61" s="84">
        <f>8*3000</f>
        <v>24000</v>
      </c>
    </row>
    <row r="62" spans="1:32" ht="27" customHeight="1" thickBot="1">
      <c r="A62" s="516"/>
      <c r="B62" s="517"/>
      <c r="C62" s="186"/>
      <c r="D62" s="187"/>
      <c r="E62" s="187"/>
      <c r="F62" s="518"/>
      <c r="G62" s="519"/>
      <c r="H62" s="519"/>
      <c r="I62" s="519"/>
      <c r="J62" s="519"/>
      <c r="K62" s="519"/>
      <c r="L62" s="519"/>
      <c r="M62" s="520"/>
      <c r="N62" s="112"/>
      <c r="O62" s="103"/>
      <c r="P62" s="521"/>
      <c r="Q62" s="521"/>
      <c r="R62" s="521"/>
      <c r="S62" s="521"/>
      <c r="T62" s="521"/>
      <c r="U62" s="521"/>
      <c r="V62" s="522"/>
      <c r="W62" s="522"/>
      <c r="X62" s="522"/>
      <c r="Y62" s="522"/>
      <c r="Z62" s="522"/>
      <c r="AA62" s="522"/>
      <c r="AB62" s="522"/>
      <c r="AC62" s="522"/>
      <c r="AD62" s="523"/>
      <c r="AF62" s="84">
        <f>16*3000</f>
        <v>48000</v>
      </c>
    </row>
    <row r="63" spans="1:32" ht="27.75" thickBot="1">
      <c r="A63" s="508" t="s">
        <v>308</v>
      </c>
      <c r="B63" s="508"/>
      <c r="C63" s="508"/>
      <c r="D63" s="508"/>
      <c r="E63" s="50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09" t="s">
        <v>111</v>
      </c>
      <c r="B64" s="503"/>
      <c r="C64" s="188" t="s">
        <v>2</v>
      </c>
      <c r="D64" s="188" t="s">
        <v>37</v>
      </c>
      <c r="E64" s="188" t="s">
        <v>3</v>
      </c>
      <c r="F64" s="503" t="s">
        <v>109</v>
      </c>
      <c r="G64" s="503"/>
      <c r="H64" s="503"/>
      <c r="I64" s="503"/>
      <c r="J64" s="503"/>
      <c r="K64" s="503" t="s">
        <v>39</v>
      </c>
      <c r="L64" s="503"/>
      <c r="M64" s="188" t="s">
        <v>40</v>
      </c>
      <c r="N64" s="503" t="s">
        <v>41</v>
      </c>
      <c r="O64" s="503"/>
      <c r="P64" s="500" t="s">
        <v>42</v>
      </c>
      <c r="Q64" s="502"/>
      <c r="R64" s="500" t="s">
        <v>43</v>
      </c>
      <c r="S64" s="501"/>
      <c r="T64" s="501"/>
      <c r="U64" s="501"/>
      <c r="V64" s="501"/>
      <c r="W64" s="501"/>
      <c r="X64" s="501"/>
      <c r="Y64" s="501"/>
      <c r="Z64" s="501"/>
      <c r="AA64" s="502"/>
      <c r="AB64" s="503" t="s">
        <v>44</v>
      </c>
      <c r="AC64" s="503"/>
      <c r="AD64" s="504"/>
      <c r="AF64" s="84">
        <f>SUM(AF61:AF63)</f>
        <v>96000</v>
      </c>
    </row>
    <row r="65" spans="1:32" ht="25.5" customHeight="1">
      <c r="A65" s="491">
        <v>1</v>
      </c>
      <c r="B65" s="492"/>
      <c r="C65" s="105"/>
      <c r="D65" s="192"/>
      <c r="E65" s="189"/>
      <c r="F65" s="497"/>
      <c r="G65" s="498"/>
      <c r="H65" s="498"/>
      <c r="I65" s="498"/>
      <c r="J65" s="499"/>
      <c r="K65" s="485"/>
      <c r="L65" s="485"/>
      <c r="M65" s="51"/>
      <c r="N65" s="494"/>
      <c r="O65" s="494"/>
      <c r="P65" s="495"/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505"/>
      <c r="AC65" s="506"/>
      <c r="AD65" s="507"/>
      <c r="AF65" s="50"/>
    </row>
    <row r="66" spans="1:32" ht="25.5" customHeight="1">
      <c r="A66" s="491">
        <v>2</v>
      </c>
      <c r="B66" s="492"/>
      <c r="C66" s="105"/>
      <c r="D66" s="192"/>
      <c r="E66" s="189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3</v>
      </c>
      <c r="B67" s="492"/>
      <c r="C67" s="105"/>
      <c r="D67" s="192"/>
      <c r="E67" s="189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4</v>
      </c>
      <c r="B68" s="492"/>
      <c r="C68" s="105"/>
      <c r="D68" s="192"/>
      <c r="E68" s="189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5</v>
      </c>
      <c r="B69" s="492"/>
      <c r="C69" s="105"/>
      <c r="D69" s="192"/>
      <c r="E69" s="189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6</v>
      </c>
      <c r="B70" s="492"/>
      <c r="C70" s="105"/>
      <c r="D70" s="192"/>
      <c r="E70" s="189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7</v>
      </c>
      <c r="B71" s="492"/>
      <c r="C71" s="105"/>
      <c r="D71" s="192"/>
      <c r="E71" s="189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8</v>
      </c>
      <c r="B72" s="492"/>
      <c r="C72" s="105"/>
      <c r="D72" s="192"/>
      <c r="E72" s="189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9</v>
      </c>
      <c r="B73" s="492"/>
      <c r="C73" s="105"/>
      <c r="D73" s="192"/>
      <c r="E73" s="189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10</v>
      </c>
      <c r="B74" s="492"/>
      <c r="C74" s="105"/>
      <c r="D74" s="192"/>
      <c r="E74" s="189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6.25" customHeight="1" thickBot="1">
      <c r="A75" s="465" t="s">
        <v>309</v>
      </c>
      <c r="B75" s="465"/>
      <c r="C75" s="465"/>
      <c r="D75" s="465"/>
      <c r="E75" s="46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66" t="s">
        <v>111</v>
      </c>
      <c r="B76" s="467"/>
      <c r="C76" s="191" t="s">
        <v>2</v>
      </c>
      <c r="D76" s="191" t="s">
        <v>37</v>
      </c>
      <c r="E76" s="191" t="s">
        <v>273</v>
      </c>
      <c r="F76" s="467" t="s">
        <v>38</v>
      </c>
      <c r="G76" s="467"/>
      <c r="H76" s="467"/>
      <c r="I76" s="467"/>
      <c r="J76" s="467"/>
      <c r="K76" s="487" t="s">
        <v>58</v>
      </c>
      <c r="L76" s="488"/>
      <c r="M76" s="488"/>
      <c r="N76" s="488"/>
      <c r="O76" s="488"/>
      <c r="P76" s="488"/>
      <c r="Q76" s="488"/>
      <c r="R76" s="488"/>
      <c r="S76" s="489"/>
      <c r="T76" s="467" t="s">
        <v>49</v>
      </c>
      <c r="U76" s="467"/>
      <c r="V76" s="487" t="s">
        <v>50</v>
      </c>
      <c r="W76" s="489"/>
      <c r="X76" s="488" t="s">
        <v>51</v>
      </c>
      <c r="Y76" s="488"/>
      <c r="Z76" s="488"/>
      <c r="AA76" s="488"/>
      <c r="AB76" s="488"/>
      <c r="AC76" s="488"/>
      <c r="AD76" s="490"/>
      <c r="AF76" s="50"/>
    </row>
    <row r="77" spans="1:32" ht="33.75" customHeight="1">
      <c r="A77" s="459">
        <v>1</v>
      </c>
      <c r="B77" s="460"/>
      <c r="C77" s="193" t="s">
        <v>112</v>
      </c>
      <c r="D77" s="193"/>
      <c r="E77" s="65" t="s">
        <v>117</v>
      </c>
      <c r="F77" s="474" t="s">
        <v>116</v>
      </c>
      <c r="G77" s="475"/>
      <c r="H77" s="475"/>
      <c r="I77" s="475"/>
      <c r="J77" s="476"/>
      <c r="K77" s="477" t="s">
        <v>122</v>
      </c>
      <c r="L77" s="478"/>
      <c r="M77" s="478"/>
      <c r="N77" s="478"/>
      <c r="O77" s="478"/>
      <c r="P77" s="478"/>
      <c r="Q77" s="478"/>
      <c r="R77" s="478"/>
      <c r="S77" s="479"/>
      <c r="T77" s="480">
        <v>43675</v>
      </c>
      <c r="U77" s="481"/>
      <c r="V77" s="482"/>
      <c r="W77" s="482"/>
      <c r="X77" s="483"/>
      <c r="Y77" s="483"/>
      <c r="Z77" s="483"/>
      <c r="AA77" s="483"/>
      <c r="AB77" s="483"/>
      <c r="AC77" s="483"/>
      <c r="AD77" s="484"/>
      <c r="AF77" s="50"/>
    </row>
    <row r="78" spans="1:32" ht="30" customHeight="1">
      <c r="A78" s="452">
        <f>A77+1</f>
        <v>2</v>
      </c>
      <c r="B78" s="453"/>
      <c r="C78" s="192"/>
      <c r="D78" s="192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ref="A79:A83" si="20">A78+1</f>
        <v>3</v>
      </c>
      <c r="B79" s="453"/>
      <c r="C79" s="192"/>
      <c r="D79" s="192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20"/>
        <v>4</v>
      </c>
      <c r="B80" s="453"/>
      <c r="C80" s="192"/>
      <c r="D80" s="192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20"/>
        <v>5</v>
      </c>
      <c r="B81" s="453"/>
      <c r="C81" s="192"/>
      <c r="D81" s="192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0"/>
        <v>6</v>
      </c>
      <c r="B82" s="453"/>
      <c r="C82" s="192"/>
      <c r="D82" s="192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20"/>
        <v>7</v>
      </c>
      <c r="B83" s="453"/>
      <c r="C83" s="192"/>
      <c r="D83" s="192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6" thickBot="1">
      <c r="A84" s="465" t="s">
        <v>310</v>
      </c>
      <c r="B84" s="465"/>
      <c r="C84" s="465"/>
      <c r="D84" s="465"/>
      <c r="E84" s="46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66" t="s">
        <v>111</v>
      </c>
      <c r="B85" s="467"/>
      <c r="C85" s="457" t="s">
        <v>52</v>
      </c>
      <c r="D85" s="457"/>
      <c r="E85" s="457" t="s">
        <v>53</v>
      </c>
      <c r="F85" s="457"/>
      <c r="G85" s="457"/>
      <c r="H85" s="457"/>
      <c r="I85" s="457"/>
      <c r="J85" s="457"/>
      <c r="K85" s="457" t="s">
        <v>54</v>
      </c>
      <c r="L85" s="457"/>
      <c r="M85" s="457"/>
      <c r="N85" s="457"/>
      <c r="O85" s="457"/>
      <c r="P85" s="457"/>
      <c r="Q85" s="457"/>
      <c r="R85" s="457"/>
      <c r="S85" s="457"/>
      <c r="T85" s="457" t="s">
        <v>55</v>
      </c>
      <c r="U85" s="457"/>
      <c r="V85" s="457" t="s">
        <v>56</v>
      </c>
      <c r="W85" s="457"/>
      <c r="X85" s="457"/>
      <c r="Y85" s="457" t="s">
        <v>51</v>
      </c>
      <c r="Z85" s="457"/>
      <c r="AA85" s="457"/>
      <c r="AB85" s="457"/>
      <c r="AC85" s="457"/>
      <c r="AD85" s="458"/>
      <c r="AF85" s="50"/>
    </row>
    <row r="86" spans="1:32" ht="30.75" customHeight="1">
      <c r="A86" s="459">
        <v>1</v>
      </c>
      <c r="B86" s="460"/>
      <c r="C86" s="461">
        <v>11</v>
      </c>
      <c r="D86" s="461"/>
      <c r="E86" s="461" t="s">
        <v>295</v>
      </c>
      <c r="F86" s="461"/>
      <c r="G86" s="461"/>
      <c r="H86" s="461"/>
      <c r="I86" s="461"/>
      <c r="J86" s="461"/>
      <c r="K86" s="461" t="s">
        <v>297</v>
      </c>
      <c r="L86" s="461"/>
      <c r="M86" s="461"/>
      <c r="N86" s="461"/>
      <c r="O86" s="461"/>
      <c r="P86" s="461"/>
      <c r="Q86" s="461"/>
      <c r="R86" s="461"/>
      <c r="S86" s="461"/>
      <c r="T86" s="461" t="s">
        <v>296</v>
      </c>
      <c r="U86" s="461"/>
      <c r="V86" s="462"/>
      <c r="W86" s="462"/>
      <c r="X86" s="462"/>
      <c r="Y86" s="463" t="s">
        <v>298</v>
      </c>
      <c r="Z86" s="463"/>
      <c r="AA86" s="463"/>
      <c r="AB86" s="463"/>
      <c r="AC86" s="463"/>
      <c r="AD86" s="464"/>
      <c r="AF86" s="50"/>
    </row>
    <row r="87" spans="1:32" ht="30.75" customHeight="1">
      <c r="A87" s="452">
        <v>2</v>
      </c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5"/>
      <c r="U87" s="455"/>
      <c r="V87" s="456"/>
      <c r="W87" s="456"/>
      <c r="X87" s="456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0170-3E7B-4B56-B311-EFCC8C2D9A4A}">
  <sheetPr codeName="Sheet8"/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311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182" t="s">
        <v>17</v>
      </c>
      <c r="L5" s="182" t="s">
        <v>18</v>
      </c>
      <c r="M5" s="182" t="s">
        <v>19</v>
      </c>
      <c r="N5" s="18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2736</v>
      </c>
      <c r="K6" s="15">
        <f>L6+5516+6003+6004</f>
        <v>20259</v>
      </c>
      <c r="L6" s="15">
        <v>2736</v>
      </c>
      <c r="M6" s="15">
        <f t="shared" ref="M6:M21" si="0">L6-N6</f>
        <v>2736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11</v>
      </c>
      <c r="Q6" s="40">
        <f t="shared" ref="Q6:Q21" si="3">SUM(R6:AA6)</f>
        <v>13</v>
      </c>
      <c r="R6" s="7"/>
      <c r="S6" s="6"/>
      <c r="T6" s="16"/>
      <c r="U6" s="16"/>
      <c r="V6" s="17">
        <v>13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0.45833333333333331</v>
      </c>
      <c r="AD6" s="10">
        <f t="shared" ref="AD6:AD21" si="6">AC6*AB6*(1-O6)</f>
        <v>0.45833333333333331</v>
      </c>
      <c r="AE6" s="36">
        <f t="shared" ref="AE6:AE21" si="7">$AD$22</f>
        <v>0.23177083333333334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0.23177083333333334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5790</v>
      </c>
      <c r="K8" s="15">
        <f>L8+8404+12360+9142+12426</f>
        <v>48122</v>
      </c>
      <c r="L8" s="15">
        <f>2895*2</f>
        <v>5790</v>
      </c>
      <c r="M8" s="15">
        <f t="shared" si="0"/>
        <v>5790</v>
      </c>
      <c r="N8" s="15">
        <v>0</v>
      </c>
      <c r="O8" s="58">
        <f t="shared" si="1"/>
        <v>0</v>
      </c>
      <c r="P8" s="39">
        <f t="shared" si="2"/>
        <v>11</v>
      </c>
      <c r="Q8" s="40">
        <f t="shared" si="3"/>
        <v>13</v>
      </c>
      <c r="R8" s="7"/>
      <c r="S8" s="6"/>
      <c r="T8" s="16"/>
      <c r="U8" s="16"/>
      <c r="V8" s="17">
        <v>13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0.45833333333333331</v>
      </c>
      <c r="AD8" s="10">
        <f t="shared" si="6"/>
        <v>0.45833333333333331</v>
      </c>
      <c r="AE8" s="36">
        <f t="shared" si="7"/>
        <v>0.23177083333333334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4580</v>
      </c>
      <c r="K9" s="15">
        <f>L9+3600+2490+6946+9726+6834</f>
        <v>34176</v>
      </c>
      <c r="L9" s="15">
        <f>2290*2</f>
        <v>4580</v>
      </c>
      <c r="M9" s="15">
        <f t="shared" si="0"/>
        <v>4580</v>
      </c>
      <c r="N9" s="15">
        <v>0</v>
      </c>
      <c r="O9" s="58">
        <f t="shared" si="1"/>
        <v>0</v>
      </c>
      <c r="P9" s="39">
        <f t="shared" si="2"/>
        <v>11</v>
      </c>
      <c r="Q9" s="40">
        <f t="shared" si="3"/>
        <v>13</v>
      </c>
      <c r="R9" s="7"/>
      <c r="S9" s="6"/>
      <c r="T9" s="16"/>
      <c r="U9" s="16"/>
      <c r="V9" s="17">
        <v>13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0.45833333333333331</v>
      </c>
      <c r="AD9" s="10">
        <f t="shared" si="6"/>
        <v>0.45833333333333331</v>
      </c>
      <c r="AE9" s="36">
        <f t="shared" si="7"/>
        <v>0.23177083333333334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13250</v>
      </c>
      <c r="K10" s="15">
        <f>L10+5588+11272+12940+13030+13250</f>
        <v>56080</v>
      </c>
      <c r="L10" s="15">
        <f>0</f>
        <v>0</v>
      </c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>AC10*AB10*(1-O10)</f>
        <v>0</v>
      </c>
      <c r="AE10" s="36">
        <f t="shared" si="7"/>
        <v>0.23177083333333334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150</v>
      </c>
      <c r="E11" s="53" t="s">
        <v>248</v>
      </c>
      <c r="F11" s="30" t="s">
        <v>129</v>
      </c>
      <c r="G11" s="33">
        <v>1</v>
      </c>
      <c r="H11" s="35">
        <v>24</v>
      </c>
      <c r="I11" s="7">
        <v>20000</v>
      </c>
      <c r="J11" s="14">
        <v>2661</v>
      </c>
      <c r="K11" s="15">
        <f>L11+3288+5717+5730</f>
        <v>17396</v>
      </c>
      <c r="L11" s="15">
        <f>2661</f>
        <v>2661</v>
      </c>
      <c r="M11" s="15">
        <f t="shared" si="0"/>
        <v>2661</v>
      </c>
      <c r="N11" s="15">
        <v>0</v>
      </c>
      <c r="O11" s="58">
        <f t="shared" si="1"/>
        <v>0</v>
      </c>
      <c r="P11" s="39">
        <f t="shared" si="2"/>
        <v>11</v>
      </c>
      <c r="Q11" s="40">
        <f t="shared" si="3"/>
        <v>13</v>
      </c>
      <c r="R11" s="7"/>
      <c r="S11" s="6"/>
      <c r="T11" s="16"/>
      <c r="U11" s="16"/>
      <c r="V11" s="17">
        <v>13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0.45833333333333331</v>
      </c>
      <c r="AD11" s="10">
        <f t="shared" ref="AD11:AD14" si="9">AC11*AB11*(1-O11)</f>
        <v>0.45833333333333331</v>
      </c>
      <c r="AE11" s="36">
        <f t="shared" si="7"/>
        <v>0.23177083333333334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3614</v>
      </c>
      <c r="K12" s="15">
        <f>L12+4200+2432+5144+6184+11076</f>
        <v>32650</v>
      </c>
      <c r="L12" s="15">
        <f>1807*2</f>
        <v>3614</v>
      </c>
      <c r="M12" s="15">
        <f t="shared" si="0"/>
        <v>3614</v>
      </c>
      <c r="N12" s="15">
        <v>0</v>
      </c>
      <c r="O12" s="58">
        <f t="shared" si="1"/>
        <v>0</v>
      </c>
      <c r="P12" s="39">
        <f t="shared" si="2"/>
        <v>8</v>
      </c>
      <c r="Q12" s="40">
        <f t="shared" si="3"/>
        <v>16</v>
      </c>
      <c r="R12" s="7"/>
      <c r="S12" s="6">
        <f>13+3</f>
        <v>16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0.33333333333333331</v>
      </c>
      <c r="AD12" s="10">
        <f t="shared" si="9"/>
        <v>0.33333333333333331</v>
      </c>
      <c r="AE12" s="36">
        <f t="shared" si="7"/>
        <v>0.23177083333333334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3000</v>
      </c>
      <c r="K13" s="15">
        <f>L13+10230+8758+7458+4298+5694+7524</f>
        <v>46962</v>
      </c>
      <c r="L13" s="15">
        <f>1500*2</f>
        <v>3000</v>
      </c>
      <c r="M13" s="15">
        <f t="shared" si="0"/>
        <v>3000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>
        <v>18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>AC13*AB13*(1-O13)</f>
        <v>0.25</v>
      </c>
      <c r="AE13" s="36">
        <f t="shared" si="7"/>
        <v>0.23177083333333334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0.23177083333333334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2422</v>
      </c>
      <c r="K15" s="15">
        <f>L15+2422</f>
        <v>2422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0.23177083333333334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0.23177083333333334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307</v>
      </c>
      <c r="F17" s="30" t="s">
        <v>140</v>
      </c>
      <c r="G17" s="12">
        <v>1</v>
      </c>
      <c r="H17" s="13">
        <v>24</v>
      </c>
      <c r="I17" s="7">
        <v>1000</v>
      </c>
      <c r="J17" s="14">
        <v>1840</v>
      </c>
      <c r="K17" s="15">
        <f>L17</f>
        <v>1840</v>
      </c>
      <c r="L17" s="15">
        <f>1840</f>
        <v>1840</v>
      </c>
      <c r="M17" s="15">
        <f t="shared" si="0"/>
        <v>1840</v>
      </c>
      <c r="N17" s="15">
        <v>0</v>
      </c>
      <c r="O17" s="58">
        <f t="shared" si="1"/>
        <v>0</v>
      </c>
      <c r="P17" s="39">
        <f t="shared" si="2"/>
        <v>11</v>
      </c>
      <c r="Q17" s="40">
        <f t="shared" si="3"/>
        <v>13</v>
      </c>
      <c r="R17" s="7"/>
      <c r="S17" s="6"/>
      <c r="T17" s="16"/>
      <c r="U17" s="16"/>
      <c r="V17" s="17">
        <v>13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0.45833333333333331</v>
      </c>
      <c r="AD17" s="10">
        <f t="shared" si="6"/>
        <v>0.45833333333333331</v>
      </c>
      <c r="AE17" s="36">
        <f t="shared" si="7"/>
        <v>0.23177083333333334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142</v>
      </c>
      <c r="E18" s="53" t="s">
        <v>282</v>
      </c>
      <c r="F18" s="30" t="s">
        <v>119</v>
      </c>
      <c r="G18" s="33">
        <v>1</v>
      </c>
      <c r="H18" s="35">
        <v>24</v>
      </c>
      <c r="I18" s="7">
        <v>1000</v>
      </c>
      <c r="J18" s="14">
        <v>1115</v>
      </c>
      <c r="K18" s="15">
        <f>L18+1115</f>
        <v>1115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0.23177083333333334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226</v>
      </c>
      <c r="F19" s="30" t="s">
        <v>129</v>
      </c>
      <c r="G19" s="33">
        <v>1</v>
      </c>
      <c r="H19" s="35">
        <v>24</v>
      </c>
      <c r="I19" s="7">
        <v>100</v>
      </c>
      <c r="J19" s="14">
        <v>1611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0.23177083333333334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3498</v>
      </c>
      <c r="K20" s="15">
        <f>L20+6852+6648+9128+6400+11510</f>
        <v>44036</v>
      </c>
      <c r="L20" s="15">
        <f>1749*2</f>
        <v>3498</v>
      </c>
      <c r="M20" s="15">
        <f t="shared" si="0"/>
        <v>3498</v>
      </c>
      <c r="N20" s="15">
        <v>0</v>
      </c>
      <c r="O20" s="58">
        <f t="shared" si="1"/>
        <v>0</v>
      </c>
      <c r="P20" s="39">
        <f t="shared" si="2"/>
        <v>9</v>
      </c>
      <c r="Q20" s="40">
        <f t="shared" si="3"/>
        <v>15</v>
      </c>
      <c r="R20" s="7"/>
      <c r="S20" s="6">
        <v>2</v>
      </c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0.375</v>
      </c>
      <c r="AD20" s="10">
        <f t="shared" si="6"/>
        <v>0.375</v>
      </c>
      <c r="AE20" s="36">
        <f t="shared" si="7"/>
        <v>0.23177083333333334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312</v>
      </c>
      <c r="F21" s="12" t="s">
        <v>114</v>
      </c>
      <c r="G21" s="12">
        <v>4</v>
      </c>
      <c r="H21" s="35">
        <v>20</v>
      </c>
      <c r="I21" s="7">
        <v>500000</v>
      </c>
      <c r="J21" s="14">
        <v>16128</v>
      </c>
      <c r="K21" s="15">
        <f>L21</f>
        <v>16128</v>
      </c>
      <c r="L21" s="15">
        <f>4032*4</f>
        <v>16128</v>
      </c>
      <c r="M21" s="15">
        <f t="shared" si="0"/>
        <v>16128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0.23177083333333334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2743900</v>
      </c>
      <c r="J22" s="19">
        <f t="shared" si="10"/>
        <v>68369</v>
      </c>
      <c r="K22" s="20">
        <f t="shared" si="10"/>
        <v>339731</v>
      </c>
      <c r="L22" s="21">
        <f t="shared" si="10"/>
        <v>43847</v>
      </c>
      <c r="M22" s="20">
        <f t="shared" si="10"/>
        <v>43847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89</v>
      </c>
      <c r="Q22" s="43">
        <f t="shared" si="11"/>
        <v>295</v>
      </c>
      <c r="R22" s="23">
        <f t="shared" si="11"/>
        <v>24</v>
      </c>
      <c r="S22" s="24">
        <f t="shared" si="11"/>
        <v>84</v>
      </c>
      <c r="T22" s="24">
        <f t="shared" si="11"/>
        <v>0</v>
      </c>
      <c r="U22" s="24">
        <f t="shared" si="11"/>
        <v>0</v>
      </c>
      <c r="V22" s="25">
        <f t="shared" si="11"/>
        <v>115</v>
      </c>
      <c r="W22" s="26">
        <f t="shared" si="11"/>
        <v>48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0.5625</v>
      </c>
      <c r="AC22" s="4">
        <f>AVERAGE(AC6:AC21)</f>
        <v>0.23177083333333334</v>
      </c>
      <c r="AD22" s="4">
        <f>AVERAGE(AD6:AD21)</f>
        <v>0.23177083333333334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313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315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183" t="s">
        <v>46</v>
      </c>
      <c r="D51" s="183" t="s">
        <v>47</v>
      </c>
      <c r="E51" s="183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183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185" t="s">
        <v>144</v>
      </c>
      <c r="D52" s="185" t="s">
        <v>115</v>
      </c>
      <c r="E52" s="185" t="s">
        <v>160</v>
      </c>
      <c r="F52" s="512" t="s">
        <v>261</v>
      </c>
      <c r="G52" s="513"/>
      <c r="H52" s="513"/>
      <c r="I52" s="513"/>
      <c r="J52" s="513"/>
      <c r="K52" s="513"/>
      <c r="L52" s="513"/>
      <c r="M52" s="514"/>
      <c r="N52" s="184" t="s">
        <v>121</v>
      </c>
      <c r="O52" s="190" t="s">
        <v>144</v>
      </c>
      <c r="P52" s="524" t="s">
        <v>115</v>
      </c>
      <c r="Q52" s="525"/>
      <c r="R52" s="524" t="s">
        <v>160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121</v>
      </c>
      <c r="B53" s="511"/>
      <c r="C53" s="185" t="s">
        <v>203</v>
      </c>
      <c r="D53" s="185" t="s">
        <v>115</v>
      </c>
      <c r="E53" s="185" t="s">
        <v>200</v>
      </c>
      <c r="F53" s="512" t="s">
        <v>180</v>
      </c>
      <c r="G53" s="513"/>
      <c r="H53" s="513"/>
      <c r="I53" s="513"/>
      <c r="J53" s="513"/>
      <c r="K53" s="513"/>
      <c r="L53" s="513"/>
      <c r="M53" s="514"/>
      <c r="N53" s="184" t="s">
        <v>112</v>
      </c>
      <c r="O53" s="190" t="s">
        <v>201</v>
      </c>
      <c r="P53" s="524" t="s">
        <v>115</v>
      </c>
      <c r="Q53" s="525"/>
      <c r="R53" s="524" t="s">
        <v>226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123</v>
      </c>
      <c r="B54" s="511"/>
      <c r="C54" s="202" t="s">
        <v>148</v>
      </c>
      <c r="D54" s="202"/>
      <c r="E54" s="202" t="s">
        <v>307</v>
      </c>
      <c r="F54" s="512" t="s">
        <v>118</v>
      </c>
      <c r="G54" s="513"/>
      <c r="H54" s="513"/>
      <c r="I54" s="513"/>
      <c r="J54" s="513"/>
      <c r="K54" s="513"/>
      <c r="L54" s="513"/>
      <c r="M54" s="514"/>
      <c r="N54" s="184" t="s">
        <v>123</v>
      </c>
      <c r="O54" s="190" t="s">
        <v>148</v>
      </c>
      <c r="P54" s="524"/>
      <c r="Q54" s="525"/>
      <c r="R54" s="524" t="s">
        <v>319</v>
      </c>
      <c r="S54" s="526"/>
      <c r="T54" s="526"/>
      <c r="U54" s="525"/>
      <c r="V54" s="496" t="s">
        <v>320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112</v>
      </c>
      <c r="B55" s="511"/>
      <c r="C55" s="202" t="s">
        <v>267</v>
      </c>
      <c r="D55" s="202" t="s">
        <v>133</v>
      </c>
      <c r="E55" s="202" t="s">
        <v>151</v>
      </c>
      <c r="F55" s="512" t="s">
        <v>314</v>
      </c>
      <c r="G55" s="513"/>
      <c r="H55" s="513"/>
      <c r="I55" s="513"/>
      <c r="J55" s="513"/>
      <c r="K55" s="513"/>
      <c r="L55" s="513"/>
      <c r="M55" s="514"/>
      <c r="N55" s="184" t="s">
        <v>121</v>
      </c>
      <c r="O55" s="190" t="s">
        <v>323</v>
      </c>
      <c r="P55" s="524" t="s">
        <v>324</v>
      </c>
      <c r="Q55" s="525"/>
      <c r="R55" s="524" t="s">
        <v>321</v>
      </c>
      <c r="S55" s="526"/>
      <c r="T55" s="526"/>
      <c r="U55" s="525"/>
      <c r="V55" s="496" t="s">
        <v>322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316</v>
      </c>
      <c r="B56" s="511"/>
      <c r="C56" s="185" t="s">
        <v>317</v>
      </c>
      <c r="D56" s="185"/>
      <c r="E56" s="185" t="s">
        <v>318</v>
      </c>
      <c r="F56" s="512" t="s">
        <v>118</v>
      </c>
      <c r="G56" s="513"/>
      <c r="H56" s="513"/>
      <c r="I56" s="513"/>
      <c r="J56" s="513"/>
      <c r="K56" s="513"/>
      <c r="L56" s="513"/>
      <c r="M56" s="514"/>
      <c r="N56" s="184"/>
      <c r="O56" s="190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185"/>
      <c r="D57" s="185"/>
      <c r="E57" s="185"/>
      <c r="F57" s="512"/>
      <c r="G57" s="513"/>
      <c r="H57" s="513"/>
      <c r="I57" s="513"/>
      <c r="J57" s="513"/>
      <c r="K57" s="513"/>
      <c r="L57" s="513"/>
      <c r="M57" s="514"/>
      <c r="N57" s="184"/>
      <c r="O57" s="190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194"/>
      <c r="D58" s="194"/>
      <c r="E58" s="194"/>
      <c r="F58" s="569"/>
      <c r="G58" s="570"/>
      <c r="H58" s="570"/>
      <c r="I58" s="570"/>
      <c r="J58" s="570"/>
      <c r="K58" s="570"/>
      <c r="L58" s="570"/>
      <c r="M58" s="571"/>
      <c r="N58" s="184"/>
      <c r="O58" s="190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185"/>
      <c r="D59" s="185"/>
      <c r="E59" s="185"/>
      <c r="F59" s="512"/>
      <c r="G59" s="513"/>
      <c r="H59" s="513"/>
      <c r="I59" s="513"/>
      <c r="J59" s="513"/>
      <c r="K59" s="513"/>
      <c r="L59" s="513"/>
      <c r="M59" s="514"/>
      <c r="N59" s="184"/>
      <c r="O59" s="190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185"/>
      <c r="D60" s="185"/>
      <c r="E60" s="185"/>
      <c r="F60" s="512"/>
      <c r="G60" s="513"/>
      <c r="H60" s="513"/>
      <c r="I60" s="513"/>
      <c r="J60" s="513"/>
      <c r="K60" s="513"/>
      <c r="L60" s="513"/>
      <c r="M60" s="514"/>
      <c r="N60" s="184"/>
      <c r="O60" s="190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186"/>
      <c r="D61" s="187"/>
      <c r="E61" s="187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325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188" t="s">
        <v>2</v>
      </c>
      <c r="D63" s="188" t="s">
        <v>37</v>
      </c>
      <c r="E63" s="188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188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330</v>
      </c>
      <c r="D64" s="192"/>
      <c r="E64" s="189" t="s">
        <v>331</v>
      </c>
      <c r="F64" s="497" t="s">
        <v>326</v>
      </c>
      <c r="G64" s="498"/>
      <c r="H64" s="498"/>
      <c r="I64" s="498"/>
      <c r="J64" s="499"/>
      <c r="K64" s="485" t="s">
        <v>327</v>
      </c>
      <c r="L64" s="485"/>
      <c r="M64" s="51" t="s">
        <v>328</v>
      </c>
      <c r="N64" s="494" t="s">
        <v>329</v>
      </c>
      <c r="O64" s="494"/>
      <c r="P64" s="495">
        <v>50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/>
      <c r="D65" s="192"/>
      <c r="E65" s="189"/>
      <c r="F65" s="497"/>
      <c r="G65" s="498"/>
      <c r="H65" s="498"/>
      <c r="I65" s="498"/>
      <c r="J65" s="499"/>
      <c r="K65" s="485"/>
      <c r="L65" s="485"/>
      <c r="M65" s="51"/>
      <c r="N65" s="494"/>
      <c r="O65" s="494"/>
      <c r="P65" s="495"/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/>
      <c r="D66" s="192"/>
      <c r="E66" s="189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192"/>
      <c r="E67" s="189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192"/>
      <c r="E68" s="189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192"/>
      <c r="E69" s="189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192"/>
      <c r="E70" s="189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192"/>
      <c r="E71" s="189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192"/>
      <c r="E72" s="189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192"/>
      <c r="E73" s="189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332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191" t="s">
        <v>2</v>
      </c>
      <c r="D75" s="191" t="s">
        <v>37</v>
      </c>
      <c r="E75" s="191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193" t="s">
        <v>112</v>
      </c>
      <c r="D76" s="193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192"/>
      <c r="D77" s="192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192"/>
      <c r="D78" s="192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192"/>
      <c r="D79" s="192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192"/>
      <c r="D80" s="192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192"/>
      <c r="D81" s="192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192"/>
      <c r="D82" s="192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333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619B-7727-4B06-8EA3-00006A7E9046}">
  <sheetPr codeName="Sheet9"/>
  <dimension ref="A1:AF87"/>
  <sheetViews>
    <sheetView view="pageBreakPreview" topLeftCell="A28" zoomScale="70" zoomScaleNormal="72" zoomScaleSheetLayoutView="70" workbookViewId="0">
      <selection activeCell="N51" sqref="N5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334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06" t="s">
        <v>17</v>
      </c>
      <c r="L5" s="206" t="s">
        <v>18</v>
      </c>
      <c r="M5" s="206" t="s">
        <v>19</v>
      </c>
      <c r="N5" s="20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5509</v>
      </c>
      <c r="K6" s="15">
        <f>L6+5516+6003+6004+2736</f>
        <v>25768</v>
      </c>
      <c r="L6" s="15">
        <f>2985+2524</f>
        <v>5509</v>
      </c>
      <c r="M6" s="15">
        <f t="shared" ref="M6:M21" si="0">L6-N6</f>
        <v>5509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0.640625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0.640625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11544</v>
      </c>
      <c r="K8" s="15">
        <f>L8+8404+12360+9142+12426+5790</f>
        <v>59666</v>
      </c>
      <c r="L8" s="15">
        <f>3262*2+2510*2</f>
        <v>11544</v>
      </c>
      <c r="M8" s="15">
        <f t="shared" si="0"/>
        <v>11544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0.640625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9464</v>
      </c>
      <c r="K9" s="15">
        <f>L9+3600+2490+6946+9726+6834+4580</f>
        <v>43640</v>
      </c>
      <c r="L9" s="15">
        <f>2607*2+2125*2</f>
        <v>9464</v>
      </c>
      <c r="M9" s="15">
        <f t="shared" si="0"/>
        <v>9464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0.640625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11902</v>
      </c>
      <c r="K10" s="15">
        <f>L10+5588+11272+12940+13030+13250</f>
        <v>67982</v>
      </c>
      <c r="L10" s="15">
        <f>3433*2+2518*2</f>
        <v>11902</v>
      </c>
      <c r="M10" s="15">
        <f t="shared" si="0"/>
        <v>11902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0.640625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150</v>
      </c>
      <c r="E11" s="53" t="s">
        <v>248</v>
      </c>
      <c r="F11" s="30" t="s">
        <v>129</v>
      </c>
      <c r="G11" s="33">
        <v>1</v>
      </c>
      <c r="H11" s="35">
        <v>24</v>
      </c>
      <c r="I11" s="7">
        <v>20000</v>
      </c>
      <c r="J11" s="14">
        <v>5515</v>
      </c>
      <c r="K11" s="15">
        <f>L11+3288+5717+5730+2661</f>
        <v>22911</v>
      </c>
      <c r="L11" s="15">
        <f>3030+2485</f>
        <v>5515</v>
      </c>
      <c r="M11" s="15">
        <f t="shared" si="0"/>
        <v>5515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0.640625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6628</v>
      </c>
      <c r="K12" s="15">
        <f>L12+4200+2432+5144+6184+11076+3614</f>
        <v>39278</v>
      </c>
      <c r="L12" s="15">
        <f>2887*2+427*2</f>
        <v>6628</v>
      </c>
      <c r="M12" s="15">
        <f t="shared" si="0"/>
        <v>6628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0.66666666666666663</v>
      </c>
      <c r="AD12" s="10">
        <f t="shared" si="9"/>
        <v>0.66666666666666663</v>
      </c>
      <c r="AE12" s="36">
        <f t="shared" si="7"/>
        <v>0.640625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9774</v>
      </c>
      <c r="K13" s="15">
        <f>L13+10230+8758+7458+4298+5694+7524+3000</f>
        <v>56736</v>
      </c>
      <c r="L13" s="15">
        <f>3008*2+1879*2</f>
        <v>9774</v>
      </c>
      <c r="M13" s="15">
        <f t="shared" si="0"/>
        <v>9774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0.640625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0.640625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7588</v>
      </c>
      <c r="K15" s="15">
        <f>L15+2422</f>
        <v>10010</v>
      </c>
      <c r="L15" s="15">
        <f>2597*2+1197*2</f>
        <v>7588</v>
      </c>
      <c r="M15" s="15">
        <f t="shared" si="0"/>
        <v>7588</v>
      </c>
      <c r="N15" s="15">
        <v>0</v>
      </c>
      <c r="O15" s="58">
        <f t="shared" si="1"/>
        <v>0</v>
      </c>
      <c r="P15" s="39">
        <f t="shared" si="2"/>
        <v>18</v>
      </c>
      <c r="Q15" s="40">
        <f t="shared" si="3"/>
        <v>6</v>
      </c>
      <c r="R15" s="7"/>
      <c r="S15" s="6">
        <v>3</v>
      </c>
      <c r="T15" s="16"/>
      <c r="U15" s="16"/>
      <c r="V15" s="17">
        <v>3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0.75</v>
      </c>
      <c r="AD15" s="10">
        <f t="shared" si="6"/>
        <v>0.75</v>
      </c>
      <c r="AE15" s="36">
        <f t="shared" si="7"/>
        <v>0.640625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0.640625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307</v>
      </c>
      <c r="F17" s="30" t="s">
        <v>140</v>
      </c>
      <c r="G17" s="12">
        <v>1</v>
      </c>
      <c r="H17" s="13">
        <v>24</v>
      </c>
      <c r="I17" s="7">
        <v>1000</v>
      </c>
      <c r="J17" s="14">
        <v>3071</v>
      </c>
      <c r="K17" s="15">
        <f>L17+1840</f>
        <v>4911</v>
      </c>
      <c r="L17" s="15">
        <f>1628+1443</f>
        <v>3071</v>
      </c>
      <c r="M17" s="15">
        <f t="shared" si="0"/>
        <v>3071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>
        <v>8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0.640625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335</v>
      </c>
      <c r="F18" s="30" t="s">
        <v>132</v>
      </c>
      <c r="G18" s="33">
        <v>1</v>
      </c>
      <c r="H18" s="35">
        <v>24</v>
      </c>
      <c r="I18" s="7">
        <v>10000</v>
      </c>
      <c r="J18" s="14">
        <v>3345</v>
      </c>
      <c r="K18" s="15">
        <f>L18</f>
        <v>3345</v>
      </c>
      <c r="L18" s="15">
        <f>484+2861</f>
        <v>3345</v>
      </c>
      <c r="M18" s="15">
        <f t="shared" si="0"/>
        <v>3345</v>
      </c>
      <c r="N18" s="15">
        <v>0</v>
      </c>
      <c r="O18" s="58">
        <f t="shared" si="1"/>
        <v>0</v>
      </c>
      <c r="P18" s="39">
        <f t="shared" si="2"/>
        <v>19</v>
      </c>
      <c r="Q18" s="40">
        <f t="shared" si="3"/>
        <v>5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5</v>
      </c>
      <c r="AB18" s="8">
        <f t="shared" si="4"/>
        <v>1</v>
      </c>
      <c r="AC18" s="9">
        <f t="shared" si="5"/>
        <v>0.79166666666666663</v>
      </c>
      <c r="AD18" s="10">
        <f t="shared" si="6"/>
        <v>0.79166666666666663</v>
      </c>
      <c r="AE18" s="36">
        <f t="shared" si="7"/>
        <v>0.640625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226</v>
      </c>
      <c r="F19" s="30" t="s">
        <v>129</v>
      </c>
      <c r="G19" s="33">
        <v>1</v>
      </c>
      <c r="H19" s="35">
        <v>24</v>
      </c>
      <c r="I19" s="7">
        <v>100</v>
      </c>
      <c r="J19" s="14">
        <v>1611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0.640625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11566</v>
      </c>
      <c r="K20" s="15">
        <f>L20+6852+6648+9128+6400+11510+3498</f>
        <v>55602</v>
      </c>
      <c r="L20" s="15">
        <f>2704*2+3079*2</f>
        <v>11566</v>
      </c>
      <c r="M20" s="15">
        <f t="shared" si="0"/>
        <v>11566</v>
      </c>
      <c r="N20" s="15">
        <v>0</v>
      </c>
      <c r="O20" s="58">
        <f t="shared" si="1"/>
        <v>0</v>
      </c>
      <c r="P20" s="39">
        <f t="shared" si="2"/>
        <v>23</v>
      </c>
      <c r="Q20" s="40">
        <f t="shared" si="3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0.95833333333333337</v>
      </c>
      <c r="AD20" s="10">
        <f t="shared" si="6"/>
        <v>0.95833333333333337</v>
      </c>
      <c r="AE20" s="36">
        <f t="shared" si="7"/>
        <v>0.640625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312</v>
      </c>
      <c r="F21" s="12" t="s">
        <v>114</v>
      </c>
      <c r="G21" s="12">
        <v>4</v>
      </c>
      <c r="H21" s="35">
        <v>20</v>
      </c>
      <c r="I21" s="7">
        <v>500000</v>
      </c>
      <c r="J21" s="14">
        <v>23540</v>
      </c>
      <c r="K21" s="15">
        <f>L21+16128</f>
        <v>39668</v>
      </c>
      <c r="L21" s="15">
        <f>1003*4+4882*4</f>
        <v>23540</v>
      </c>
      <c r="M21" s="15">
        <f t="shared" si="0"/>
        <v>23540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0.640625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2752900</v>
      </c>
      <c r="J22" s="19">
        <f t="shared" si="10"/>
        <v>117181</v>
      </c>
      <c r="K22" s="20">
        <f t="shared" si="10"/>
        <v>448062</v>
      </c>
      <c r="L22" s="21">
        <f t="shared" si="10"/>
        <v>109446</v>
      </c>
      <c r="M22" s="20">
        <f t="shared" si="10"/>
        <v>109446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246</v>
      </c>
      <c r="Q22" s="43">
        <f t="shared" si="11"/>
        <v>138</v>
      </c>
      <c r="R22" s="23">
        <f t="shared" si="11"/>
        <v>24</v>
      </c>
      <c r="S22" s="24">
        <f t="shared" si="11"/>
        <v>47</v>
      </c>
      <c r="T22" s="24">
        <f t="shared" si="11"/>
        <v>0</v>
      </c>
      <c r="U22" s="24">
        <f t="shared" si="11"/>
        <v>0</v>
      </c>
      <c r="V22" s="25">
        <f>SUM(V6:V21)</f>
        <v>14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29</v>
      </c>
      <c r="AB22" s="28">
        <f>AVERAGE(AB6:AB21)</f>
        <v>0.75</v>
      </c>
      <c r="AC22" s="4">
        <f>AVERAGE(AC6:AC21)</f>
        <v>0.640625</v>
      </c>
      <c r="AD22" s="4">
        <f>AVERAGE(AD6:AD21)</f>
        <v>0.640625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336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356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205" t="s">
        <v>46</v>
      </c>
      <c r="D51" s="205" t="s">
        <v>47</v>
      </c>
      <c r="E51" s="205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205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202" t="s">
        <v>144</v>
      </c>
      <c r="D52" s="202" t="s">
        <v>115</v>
      </c>
      <c r="E52" s="202" t="s">
        <v>160</v>
      </c>
      <c r="F52" s="512" t="s">
        <v>261</v>
      </c>
      <c r="G52" s="513"/>
      <c r="H52" s="513"/>
      <c r="I52" s="513"/>
      <c r="J52" s="513"/>
      <c r="K52" s="513"/>
      <c r="L52" s="513"/>
      <c r="M52" s="514"/>
      <c r="N52" s="201" t="s">
        <v>121</v>
      </c>
      <c r="O52" s="199" t="s">
        <v>144</v>
      </c>
      <c r="P52" s="524" t="s">
        <v>115</v>
      </c>
      <c r="Q52" s="525"/>
      <c r="R52" s="524" t="s">
        <v>160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121</v>
      </c>
      <c r="B53" s="511"/>
      <c r="C53" s="202" t="s">
        <v>203</v>
      </c>
      <c r="D53" s="202" t="s">
        <v>115</v>
      </c>
      <c r="E53" s="202" t="s">
        <v>200</v>
      </c>
      <c r="F53" s="512" t="s">
        <v>314</v>
      </c>
      <c r="G53" s="513"/>
      <c r="H53" s="513"/>
      <c r="I53" s="513"/>
      <c r="J53" s="513"/>
      <c r="K53" s="513"/>
      <c r="L53" s="513"/>
      <c r="M53" s="514"/>
      <c r="N53" s="201" t="s">
        <v>112</v>
      </c>
      <c r="O53" s="199" t="s">
        <v>201</v>
      </c>
      <c r="P53" s="524" t="s">
        <v>115</v>
      </c>
      <c r="Q53" s="525"/>
      <c r="R53" s="524" t="s">
        <v>226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112</v>
      </c>
      <c r="B54" s="511"/>
      <c r="C54" s="209" t="s">
        <v>267</v>
      </c>
      <c r="D54" s="209" t="s">
        <v>133</v>
      </c>
      <c r="E54" s="209" t="s">
        <v>151</v>
      </c>
      <c r="F54" s="512" t="s">
        <v>180</v>
      </c>
      <c r="G54" s="513"/>
      <c r="H54" s="513"/>
      <c r="I54" s="513"/>
      <c r="J54" s="513"/>
      <c r="K54" s="513"/>
      <c r="L54" s="513"/>
      <c r="M54" s="514"/>
      <c r="N54" s="201" t="s">
        <v>123</v>
      </c>
      <c r="O54" s="199" t="s">
        <v>148</v>
      </c>
      <c r="P54" s="524"/>
      <c r="Q54" s="525"/>
      <c r="R54" s="524" t="s">
        <v>319</v>
      </c>
      <c r="S54" s="526"/>
      <c r="T54" s="526"/>
      <c r="U54" s="525"/>
      <c r="V54" s="496" t="s">
        <v>320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112</v>
      </c>
      <c r="B55" s="511"/>
      <c r="C55" s="202" t="s">
        <v>174</v>
      </c>
      <c r="D55" s="202" t="s">
        <v>130</v>
      </c>
      <c r="E55" s="202" t="s">
        <v>161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208" t="s">
        <v>112</v>
      </c>
      <c r="O55" s="210" t="s">
        <v>345</v>
      </c>
      <c r="P55" s="524" t="s">
        <v>346</v>
      </c>
      <c r="Q55" s="525"/>
      <c r="R55" s="524" t="s">
        <v>343</v>
      </c>
      <c r="S55" s="526"/>
      <c r="T55" s="526"/>
      <c r="U55" s="525"/>
      <c r="V55" s="496" t="s">
        <v>344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339</v>
      </c>
      <c r="B56" s="511"/>
      <c r="C56" s="202" t="s">
        <v>340</v>
      </c>
      <c r="D56" s="202" t="s">
        <v>341</v>
      </c>
      <c r="E56" s="202" t="s">
        <v>337</v>
      </c>
      <c r="F56" s="512" t="s">
        <v>338</v>
      </c>
      <c r="G56" s="513"/>
      <c r="H56" s="513"/>
      <c r="I56" s="513"/>
      <c r="J56" s="513"/>
      <c r="K56" s="513"/>
      <c r="L56" s="513"/>
      <c r="M56" s="514"/>
      <c r="N56" s="201"/>
      <c r="O56" s="199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202"/>
      <c r="D57" s="202"/>
      <c r="E57" s="202"/>
      <c r="F57" s="512"/>
      <c r="G57" s="513"/>
      <c r="H57" s="513"/>
      <c r="I57" s="513"/>
      <c r="J57" s="513"/>
      <c r="K57" s="513"/>
      <c r="L57" s="513"/>
      <c r="M57" s="514"/>
      <c r="N57" s="201"/>
      <c r="O57" s="199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207"/>
      <c r="D58" s="207"/>
      <c r="E58" s="207"/>
      <c r="F58" s="569"/>
      <c r="G58" s="570"/>
      <c r="H58" s="570"/>
      <c r="I58" s="570"/>
      <c r="J58" s="570"/>
      <c r="K58" s="570"/>
      <c r="L58" s="570"/>
      <c r="M58" s="571"/>
      <c r="N58" s="201"/>
      <c r="O58" s="199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202"/>
      <c r="D59" s="202"/>
      <c r="E59" s="202"/>
      <c r="F59" s="512"/>
      <c r="G59" s="513"/>
      <c r="H59" s="513"/>
      <c r="I59" s="513"/>
      <c r="J59" s="513"/>
      <c r="K59" s="513"/>
      <c r="L59" s="513"/>
      <c r="M59" s="514"/>
      <c r="N59" s="201"/>
      <c r="O59" s="199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202"/>
      <c r="D60" s="202"/>
      <c r="E60" s="202"/>
      <c r="F60" s="512"/>
      <c r="G60" s="513"/>
      <c r="H60" s="513"/>
      <c r="I60" s="513"/>
      <c r="J60" s="513"/>
      <c r="K60" s="513"/>
      <c r="L60" s="513"/>
      <c r="M60" s="514"/>
      <c r="N60" s="201"/>
      <c r="O60" s="199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203"/>
      <c r="D61" s="204"/>
      <c r="E61" s="204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347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200" t="s">
        <v>2</v>
      </c>
      <c r="D63" s="200" t="s">
        <v>37</v>
      </c>
      <c r="E63" s="200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200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121</v>
      </c>
      <c r="D64" s="195"/>
      <c r="E64" s="198" t="s">
        <v>150</v>
      </c>
      <c r="F64" s="497" t="s">
        <v>198</v>
      </c>
      <c r="G64" s="498"/>
      <c r="H64" s="498"/>
      <c r="I64" s="498"/>
      <c r="J64" s="499"/>
      <c r="K64" s="485" t="s">
        <v>124</v>
      </c>
      <c r="L64" s="485"/>
      <c r="M64" s="51" t="s">
        <v>328</v>
      </c>
      <c r="N64" s="494" t="s">
        <v>201</v>
      </c>
      <c r="O64" s="494"/>
      <c r="P64" s="495">
        <v>100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339</v>
      </c>
      <c r="D65" s="195"/>
      <c r="E65" s="198" t="s">
        <v>341</v>
      </c>
      <c r="F65" s="497" t="s">
        <v>348</v>
      </c>
      <c r="G65" s="498"/>
      <c r="H65" s="498"/>
      <c r="I65" s="498"/>
      <c r="J65" s="499"/>
      <c r="K65" s="485">
        <v>7301</v>
      </c>
      <c r="L65" s="485"/>
      <c r="M65" s="51" t="s">
        <v>196</v>
      </c>
      <c r="N65" s="494" t="s">
        <v>340</v>
      </c>
      <c r="O65" s="494"/>
      <c r="P65" s="495">
        <v>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339</v>
      </c>
      <c r="D66" s="195"/>
      <c r="E66" s="198" t="s">
        <v>341</v>
      </c>
      <c r="F66" s="497" t="s">
        <v>337</v>
      </c>
      <c r="G66" s="498"/>
      <c r="H66" s="498"/>
      <c r="I66" s="498"/>
      <c r="J66" s="499"/>
      <c r="K66" s="485">
        <v>7301</v>
      </c>
      <c r="L66" s="485"/>
      <c r="M66" s="51" t="s">
        <v>188</v>
      </c>
      <c r="N66" s="494" t="s">
        <v>340</v>
      </c>
      <c r="O66" s="494"/>
      <c r="P66" s="495">
        <v>50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195"/>
      <c r="E67" s="198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195"/>
      <c r="E68" s="198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195"/>
      <c r="E69" s="198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195"/>
      <c r="E70" s="198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195"/>
      <c r="E71" s="198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195"/>
      <c r="E72" s="198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195"/>
      <c r="E73" s="198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349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197" t="s">
        <v>2</v>
      </c>
      <c r="D75" s="197" t="s">
        <v>37</v>
      </c>
      <c r="E75" s="197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196" t="s">
        <v>112</v>
      </c>
      <c r="D76" s="196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195"/>
      <c r="D77" s="195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195"/>
      <c r="D78" s="195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195"/>
      <c r="D79" s="195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195"/>
      <c r="D80" s="195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195"/>
      <c r="D81" s="195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195"/>
      <c r="D82" s="195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350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98CF-43F0-49D1-AF5B-2CF84E681415}">
  <sheetPr codeName="Sheet10"/>
  <dimension ref="A1:AF89"/>
  <sheetViews>
    <sheetView view="pageBreakPreview" zoomScale="70" zoomScaleNormal="72" zoomScaleSheetLayoutView="70" workbookViewId="0">
      <selection activeCell="T15" sqref="T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351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5272</v>
      </c>
      <c r="K6" s="15">
        <f>L6+5516+6003+6004+2736+5509</f>
        <v>31040</v>
      </c>
      <c r="L6" s="15">
        <f>2546+2726</f>
        <v>5272</v>
      </c>
      <c r="M6" s="15">
        <f t="shared" ref="M6:M23" si="0">L6-N6</f>
        <v>5272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24</v>
      </c>
      <c r="Q6" s="40">
        <f t="shared" ref="Q6:Q23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1</v>
      </c>
      <c r="AD6" s="10">
        <f t="shared" ref="AD6:AD23" si="6">AC6*AB6*(1-O6)</f>
        <v>1</v>
      </c>
      <c r="AE6" s="36">
        <f t="shared" ref="AE6:AE23" si="7">$AD$24</f>
        <v>0.6064814814814814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154</v>
      </c>
      <c r="F7" s="12" t="s">
        <v>156</v>
      </c>
      <c r="G7" s="12">
        <v>1</v>
      </c>
      <c r="H7" s="13">
        <v>24</v>
      </c>
      <c r="I7" s="31">
        <v>15000</v>
      </c>
      <c r="J7" s="14">
        <v>5300</v>
      </c>
      <c r="K7" s="15">
        <f>L7+5902+6277+5300</f>
        <v>17479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0.6064814814814814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12480</v>
      </c>
      <c r="K8" s="15">
        <f>L8+8404+12360+9142+12426+5790+11544</f>
        <v>72146</v>
      </c>
      <c r="L8" s="15">
        <f>3260*2+2980*2</f>
        <v>12480</v>
      </c>
      <c r="M8" s="15">
        <f t="shared" si="0"/>
        <v>12480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0.6064814814814814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9990</v>
      </c>
      <c r="K9" s="15">
        <f>L9+3600+2490+6946+9726+6834+4580+9464</f>
        <v>53630</v>
      </c>
      <c r="L9" s="15">
        <f>2611*2+2384*2</f>
        <v>9990</v>
      </c>
      <c r="M9" s="15">
        <f t="shared" si="0"/>
        <v>9990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0.6064814814814814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13058</v>
      </c>
      <c r="K10" s="15">
        <f>L10+5588+11272+12940+13030+13250+11902</f>
        <v>81040</v>
      </c>
      <c r="L10" s="15">
        <f>3423*2+3106*2</f>
        <v>13058</v>
      </c>
      <c r="M10" s="15">
        <f t="shared" si="0"/>
        <v>13058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0.6064814814814814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150</v>
      </c>
      <c r="E11" s="53" t="s">
        <v>248</v>
      </c>
      <c r="F11" s="30" t="s">
        <v>129</v>
      </c>
      <c r="G11" s="33">
        <v>1</v>
      </c>
      <c r="H11" s="35">
        <v>24</v>
      </c>
      <c r="I11" s="7">
        <v>20000</v>
      </c>
      <c r="J11" s="14">
        <v>1195</v>
      </c>
      <c r="K11" s="15">
        <f>L11+3288+5717+5730+2661+5515</f>
        <v>24106</v>
      </c>
      <c r="L11" s="15">
        <v>1195</v>
      </c>
      <c r="M11" s="15">
        <f t="shared" si="0"/>
        <v>1195</v>
      </c>
      <c r="N11" s="15">
        <v>0</v>
      </c>
      <c r="O11" s="58">
        <f t="shared" si="1"/>
        <v>0</v>
      </c>
      <c r="P11" s="39">
        <f t="shared" si="2"/>
        <v>6</v>
      </c>
      <c r="Q11" s="40">
        <f t="shared" si="3"/>
        <v>18</v>
      </c>
      <c r="R11" s="7"/>
      <c r="S11" s="6"/>
      <c r="T11" s="16"/>
      <c r="U11" s="16"/>
      <c r="V11" s="17"/>
      <c r="W11" s="5">
        <v>18</v>
      </c>
      <c r="X11" s="16"/>
      <c r="Y11" s="16"/>
      <c r="Z11" s="16"/>
      <c r="AA11" s="18"/>
      <c r="AB11" s="8">
        <f t="shared" si="4"/>
        <v>1</v>
      </c>
      <c r="AC11" s="9">
        <f t="shared" si="5"/>
        <v>0.25</v>
      </c>
      <c r="AD11" s="10">
        <f t="shared" ref="AD11:AD15" si="9">AC11*AB11*(1-O11)</f>
        <v>0.25</v>
      </c>
      <c r="AE11" s="36">
        <f t="shared" si="7"/>
        <v>0.6064814814814814</v>
      </c>
      <c r="AF11" s="84">
        <f t="shared" si="8"/>
        <v>6</v>
      </c>
    </row>
    <row r="12" spans="1:32" ht="27" customHeight="1">
      <c r="A12" s="96">
        <v>6</v>
      </c>
      <c r="B12" s="11" t="s">
        <v>57</v>
      </c>
      <c r="C12" s="11" t="s">
        <v>121</v>
      </c>
      <c r="D12" s="52" t="s">
        <v>115</v>
      </c>
      <c r="E12" s="53" t="s">
        <v>269</v>
      </c>
      <c r="F12" s="30" t="s">
        <v>119</v>
      </c>
      <c r="G12" s="33">
        <v>1</v>
      </c>
      <c r="H12" s="35">
        <v>24</v>
      </c>
      <c r="I12" s="7">
        <v>1000</v>
      </c>
      <c r="J12" s="14">
        <v>1773</v>
      </c>
      <c r="K12" s="15">
        <f>L12</f>
        <v>1773</v>
      </c>
      <c r="L12" s="15">
        <f>1274+499</f>
        <v>1773</v>
      </c>
      <c r="M12" s="15">
        <f t="shared" ref="M12" si="10">L12-N12</f>
        <v>1773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9</v>
      </c>
      <c r="Q12" s="40">
        <f t="shared" ref="Q12" si="13">SUM(R12:AA12)</f>
        <v>15</v>
      </c>
      <c r="R12" s="7"/>
      <c r="S12" s="6"/>
      <c r="T12" s="16">
        <v>8</v>
      </c>
      <c r="U12" s="16"/>
      <c r="V12" s="17"/>
      <c r="W12" s="5">
        <v>7</v>
      </c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0.375</v>
      </c>
      <c r="AD12" s="10">
        <f t="shared" ref="AD12" si="16">AC12*AB12*(1-O12)</f>
        <v>0.375</v>
      </c>
      <c r="AE12" s="36">
        <f t="shared" si="7"/>
        <v>0.6064814814814814</v>
      </c>
      <c r="AF12" s="84">
        <f t="shared" ref="AF12" si="17">A12</f>
        <v>6</v>
      </c>
    </row>
    <row r="13" spans="1:32" ht="27" customHeight="1">
      <c r="A13" s="96">
        <v>7</v>
      </c>
      <c r="B13" s="11" t="s">
        <v>57</v>
      </c>
      <c r="C13" s="11" t="s">
        <v>112</v>
      </c>
      <c r="D13" s="52" t="s">
        <v>133</v>
      </c>
      <c r="E13" s="53" t="s">
        <v>151</v>
      </c>
      <c r="F13" s="30" t="s">
        <v>131</v>
      </c>
      <c r="G13" s="33">
        <v>2</v>
      </c>
      <c r="H13" s="35">
        <v>24</v>
      </c>
      <c r="I13" s="7">
        <v>73000</v>
      </c>
      <c r="J13" s="14">
        <v>6254</v>
      </c>
      <c r="K13" s="15">
        <f>L13+4200+2432+5144+6184+11076+3614+6628</f>
        <v>45532</v>
      </c>
      <c r="L13" s="15">
        <f>3127*2</f>
        <v>6254</v>
      </c>
      <c r="M13" s="15">
        <f t="shared" si="0"/>
        <v>6254</v>
      </c>
      <c r="N13" s="15">
        <v>0</v>
      </c>
      <c r="O13" s="58">
        <f t="shared" si="1"/>
        <v>0</v>
      </c>
      <c r="P13" s="39">
        <f t="shared" si="2"/>
        <v>16</v>
      </c>
      <c r="Q13" s="40">
        <f t="shared" si="3"/>
        <v>8</v>
      </c>
      <c r="R13" s="7"/>
      <c r="S13" s="6">
        <v>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0.66666666666666663</v>
      </c>
      <c r="AD13" s="10">
        <f t="shared" si="9"/>
        <v>0.66666666666666663</v>
      </c>
      <c r="AE13" s="36">
        <f t="shared" si="7"/>
        <v>0.6064814814814814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160</v>
      </c>
      <c r="F14" s="30" t="s">
        <v>124</v>
      </c>
      <c r="G14" s="33">
        <v>2</v>
      </c>
      <c r="H14" s="35">
        <v>24</v>
      </c>
      <c r="I14" s="7">
        <v>120000</v>
      </c>
      <c r="J14" s="5">
        <v>6592</v>
      </c>
      <c r="K14" s="15">
        <f>L14+10230+8758+7458+4298+5694+7524+3000+9774</f>
        <v>63328</v>
      </c>
      <c r="L14" s="15">
        <f>3296*2</f>
        <v>6592</v>
      </c>
      <c r="M14" s="15">
        <f t="shared" si="0"/>
        <v>6592</v>
      </c>
      <c r="N14" s="15">
        <v>0</v>
      </c>
      <c r="O14" s="58">
        <f t="shared" si="1"/>
        <v>0</v>
      </c>
      <c r="P14" s="39">
        <f t="shared" si="2"/>
        <v>16</v>
      </c>
      <c r="Q14" s="40">
        <f t="shared" si="3"/>
        <v>8</v>
      </c>
      <c r="R14" s="7"/>
      <c r="S14" s="6">
        <v>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0.66666666666666663</v>
      </c>
      <c r="AD14" s="10">
        <f>AC14*AB14*(1-O14)</f>
        <v>0.66666666666666663</v>
      </c>
      <c r="AE14" s="36">
        <f t="shared" si="7"/>
        <v>0.6064814814814814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236</v>
      </c>
      <c r="F15" s="30" t="s">
        <v>249</v>
      </c>
      <c r="G15" s="33">
        <v>1</v>
      </c>
      <c r="H15" s="35">
        <v>24</v>
      </c>
      <c r="I15" s="7">
        <v>300</v>
      </c>
      <c r="J15" s="5">
        <v>329</v>
      </c>
      <c r="K15" s="15">
        <f>L15+242+329</f>
        <v>571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0.6064814814814814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112</v>
      </c>
      <c r="D16" s="52" t="s">
        <v>130</v>
      </c>
      <c r="E16" s="53" t="s">
        <v>161</v>
      </c>
      <c r="F16" s="12">
        <v>8301</v>
      </c>
      <c r="G16" s="12">
        <v>1</v>
      </c>
      <c r="H16" s="13">
        <v>24</v>
      </c>
      <c r="I16" s="31">
        <v>73000</v>
      </c>
      <c r="J16" s="14">
        <v>11556</v>
      </c>
      <c r="K16" s="15">
        <f>L16+2422+7588</f>
        <v>21566</v>
      </c>
      <c r="L16" s="15">
        <f>3032*2+2746*2</f>
        <v>11556</v>
      </c>
      <c r="M16" s="15">
        <f t="shared" si="0"/>
        <v>11556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0.6064814814814814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215</v>
      </c>
      <c r="E17" s="53" t="s">
        <v>216</v>
      </c>
      <c r="F17" s="30" t="s">
        <v>225</v>
      </c>
      <c r="G17" s="12">
        <v>1</v>
      </c>
      <c r="H17" s="13">
        <v>24</v>
      </c>
      <c r="I17" s="7">
        <v>500</v>
      </c>
      <c r="J17" s="14">
        <v>495</v>
      </c>
      <c r="K17" s="15">
        <f>L17+495</f>
        <v>495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0.6064814814814814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123</v>
      </c>
      <c r="D18" s="52"/>
      <c r="E18" s="53" t="s">
        <v>162</v>
      </c>
      <c r="F18" s="30" t="s">
        <v>140</v>
      </c>
      <c r="G18" s="12">
        <v>1</v>
      </c>
      <c r="H18" s="13">
        <v>24</v>
      </c>
      <c r="I18" s="7">
        <v>5500</v>
      </c>
      <c r="J18" s="14">
        <v>3532</v>
      </c>
      <c r="K18" s="15">
        <f>L18</f>
        <v>3532</v>
      </c>
      <c r="L18" s="15">
        <f>2570+962</f>
        <v>3532</v>
      </c>
      <c r="M18" s="15">
        <f t="shared" si="0"/>
        <v>3532</v>
      </c>
      <c r="N18" s="15">
        <v>0</v>
      </c>
      <c r="O18" s="58">
        <f t="shared" si="1"/>
        <v>0</v>
      </c>
      <c r="P18" s="39">
        <f t="shared" si="2"/>
        <v>20</v>
      </c>
      <c r="Q18" s="40">
        <f t="shared" si="3"/>
        <v>4</v>
      </c>
      <c r="R18" s="7"/>
      <c r="S18" s="6">
        <v>4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6">
        <f t="shared" si="7"/>
        <v>0.6064814814814814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335</v>
      </c>
      <c r="F19" s="30" t="s">
        <v>132</v>
      </c>
      <c r="G19" s="33">
        <v>1</v>
      </c>
      <c r="H19" s="35">
        <v>24</v>
      </c>
      <c r="I19" s="7">
        <v>10000</v>
      </c>
      <c r="J19" s="14">
        <v>2635</v>
      </c>
      <c r="K19" s="15">
        <f>L19+3345</f>
        <v>5980</v>
      </c>
      <c r="L19" s="15">
        <f>2510+125</f>
        <v>2635</v>
      </c>
      <c r="M19" s="15">
        <f t="shared" si="0"/>
        <v>2635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5</v>
      </c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0.6064814814814814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226</v>
      </c>
      <c r="F20" s="30" t="s">
        <v>129</v>
      </c>
      <c r="G20" s="33">
        <v>1</v>
      </c>
      <c r="H20" s="35">
        <v>24</v>
      </c>
      <c r="I20" s="7">
        <v>100</v>
      </c>
      <c r="J20" s="14">
        <v>157</v>
      </c>
      <c r="K20" s="15">
        <f>L20</f>
        <v>157</v>
      </c>
      <c r="L20" s="15">
        <v>157</v>
      </c>
      <c r="M20" s="15">
        <f t="shared" ref="M20" si="18">L20-N20</f>
        <v>157</v>
      </c>
      <c r="N20" s="15">
        <v>0</v>
      </c>
      <c r="O20" s="58">
        <f t="shared" ref="O20" si="19">IF(L20=0,"0",N20/L20)</f>
        <v>0</v>
      </c>
      <c r="P20" s="39">
        <f t="shared" ref="P20" si="20">IF(L20=0,"0",(24-Q20))</f>
        <v>3</v>
      </c>
      <c r="Q20" s="40">
        <f t="shared" ref="Q20" si="21">SUM(R20:AA20)</f>
        <v>21</v>
      </c>
      <c r="R20" s="7"/>
      <c r="S20" s="6"/>
      <c r="T20" s="16"/>
      <c r="U20" s="16"/>
      <c r="V20" s="17"/>
      <c r="W20" s="5">
        <v>21</v>
      </c>
      <c r="X20" s="16"/>
      <c r="Y20" s="16"/>
      <c r="Z20" s="16"/>
      <c r="AA20" s="18"/>
      <c r="AB20" s="8">
        <f t="shared" ref="AB20" si="22">IF(J20=0,"0",(L20/J20))</f>
        <v>1</v>
      </c>
      <c r="AC20" s="9">
        <f t="shared" ref="AC20" si="23">IF(P20=0,"0",(P20/24))</f>
        <v>0.125</v>
      </c>
      <c r="AD20" s="10">
        <f t="shared" ref="AD20" si="24">AC20*AB20*(1-O20)</f>
        <v>0.125</v>
      </c>
      <c r="AE20" s="36">
        <f t="shared" si="7"/>
        <v>0.6064814814814814</v>
      </c>
      <c r="AF20" s="84">
        <f t="shared" ref="AF20" si="25">A20</f>
        <v>14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346</v>
      </c>
      <c r="E21" s="53" t="s">
        <v>343</v>
      </c>
      <c r="F21" s="30" t="s">
        <v>352</v>
      </c>
      <c r="G21" s="33">
        <v>1</v>
      </c>
      <c r="H21" s="35">
        <v>24</v>
      </c>
      <c r="I21" s="7">
        <v>3500</v>
      </c>
      <c r="J21" s="14">
        <v>3192</v>
      </c>
      <c r="K21" s="15">
        <f>L21</f>
        <v>3192</v>
      </c>
      <c r="L21" s="15">
        <f>984+2208</f>
        <v>3192</v>
      </c>
      <c r="M21" s="15">
        <f t="shared" si="0"/>
        <v>3192</v>
      </c>
      <c r="N21" s="15">
        <v>0</v>
      </c>
      <c r="O21" s="58">
        <f t="shared" si="1"/>
        <v>0</v>
      </c>
      <c r="P21" s="39">
        <f t="shared" si="2"/>
        <v>19</v>
      </c>
      <c r="Q21" s="40">
        <f t="shared" si="3"/>
        <v>5</v>
      </c>
      <c r="R21" s="7"/>
      <c r="S21" s="6"/>
      <c r="T21" s="16">
        <v>5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0.79166666666666663</v>
      </c>
      <c r="AD21" s="10">
        <f t="shared" si="6"/>
        <v>0.79166666666666663</v>
      </c>
      <c r="AE21" s="36">
        <f t="shared" si="7"/>
        <v>0.6064814814814814</v>
      </c>
      <c r="AF21" s="84">
        <f t="shared" si="8"/>
        <v>14</v>
      </c>
    </row>
    <row r="22" spans="1:32" ht="27" customHeight="1">
      <c r="A22" s="113">
        <v>15</v>
      </c>
      <c r="B22" s="11" t="s">
        <v>57</v>
      </c>
      <c r="C22" s="34" t="s">
        <v>121</v>
      </c>
      <c r="D22" s="52" t="s">
        <v>115</v>
      </c>
      <c r="E22" s="53" t="s">
        <v>200</v>
      </c>
      <c r="F22" s="30" t="s">
        <v>124</v>
      </c>
      <c r="G22" s="12">
        <v>2</v>
      </c>
      <c r="H22" s="13">
        <v>28</v>
      </c>
      <c r="I22" s="31">
        <v>400000</v>
      </c>
      <c r="J22" s="5">
        <v>8822</v>
      </c>
      <c r="K22" s="15">
        <f>L22+6852+6648+9128+6400+11510+3498+11566</f>
        <v>64424</v>
      </c>
      <c r="L22" s="15">
        <f>1210*2+3201*2</f>
        <v>8822</v>
      </c>
      <c r="M22" s="15">
        <f t="shared" si="0"/>
        <v>8822</v>
      </c>
      <c r="N22" s="15">
        <v>0</v>
      </c>
      <c r="O22" s="58">
        <f t="shared" si="1"/>
        <v>0</v>
      </c>
      <c r="P22" s="39">
        <f t="shared" si="2"/>
        <v>21</v>
      </c>
      <c r="Q22" s="40">
        <f t="shared" si="3"/>
        <v>3</v>
      </c>
      <c r="R22" s="7"/>
      <c r="S22" s="6">
        <v>3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0.875</v>
      </c>
      <c r="AD22" s="10">
        <f t="shared" si="6"/>
        <v>0.875</v>
      </c>
      <c r="AE22" s="36">
        <f t="shared" si="7"/>
        <v>0.6064814814814814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312</v>
      </c>
      <c r="F23" s="12" t="s">
        <v>114</v>
      </c>
      <c r="G23" s="12">
        <v>4</v>
      </c>
      <c r="H23" s="35">
        <v>20</v>
      </c>
      <c r="I23" s="7">
        <v>500000</v>
      </c>
      <c r="J23" s="14">
        <v>28060</v>
      </c>
      <c r="K23" s="15">
        <f>L23+16128+23540</f>
        <v>67728</v>
      </c>
      <c r="L23" s="15">
        <f>5590*4+1425*4</f>
        <v>28060</v>
      </c>
      <c r="M23" s="15">
        <f t="shared" si="0"/>
        <v>28060</v>
      </c>
      <c r="N23" s="15">
        <v>0</v>
      </c>
      <c r="O23" s="58">
        <f t="shared" si="1"/>
        <v>0</v>
      </c>
      <c r="P23" s="39">
        <f t="shared" si="2"/>
        <v>13</v>
      </c>
      <c r="Q23" s="40">
        <f t="shared" si="3"/>
        <v>11</v>
      </c>
      <c r="R23" s="7"/>
      <c r="S23" s="6"/>
      <c r="T23" s="16"/>
      <c r="U23" s="16"/>
      <c r="V23" s="17">
        <v>11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0.54166666666666663</v>
      </c>
      <c r="AD23" s="10">
        <f t="shared" si="6"/>
        <v>0.54166666666666663</v>
      </c>
      <c r="AE23" s="36">
        <f t="shared" si="7"/>
        <v>0.6064814814814814</v>
      </c>
      <c r="AF23" s="84">
        <f t="shared" si="8"/>
        <v>16</v>
      </c>
    </row>
    <row r="24" spans="1:32" ht="31.5" customHeight="1" thickBot="1">
      <c r="A24" s="529" t="s">
        <v>34</v>
      </c>
      <c r="B24" s="530"/>
      <c r="C24" s="530"/>
      <c r="D24" s="530"/>
      <c r="E24" s="530"/>
      <c r="F24" s="530"/>
      <c r="G24" s="530"/>
      <c r="H24" s="531"/>
      <c r="I24" s="22">
        <f t="shared" ref="I24:N24" si="26">SUM(I6:I23)</f>
        <v>2761900</v>
      </c>
      <c r="J24" s="19">
        <f t="shared" si="26"/>
        <v>120692</v>
      </c>
      <c r="K24" s="20">
        <f t="shared" si="26"/>
        <v>557719</v>
      </c>
      <c r="L24" s="21">
        <f t="shared" si="26"/>
        <v>114568</v>
      </c>
      <c r="M24" s="20">
        <f t="shared" si="26"/>
        <v>114568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262</v>
      </c>
      <c r="Q24" s="43">
        <f t="shared" si="27"/>
        <v>170</v>
      </c>
      <c r="R24" s="23">
        <f t="shared" si="27"/>
        <v>24</v>
      </c>
      <c r="S24" s="24">
        <f t="shared" si="27"/>
        <v>23</v>
      </c>
      <c r="T24" s="24">
        <f t="shared" si="27"/>
        <v>13</v>
      </c>
      <c r="U24" s="24">
        <f t="shared" si="27"/>
        <v>0</v>
      </c>
      <c r="V24" s="25">
        <f>SUM(V6:V23)</f>
        <v>11</v>
      </c>
      <c r="W24" s="26">
        <f t="shared" si="27"/>
        <v>70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29</v>
      </c>
      <c r="AB24" s="28">
        <f>AVERAGE(AB6:AB23)</f>
        <v>0.83333333333333337</v>
      </c>
      <c r="AC24" s="4">
        <f>AVERAGE(AC6:AC23)</f>
        <v>0.6064814814814814</v>
      </c>
      <c r="AD24" s="4">
        <f>AVERAGE(AD6:AD23)</f>
        <v>0.6064814814814814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32" t="s">
        <v>45</v>
      </c>
      <c r="B51" s="532"/>
      <c r="C51" s="532"/>
      <c r="D51" s="532"/>
      <c r="E51" s="532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33" t="s">
        <v>355</v>
      </c>
      <c r="B52" s="534"/>
      <c r="C52" s="534"/>
      <c r="D52" s="534"/>
      <c r="E52" s="534"/>
      <c r="F52" s="534"/>
      <c r="G52" s="534"/>
      <c r="H52" s="534"/>
      <c r="I52" s="534"/>
      <c r="J52" s="534"/>
      <c r="K52" s="534"/>
      <c r="L52" s="534"/>
      <c r="M52" s="535"/>
      <c r="N52" s="536" t="s">
        <v>342</v>
      </c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8"/>
    </row>
    <row r="53" spans="1:32" ht="27" customHeight="1">
      <c r="A53" s="539" t="s">
        <v>2</v>
      </c>
      <c r="B53" s="540"/>
      <c r="C53" s="221" t="s">
        <v>46</v>
      </c>
      <c r="D53" s="221" t="s">
        <v>47</v>
      </c>
      <c r="E53" s="221" t="s">
        <v>107</v>
      </c>
      <c r="F53" s="541" t="s">
        <v>106</v>
      </c>
      <c r="G53" s="542"/>
      <c r="H53" s="542"/>
      <c r="I53" s="542"/>
      <c r="J53" s="542"/>
      <c r="K53" s="542"/>
      <c r="L53" s="542"/>
      <c r="M53" s="543"/>
      <c r="N53" s="67" t="s">
        <v>110</v>
      </c>
      <c r="O53" s="221" t="s">
        <v>46</v>
      </c>
      <c r="P53" s="541" t="s">
        <v>47</v>
      </c>
      <c r="Q53" s="544"/>
      <c r="R53" s="541" t="s">
        <v>38</v>
      </c>
      <c r="S53" s="542"/>
      <c r="T53" s="542"/>
      <c r="U53" s="544"/>
      <c r="V53" s="541" t="s">
        <v>48</v>
      </c>
      <c r="W53" s="542"/>
      <c r="X53" s="542"/>
      <c r="Y53" s="542"/>
      <c r="Z53" s="542"/>
      <c r="AA53" s="542"/>
      <c r="AB53" s="542"/>
      <c r="AC53" s="542"/>
      <c r="AD53" s="543"/>
    </row>
    <row r="54" spans="1:32" ht="27" customHeight="1">
      <c r="A54" s="510" t="s">
        <v>121</v>
      </c>
      <c r="B54" s="511"/>
      <c r="C54" s="218" t="s">
        <v>144</v>
      </c>
      <c r="D54" s="218" t="s">
        <v>115</v>
      </c>
      <c r="E54" s="218" t="s">
        <v>160</v>
      </c>
      <c r="F54" s="512" t="s">
        <v>261</v>
      </c>
      <c r="G54" s="513"/>
      <c r="H54" s="513"/>
      <c r="I54" s="513"/>
      <c r="J54" s="513"/>
      <c r="K54" s="513"/>
      <c r="L54" s="513"/>
      <c r="M54" s="514"/>
      <c r="N54" s="217" t="s">
        <v>121</v>
      </c>
      <c r="O54" s="215" t="s">
        <v>144</v>
      </c>
      <c r="P54" s="524" t="s">
        <v>115</v>
      </c>
      <c r="Q54" s="525"/>
      <c r="R54" s="524" t="s">
        <v>160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121</v>
      </c>
      <c r="B55" s="511"/>
      <c r="C55" s="218" t="s">
        <v>203</v>
      </c>
      <c r="D55" s="218" t="s">
        <v>115</v>
      </c>
      <c r="E55" s="218" t="s">
        <v>200</v>
      </c>
      <c r="F55" s="512" t="s">
        <v>232</v>
      </c>
      <c r="G55" s="513"/>
      <c r="H55" s="513"/>
      <c r="I55" s="513"/>
      <c r="J55" s="513"/>
      <c r="K55" s="513"/>
      <c r="L55" s="513"/>
      <c r="M55" s="514"/>
      <c r="N55" s="217" t="s">
        <v>120</v>
      </c>
      <c r="O55" s="215" t="s">
        <v>169</v>
      </c>
      <c r="P55" s="524" t="s">
        <v>150</v>
      </c>
      <c r="Q55" s="525"/>
      <c r="R55" s="524" t="s">
        <v>357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72" t="s">
        <v>123</v>
      </c>
      <c r="B56" s="525"/>
      <c r="C56" s="218" t="s">
        <v>148</v>
      </c>
      <c r="D56" s="218"/>
      <c r="E56" s="218" t="s">
        <v>162</v>
      </c>
      <c r="F56" s="512" t="s">
        <v>354</v>
      </c>
      <c r="G56" s="513"/>
      <c r="H56" s="513"/>
      <c r="I56" s="513"/>
      <c r="J56" s="513"/>
      <c r="K56" s="513"/>
      <c r="L56" s="513"/>
      <c r="M56" s="514"/>
      <c r="N56" s="217" t="s">
        <v>120</v>
      </c>
      <c r="O56" s="215" t="s">
        <v>201</v>
      </c>
      <c r="P56" s="524" t="s">
        <v>215</v>
      </c>
      <c r="Q56" s="525"/>
      <c r="R56" s="524" t="s">
        <v>358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72" t="s">
        <v>112</v>
      </c>
      <c r="B57" s="525"/>
      <c r="C57" s="218" t="s">
        <v>201</v>
      </c>
      <c r="D57" s="218" t="s">
        <v>346</v>
      </c>
      <c r="E57" s="218" t="s">
        <v>343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217"/>
      <c r="O57" s="215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112</v>
      </c>
      <c r="B58" s="511"/>
      <c r="C58" s="218" t="s">
        <v>267</v>
      </c>
      <c r="D58" s="218" t="s">
        <v>133</v>
      </c>
      <c r="E58" s="218" t="s">
        <v>151</v>
      </c>
      <c r="F58" s="512" t="s">
        <v>353</v>
      </c>
      <c r="G58" s="513"/>
      <c r="H58" s="513"/>
      <c r="I58" s="513"/>
      <c r="J58" s="513"/>
      <c r="K58" s="513"/>
      <c r="L58" s="513"/>
      <c r="M58" s="514"/>
      <c r="N58" s="217"/>
      <c r="O58" s="215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 t="s">
        <v>112</v>
      </c>
      <c r="B59" s="511"/>
      <c r="C59" s="218" t="s">
        <v>201</v>
      </c>
      <c r="D59" s="218" t="s">
        <v>115</v>
      </c>
      <c r="E59" s="218" t="s">
        <v>226</v>
      </c>
      <c r="F59" s="512" t="s">
        <v>118</v>
      </c>
      <c r="G59" s="513"/>
      <c r="H59" s="513"/>
      <c r="I59" s="513"/>
      <c r="J59" s="513"/>
      <c r="K59" s="513"/>
      <c r="L59" s="513"/>
      <c r="M59" s="514"/>
      <c r="N59" s="217"/>
      <c r="O59" s="215"/>
      <c r="P59" s="524"/>
      <c r="Q59" s="525"/>
      <c r="R59" s="524"/>
      <c r="S59" s="526"/>
      <c r="T59" s="526"/>
      <c r="U59" s="525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/>
      <c r="B60" s="568"/>
      <c r="C60" s="223"/>
      <c r="D60" s="223"/>
      <c r="E60" s="223"/>
      <c r="F60" s="569"/>
      <c r="G60" s="570"/>
      <c r="H60" s="570"/>
      <c r="I60" s="570"/>
      <c r="J60" s="570"/>
      <c r="K60" s="570"/>
      <c r="L60" s="570"/>
      <c r="M60" s="571"/>
      <c r="N60" s="217"/>
      <c r="O60" s="215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218"/>
      <c r="D61" s="218"/>
      <c r="E61" s="218"/>
      <c r="F61" s="512"/>
      <c r="G61" s="513"/>
      <c r="H61" s="513"/>
      <c r="I61" s="513"/>
      <c r="J61" s="513"/>
      <c r="K61" s="513"/>
      <c r="L61" s="513"/>
      <c r="M61" s="514"/>
      <c r="N61" s="217"/>
      <c r="O61" s="215"/>
      <c r="P61" s="524"/>
      <c r="Q61" s="525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</row>
    <row r="62" spans="1:32" ht="27" customHeight="1">
      <c r="A62" s="510"/>
      <c r="B62" s="511"/>
      <c r="C62" s="218"/>
      <c r="D62" s="218"/>
      <c r="E62" s="218"/>
      <c r="F62" s="512"/>
      <c r="G62" s="513"/>
      <c r="H62" s="513"/>
      <c r="I62" s="513"/>
      <c r="J62" s="513"/>
      <c r="K62" s="513"/>
      <c r="L62" s="513"/>
      <c r="M62" s="514"/>
      <c r="N62" s="217"/>
      <c r="O62" s="215"/>
      <c r="P62" s="511"/>
      <c r="Q62" s="511"/>
      <c r="R62" s="511"/>
      <c r="S62" s="511"/>
      <c r="T62" s="511"/>
      <c r="U62" s="511"/>
      <c r="V62" s="496"/>
      <c r="W62" s="496"/>
      <c r="X62" s="496"/>
      <c r="Y62" s="496"/>
      <c r="Z62" s="496"/>
      <c r="AA62" s="496"/>
      <c r="AB62" s="496"/>
      <c r="AC62" s="496"/>
      <c r="AD62" s="515"/>
      <c r="AF62" s="84">
        <f>8*3000</f>
        <v>24000</v>
      </c>
    </row>
    <row r="63" spans="1:32" ht="27" customHeight="1" thickBot="1">
      <c r="A63" s="516"/>
      <c r="B63" s="517"/>
      <c r="C63" s="219"/>
      <c r="D63" s="220"/>
      <c r="E63" s="220"/>
      <c r="F63" s="518"/>
      <c r="G63" s="519"/>
      <c r="H63" s="519"/>
      <c r="I63" s="519"/>
      <c r="J63" s="519"/>
      <c r="K63" s="519"/>
      <c r="L63" s="519"/>
      <c r="M63" s="520"/>
      <c r="N63" s="112"/>
      <c r="O63" s="103"/>
      <c r="P63" s="521"/>
      <c r="Q63" s="521"/>
      <c r="R63" s="521"/>
      <c r="S63" s="521"/>
      <c r="T63" s="521"/>
      <c r="U63" s="521"/>
      <c r="V63" s="522"/>
      <c r="W63" s="522"/>
      <c r="X63" s="522"/>
      <c r="Y63" s="522"/>
      <c r="Z63" s="522"/>
      <c r="AA63" s="522"/>
      <c r="AB63" s="522"/>
      <c r="AC63" s="522"/>
      <c r="AD63" s="523"/>
      <c r="AF63" s="84">
        <f>16*3000</f>
        <v>48000</v>
      </c>
    </row>
    <row r="64" spans="1:32" ht="27.75" thickBot="1">
      <c r="A64" s="508" t="s">
        <v>359</v>
      </c>
      <c r="B64" s="508"/>
      <c r="C64" s="508"/>
      <c r="D64" s="508"/>
      <c r="E64" s="508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09" t="s">
        <v>111</v>
      </c>
      <c r="B65" s="503"/>
      <c r="C65" s="216" t="s">
        <v>2</v>
      </c>
      <c r="D65" s="216" t="s">
        <v>37</v>
      </c>
      <c r="E65" s="216" t="s">
        <v>3</v>
      </c>
      <c r="F65" s="503" t="s">
        <v>109</v>
      </c>
      <c r="G65" s="503"/>
      <c r="H65" s="503"/>
      <c r="I65" s="503"/>
      <c r="J65" s="503"/>
      <c r="K65" s="503" t="s">
        <v>39</v>
      </c>
      <c r="L65" s="503"/>
      <c r="M65" s="216" t="s">
        <v>40</v>
      </c>
      <c r="N65" s="503" t="s">
        <v>41</v>
      </c>
      <c r="O65" s="503"/>
      <c r="P65" s="500" t="s">
        <v>42</v>
      </c>
      <c r="Q65" s="502"/>
      <c r="R65" s="500" t="s">
        <v>43</v>
      </c>
      <c r="S65" s="501"/>
      <c r="T65" s="501"/>
      <c r="U65" s="501"/>
      <c r="V65" s="501"/>
      <c r="W65" s="501"/>
      <c r="X65" s="501"/>
      <c r="Y65" s="501"/>
      <c r="Z65" s="501"/>
      <c r="AA65" s="502"/>
      <c r="AB65" s="503" t="s">
        <v>44</v>
      </c>
      <c r="AC65" s="503"/>
      <c r="AD65" s="504"/>
      <c r="AF65" s="84">
        <f>SUM(AF62:AF64)</f>
        <v>96000</v>
      </c>
    </row>
    <row r="66" spans="1:32" ht="25.5" customHeight="1">
      <c r="A66" s="491">
        <v>1</v>
      </c>
      <c r="B66" s="492"/>
      <c r="C66" s="105"/>
      <c r="D66" s="211"/>
      <c r="E66" s="214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505"/>
      <c r="AC66" s="506"/>
      <c r="AD66" s="507"/>
      <c r="AF66" s="50"/>
    </row>
    <row r="67" spans="1:32" ht="25.5" customHeight="1">
      <c r="A67" s="491">
        <v>2</v>
      </c>
      <c r="B67" s="492"/>
      <c r="C67" s="105"/>
      <c r="D67" s="211"/>
      <c r="E67" s="214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3</v>
      </c>
      <c r="B68" s="492"/>
      <c r="C68" s="105"/>
      <c r="D68" s="211"/>
      <c r="E68" s="214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4</v>
      </c>
      <c r="B69" s="492"/>
      <c r="C69" s="105"/>
      <c r="D69" s="211"/>
      <c r="E69" s="214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5</v>
      </c>
      <c r="B70" s="492"/>
      <c r="C70" s="105"/>
      <c r="D70" s="211"/>
      <c r="E70" s="214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6</v>
      </c>
      <c r="B71" s="492"/>
      <c r="C71" s="105"/>
      <c r="D71" s="211"/>
      <c r="E71" s="214"/>
      <c r="F71" s="497"/>
      <c r="G71" s="498"/>
      <c r="H71" s="498"/>
      <c r="I71" s="498"/>
      <c r="J71" s="499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7</v>
      </c>
      <c r="B72" s="492"/>
      <c r="C72" s="105"/>
      <c r="D72" s="211"/>
      <c r="E72" s="214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8</v>
      </c>
      <c r="B73" s="492"/>
      <c r="C73" s="105"/>
      <c r="D73" s="211"/>
      <c r="E73" s="214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9</v>
      </c>
      <c r="B74" s="492"/>
      <c r="C74" s="105"/>
      <c r="D74" s="211"/>
      <c r="E74" s="214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5.5" customHeight="1">
      <c r="A75" s="491">
        <v>10</v>
      </c>
      <c r="B75" s="492"/>
      <c r="C75" s="105"/>
      <c r="D75" s="211"/>
      <c r="E75" s="214"/>
      <c r="F75" s="493"/>
      <c r="G75" s="485"/>
      <c r="H75" s="485"/>
      <c r="I75" s="485"/>
      <c r="J75" s="485"/>
      <c r="K75" s="485"/>
      <c r="L75" s="485"/>
      <c r="M75" s="51"/>
      <c r="N75" s="494"/>
      <c r="O75" s="494"/>
      <c r="P75" s="495"/>
      <c r="Q75" s="495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85"/>
      <c r="AC75" s="485"/>
      <c r="AD75" s="486"/>
      <c r="AF75" s="50"/>
    </row>
    <row r="76" spans="1:32" ht="26.25" customHeight="1" thickBot="1">
      <c r="A76" s="465" t="s">
        <v>360</v>
      </c>
      <c r="B76" s="465"/>
      <c r="C76" s="465"/>
      <c r="D76" s="465"/>
      <c r="E76" s="465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66" t="s">
        <v>111</v>
      </c>
      <c r="B77" s="467"/>
      <c r="C77" s="213" t="s">
        <v>2</v>
      </c>
      <c r="D77" s="213" t="s">
        <v>37</v>
      </c>
      <c r="E77" s="213" t="s">
        <v>273</v>
      </c>
      <c r="F77" s="467" t="s">
        <v>38</v>
      </c>
      <c r="G77" s="467"/>
      <c r="H77" s="467"/>
      <c r="I77" s="467"/>
      <c r="J77" s="467"/>
      <c r="K77" s="487" t="s">
        <v>58</v>
      </c>
      <c r="L77" s="488"/>
      <c r="M77" s="488"/>
      <c r="N77" s="488"/>
      <c r="O77" s="488"/>
      <c r="P77" s="488"/>
      <c r="Q77" s="488"/>
      <c r="R77" s="488"/>
      <c r="S77" s="489"/>
      <c r="T77" s="467" t="s">
        <v>49</v>
      </c>
      <c r="U77" s="467"/>
      <c r="V77" s="487" t="s">
        <v>50</v>
      </c>
      <c r="W77" s="489"/>
      <c r="X77" s="488" t="s">
        <v>51</v>
      </c>
      <c r="Y77" s="488"/>
      <c r="Z77" s="488"/>
      <c r="AA77" s="488"/>
      <c r="AB77" s="488"/>
      <c r="AC77" s="488"/>
      <c r="AD77" s="490"/>
      <c r="AF77" s="50"/>
    </row>
    <row r="78" spans="1:32" ht="33.75" customHeight="1">
      <c r="A78" s="459">
        <v>1</v>
      </c>
      <c r="B78" s="460"/>
      <c r="C78" s="212" t="s">
        <v>112</v>
      </c>
      <c r="D78" s="212"/>
      <c r="E78" s="65" t="s">
        <v>117</v>
      </c>
      <c r="F78" s="474" t="s">
        <v>116</v>
      </c>
      <c r="G78" s="475"/>
      <c r="H78" s="475"/>
      <c r="I78" s="475"/>
      <c r="J78" s="476"/>
      <c r="K78" s="477" t="s">
        <v>122</v>
      </c>
      <c r="L78" s="478"/>
      <c r="M78" s="478"/>
      <c r="N78" s="478"/>
      <c r="O78" s="478"/>
      <c r="P78" s="478"/>
      <c r="Q78" s="478"/>
      <c r="R78" s="478"/>
      <c r="S78" s="479"/>
      <c r="T78" s="480">
        <v>43675</v>
      </c>
      <c r="U78" s="481"/>
      <c r="V78" s="482"/>
      <c r="W78" s="482"/>
      <c r="X78" s="483"/>
      <c r="Y78" s="483"/>
      <c r="Z78" s="483"/>
      <c r="AA78" s="483"/>
      <c r="AB78" s="483"/>
      <c r="AC78" s="483"/>
      <c r="AD78" s="484"/>
      <c r="AF78" s="50"/>
    </row>
    <row r="79" spans="1:32" ht="30" customHeight="1">
      <c r="A79" s="452">
        <f>A78+1</f>
        <v>2</v>
      </c>
      <c r="B79" s="453"/>
      <c r="C79" s="211"/>
      <c r="D79" s="211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ref="A80:A84" si="28">A79+1</f>
        <v>3</v>
      </c>
      <c r="B80" s="453"/>
      <c r="C80" s="211"/>
      <c r="D80" s="211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28"/>
        <v>4</v>
      </c>
      <c r="B81" s="453"/>
      <c r="C81" s="211"/>
      <c r="D81" s="211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8"/>
        <v>5</v>
      </c>
      <c r="B82" s="453"/>
      <c r="C82" s="211"/>
      <c r="D82" s="211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28"/>
        <v>6</v>
      </c>
      <c r="B83" s="453"/>
      <c r="C83" s="211"/>
      <c r="D83" s="211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0" customHeight="1">
      <c r="A84" s="452">
        <f t="shared" si="28"/>
        <v>7</v>
      </c>
      <c r="B84" s="453"/>
      <c r="C84" s="211"/>
      <c r="D84" s="211"/>
      <c r="E84" s="32"/>
      <c r="F84" s="453"/>
      <c r="G84" s="453"/>
      <c r="H84" s="453"/>
      <c r="I84" s="453"/>
      <c r="J84" s="453"/>
      <c r="K84" s="468"/>
      <c r="L84" s="469"/>
      <c r="M84" s="469"/>
      <c r="N84" s="469"/>
      <c r="O84" s="469"/>
      <c r="P84" s="469"/>
      <c r="Q84" s="469"/>
      <c r="R84" s="469"/>
      <c r="S84" s="470"/>
      <c r="T84" s="471"/>
      <c r="U84" s="471"/>
      <c r="V84" s="471"/>
      <c r="W84" s="471"/>
      <c r="X84" s="472"/>
      <c r="Y84" s="472"/>
      <c r="Z84" s="472"/>
      <c r="AA84" s="472"/>
      <c r="AB84" s="472"/>
      <c r="AC84" s="472"/>
      <c r="AD84" s="473"/>
      <c r="AF84" s="50"/>
    </row>
    <row r="85" spans="1:32" ht="36" thickBot="1">
      <c r="A85" s="465" t="s">
        <v>361</v>
      </c>
      <c r="B85" s="465"/>
      <c r="C85" s="465"/>
      <c r="D85" s="465"/>
      <c r="E85" s="465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66" t="s">
        <v>111</v>
      </c>
      <c r="B86" s="467"/>
      <c r="C86" s="457" t="s">
        <v>52</v>
      </c>
      <c r="D86" s="457"/>
      <c r="E86" s="457" t="s">
        <v>53</v>
      </c>
      <c r="F86" s="457"/>
      <c r="G86" s="457"/>
      <c r="H86" s="457"/>
      <c r="I86" s="457"/>
      <c r="J86" s="457"/>
      <c r="K86" s="457" t="s">
        <v>54</v>
      </c>
      <c r="L86" s="457"/>
      <c r="M86" s="457"/>
      <c r="N86" s="457"/>
      <c r="O86" s="457"/>
      <c r="P86" s="457"/>
      <c r="Q86" s="457"/>
      <c r="R86" s="457"/>
      <c r="S86" s="457"/>
      <c r="T86" s="457" t="s">
        <v>55</v>
      </c>
      <c r="U86" s="457"/>
      <c r="V86" s="457" t="s">
        <v>56</v>
      </c>
      <c r="W86" s="457"/>
      <c r="X86" s="457"/>
      <c r="Y86" s="457" t="s">
        <v>51</v>
      </c>
      <c r="Z86" s="457"/>
      <c r="AA86" s="457"/>
      <c r="AB86" s="457"/>
      <c r="AC86" s="457"/>
      <c r="AD86" s="458"/>
      <c r="AF86" s="50"/>
    </row>
    <row r="87" spans="1:32" ht="30.75" customHeight="1">
      <c r="A87" s="459">
        <v>1</v>
      </c>
      <c r="B87" s="460"/>
      <c r="C87" s="461">
        <v>11</v>
      </c>
      <c r="D87" s="461"/>
      <c r="E87" s="461" t="s">
        <v>295</v>
      </c>
      <c r="F87" s="461"/>
      <c r="G87" s="461"/>
      <c r="H87" s="461"/>
      <c r="I87" s="461"/>
      <c r="J87" s="461"/>
      <c r="K87" s="461" t="s">
        <v>297</v>
      </c>
      <c r="L87" s="461"/>
      <c r="M87" s="461"/>
      <c r="N87" s="461"/>
      <c r="O87" s="461"/>
      <c r="P87" s="461"/>
      <c r="Q87" s="461"/>
      <c r="R87" s="461"/>
      <c r="S87" s="461"/>
      <c r="T87" s="461" t="s">
        <v>296</v>
      </c>
      <c r="U87" s="461"/>
      <c r="V87" s="462"/>
      <c r="W87" s="462"/>
      <c r="X87" s="462"/>
      <c r="Y87" s="463" t="s">
        <v>298</v>
      </c>
      <c r="Z87" s="463"/>
      <c r="AA87" s="463"/>
      <c r="AB87" s="463"/>
      <c r="AC87" s="463"/>
      <c r="AD87" s="464"/>
      <c r="AF87" s="50"/>
    </row>
    <row r="88" spans="1:32" ht="30.75" customHeight="1">
      <c r="A88" s="452">
        <v>2</v>
      </c>
      <c r="B88" s="453"/>
      <c r="C88" s="454"/>
      <c r="D88" s="454"/>
      <c r="E88" s="454"/>
      <c r="F88" s="454"/>
      <c r="G88" s="454"/>
      <c r="H88" s="454"/>
      <c r="I88" s="454"/>
      <c r="J88" s="454"/>
      <c r="K88" s="454"/>
      <c r="L88" s="454"/>
      <c r="M88" s="454"/>
      <c r="N88" s="454"/>
      <c r="O88" s="454"/>
      <c r="P88" s="454"/>
      <c r="Q88" s="454"/>
      <c r="R88" s="454"/>
      <c r="S88" s="454"/>
      <c r="T88" s="455"/>
      <c r="U88" s="455"/>
      <c r="V88" s="456"/>
      <c r="W88" s="456"/>
      <c r="X88" s="456"/>
      <c r="Y88" s="445"/>
      <c r="Z88" s="445"/>
      <c r="AA88" s="445"/>
      <c r="AB88" s="445"/>
      <c r="AC88" s="445"/>
      <c r="AD88" s="446"/>
      <c r="AF88" s="50"/>
    </row>
    <row r="89" spans="1:32" ht="30.75" customHeight="1" thickBot="1">
      <c r="A89" s="447">
        <v>3</v>
      </c>
      <c r="B89" s="448"/>
      <c r="C89" s="449"/>
      <c r="D89" s="449"/>
      <c r="E89" s="449"/>
      <c r="F89" s="449"/>
      <c r="G89" s="449"/>
      <c r="H89" s="449"/>
      <c r="I89" s="449"/>
      <c r="J89" s="449"/>
      <c r="K89" s="449"/>
      <c r="L89" s="449"/>
      <c r="M89" s="449"/>
      <c r="N89" s="449"/>
      <c r="O89" s="449"/>
      <c r="P89" s="449"/>
      <c r="Q89" s="449"/>
      <c r="R89" s="449"/>
      <c r="S89" s="449"/>
      <c r="T89" s="449"/>
      <c r="U89" s="449"/>
      <c r="V89" s="449"/>
      <c r="W89" s="449"/>
      <c r="X89" s="449"/>
      <c r="Y89" s="450"/>
      <c r="Z89" s="450"/>
      <c r="AA89" s="450"/>
      <c r="AB89" s="450"/>
      <c r="AC89" s="450"/>
      <c r="AD89" s="451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43C6-1207-48C1-A205-CB6D41878AF0}">
  <sheetPr codeName="Sheet11"/>
  <dimension ref="A1:AF87"/>
  <sheetViews>
    <sheetView view="pageBreakPreview" zoomScale="70" zoomScaleNormal="72" zoomScaleSheetLayoutView="70" workbookViewId="0">
      <selection activeCell="A12" sqref="A12:XFD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362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24" t="s">
        <v>17</v>
      </c>
      <c r="L5" s="224" t="s">
        <v>18</v>
      </c>
      <c r="M5" s="224" t="s">
        <v>19</v>
      </c>
      <c r="N5" s="22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5272</v>
      </c>
      <c r="K6" s="15">
        <f>L6+5516+6003+6004+2736+5509+5272</f>
        <v>31040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0.546875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363</v>
      </c>
      <c r="E7" s="53" t="s">
        <v>364</v>
      </c>
      <c r="F7" s="12" t="s">
        <v>187</v>
      </c>
      <c r="G7" s="12" t="s">
        <v>164</v>
      </c>
      <c r="H7" s="13">
        <v>24</v>
      </c>
      <c r="I7" s="31">
        <v>2000</v>
      </c>
      <c r="J7" s="14">
        <v>2363</v>
      </c>
      <c r="K7" s="15">
        <f>L7</f>
        <v>2363</v>
      </c>
      <c r="L7" s="15">
        <f>419+1944</f>
        <v>2363</v>
      </c>
      <c r="M7" s="15">
        <f t="shared" si="0"/>
        <v>2363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0.546875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12502</v>
      </c>
      <c r="K8" s="15">
        <f>L8+8404+12360+9142+12426+5790+11544+12480</f>
        <v>84648</v>
      </c>
      <c r="L8" s="15">
        <f>2968*2+3283*2</f>
        <v>12502</v>
      </c>
      <c r="M8" s="15">
        <f t="shared" si="0"/>
        <v>12502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0.546875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9200</v>
      </c>
      <c r="K9" s="15">
        <f>L9+3600+2490+6946+9726+6834+4580+9464+9990</f>
        <v>62830</v>
      </c>
      <c r="L9" s="15">
        <f>2226*2+2374*2</f>
        <v>9200</v>
      </c>
      <c r="M9" s="15">
        <f t="shared" si="0"/>
        <v>9200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0.546875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13134</v>
      </c>
      <c r="K10" s="15">
        <f>L10+5588+11272+12940+13030+13250+11902+13058</f>
        <v>94174</v>
      </c>
      <c r="L10" s="15">
        <f>3462*2+3105*2</f>
        <v>13134</v>
      </c>
      <c r="M10" s="15">
        <f t="shared" si="0"/>
        <v>13134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0.546875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150</v>
      </c>
      <c r="E11" s="53" t="s">
        <v>357</v>
      </c>
      <c r="F11" s="30" t="s">
        <v>132</v>
      </c>
      <c r="G11" s="33">
        <v>1</v>
      </c>
      <c r="H11" s="35">
        <v>24</v>
      </c>
      <c r="I11" s="7">
        <v>1000</v>
      </c>
      <c r="J11" s="14">
        <v>305</v>
      </c>
      <c r="K11" s="15">
        <f>L11</f>
        <v>305</v>
      </c>
      <c r="L11" s="15">
        <f>305</f>
        <v>305</v>
      </c>
      <c r="M11" s="15">
        <f t="shared" si="0"/>
        <v>305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ref="AD11:AD14" si="9">AC11*AB11*(1-O11)</f>
        <v>0.16666666666666666</v>
      </c>
      <c r="AE11" s="36">
        <f t="shared" si="7"/>
        <v>0.546875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3106</v>
      </c>
      <c r="K12" s="15">
        <f>L12+4200+2432+5144+6184+11076+3614+6628+6254</f>
        <v>48638</v>
      </c>
      <c r="L12" s="15">
        <f>1553*2</f>
        <v>3106</v>
      </c>
      <c r="M12" s="15">
        <f t="shared" si="0"/>
        <v>3106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>
        <v>18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9"/>
        <v>0.25</v>
      </c>
      <c r="AE12" s="36">
        <f t="shared" si="7"/>
        <v>0.546875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11326</v>
      </c>
      <c r="K13" s="15">
        <f>L13+10230+8758+7458+4298+5694+7524+3000+9774+6592</f>
        <v>74654</v>
      </c>
      <c r="L13" s="15">
        <f>2820*2+580*2+2263*2</f>
        <v>11326</v>
      </c>
      <c r="M13" s="15">
        <f t="shared" si="0"/>
        <v>11326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0.546875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0.546875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11672</v>
      </c>
      <c r="K15" s="15">
        <f>L15+2422+7588+11556</f>
        <v>33238</v>
      </c>
      <c r="L15" s="15">
        <f>3083*2+2753*2</f>
        <v>11672</v>
      </c>
      <c r="M15" s="15">
        <f t="shared" si="0"/>
        <v>11672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0.546875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0.546875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162</v>
      </c>
      <c r="F17" s="30" t="s">
        <v>140</v>
      </c>
      <c r="G17" s="12">
        <v>1</v>
      </c>
      <c r="H17" s="13">
        <v>24</v>
      </c>
      <c r="I17" s="7">
        <v>5500</v>
      </c>
      <c r="J17" s="14">
        <v>2570</v>
      </c>
      <c r="K17" s="15">
        <f>L17+3532</f>
        <v>6102</v>
      </c>
      <c r="L17" s="15">
        <v>2570</v>
      </c>
      <c r="M17" s="15">
        <f t="shared" si="0"/>
        <v>2570</v>
      </c>
      <c r="N17" s="15">
        <v>0</v>
      </c>
      <c r="O17" s="58">
        <f t="shared" si="1"/>
        <v>0</v>
      </c>
      <c r="P17" s="39">
        <f t="shared" si="2"/>
        <v>11</v>
      </c>
      <c r="Q17" s="40">
        <f t="shared" si="3"/>
        <v>13</v>
      </c>
      <c r="R17" s="7"/>
      <c r="S17" s="6">
        <v>13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0.45833333333333331</v>
      </c>
      <c r="AD17" s="10">
        <f t="shared" si="6"/>
        <v>0.45833333333333331</v>
      </c>
      <c r="AE17" s="36">
        <f t="shared" si="7"/>
        <v>0.546875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 t="s">
        <v>115</v>
      </c>
      <c r="E18" s="53" t="s">
        <v>335</v>
      </c>
      <c r="F18" s="30" t="s">
        <v>132</v>
      </c>
      <c r="G18" s="33">
        <v>1</v>
      </c>
      <c r="H18" s="35">
        <v>24</v>
      </c>
      <c r="I18" s="7">
        <v>10000</v>
      </c>
      <c r="J18" s="14">
        <v>2635</v>
      </c>
      <c r="K18" s="15">
        <f>L18+3345+2635</f>
        <v>5980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0.546875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 t="s">
        <v>215</v>
      </c>
      <c r="E19" s="53" t="s">
        <v>358</v>
      </c>
      <c r="F19" s="30" t="s">
        <v>131</v>
      </c>
      <c r="G19" s="33">
        <v>1</v>
      </c>
      <c r="H19" s="35">
        <v>24</v>
      </c>
      <c r="I19" s="7">
        <v>1000</v>
      </c>
      <c r="J19" s="14">
        <v>3052</v>
      </c>
      <c r="K19" s="15">
        <f>L19</f>
        <v>3052</v>
      </c>
      <c r="L19" s="15">
        <f>1487+1565</f>
        <v>3052</v>
      </c>
      <c r="M19" s="15">
        <f t="shared" si="0"/>
        <v>3052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0.546875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12584</v>
      </c>
      <c r="K20" s="15">
        <f>L20+6852+6648+9128+6400+11510+3498+11566+8822</f>
        <v>77008</v>
      </c>
      <c r="L20" s="15">
        <f>3007*2+3285*2</f>
        <v>12584</v>
      </c>
      <c r="M20" s="15">
        <f t="shared" si="0"/>
        <v>12584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0.546875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312</v>
      </c>
      <c r="F21" s="12" t="s">
        <v>114</v>
      </c>
      <c r="G21" s="12">
        <v>4</v>
      </c>
      <c r="H21" s="35">
        <v>20</v>
      </c>
      <c r="I21" s="7">
        <v>500000</v>
      </c>
      <c r="J21" s="14">
        <v>28476</v>
      </c>
      <c r="K21" s="15">
        <f>L21+16128+23540+28060</f>
        <v>96204</v>
      </c>
      <c r="L21" s="15">
        <f>5512*4+1607*4</f>
        <v>28476</v>
      </c>
      <c r="M21" s="15">
        <f t="shared" si="0"/>
        <v>28476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0.546875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2726300</v>
      </c>
      <c r="J22" s="19">
        <f t="shared" si="10"/>
        <v>119021</v>
      </c>
      <c r="K22" s="20">
        <f t="shared" si="10"/>
        <v>621302</v>
      </c>
      <c r="L22" s="21">
        <f t="shared" si="10"/>
        <v>110290</v>
      </c>
      <c r="M22" s="20">
        <f t="shared" si="10"/>
        <v>110290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210</v>
      </c>
      <c r="Q22" s="43">
        <f t="shared" si="11"/>
        <v>150</v>
      </c>
      <c r="R22" s="23">
        <f t="shared" si="11"/>
        <v>24</v>
      </c>
      <c r="S22" s="24">
        <f t="shared" si="11"/>
        <v>68</v>
      </c>
      <c r="T22" s="24">
        <f t="shared" si="11"/>
        <v>0</v>
      </c>
      <c r="U22" s="24">
        <f t="shared" si="11"/>
        <v>0</v>
      </c>
      <c r="V22" s="25">
        <f t="shared" si="11"/>
        <v>10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0.75</v>
      </c>
      <c r="AC22" s="4">
        <f>AVERAGE(AC6:AC21)</f>
        <v>0.546875</v>
      </c>
      <c r="AD22" s="4">
        <f>AVERAGE(AD6:AD21)</f>
        <v>0.546875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365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370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225" t="s">
        <v>46</v>
      </c>
      <c r="D51" s="225" t="s">
        <v>47</v>
      </c>
      <c r="E51" s="225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225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227" t="s">
        <v>144</v>
      </c>
      <c r="D52" s="227" t="s">
        <v>115</v>
      </c>
      <c r="E52" s="227" t="s">
        <v>160</v>
      </c>
      <c r="F52" s="512" t="s">
        <v>366</v>
      </c>
      <c r="G52" s="513"/>
      <c r="H52" s="513"/>
      <c r="I52" s="513"/>
      <c r="J52" s="513"/>
      <c r="K52" s="513"/>
      <c r="L52" s="513"/>
      <c r="M52" s="514"/>
      <c r="N52" s="226" t="s">
        <v>112</v>
      </c>
      <c r="O52" s="232" t="s">
        <v>284</v>
      </c>
      <c r="P52" s="524" t="s">
        <v>115</v>
      </c>
      <c r="Q52" s="525"/>
      <c r="R52" s="524" t="s">
        <v>152</v>
      </c>
      <c r="S52" s="526"/>
      <c r="T52" s="526"/>
      <c r="U52" s="525"/>
      <c r="V52" s="496" t="s">
        <v>322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120</v>
      </c>
      <c r="B53" s="511"/>
      <c r="C53" s="227" t="s">
        <v>169</v>
      </c>
      <c r="D53" s="227" t="s">
        <v>150</v>
      </c>
      <c r="E53" s="227" t="s">
        <v>357</v>
      </c>
      <c r="F53" s="512" t="s">
        <v>367</v>
      </c>
      <c r="G53" s="513"/>
      <c r="H53" s="513"/>
      <c r="I53" s="513"/>
      <c r="J53" s="513"/>
      <c r="K53" s="513"/>
      <c r="L53" s="513"/>
      <c r="M53" s="514"/>
      <c r="N53" s="226" t="s">
        <v>120</v>
      </c>
      <c r="O53" s="232" t="s">
        <v>169</v>
      </c>
      <c r="P53" s="524" t="s">
        <v>150</v>
      </c>
      <c r="Q53" s="525"/>
      <c r="R53" s="524" t="s">
        <v>357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72" t="s">
        <v>123</v>
      </c>
      <c r="B54" s="525"/>
      <c r="C54" s="227" t="s">
        <v>148</v>
      </c>
      <c r="D54" s="227"/>
      <c r="E54" s="227" t="s">
        <v>162</v>
      </c>
      <c r="F54" s="512" t="s">
        <v>368</v>
      </c>
      <c r="G54" s="513"/>
      <c r="H54" s="513"/>
      <c r="I54" s="513"/>
      <c r="J54" s="513"/>
      <c r="K54" s="513"/>
      <c r="L54" s="513"/>
      <c r="M54" s="514"/>
      <c r="N54" s="226" t="s">
        <v>112</v>
      </c>
      <c r="O54" s="232" t="s">
        <v>267</v>
      </c>
      <c r="P54" s="524" t="s">
        <v>133</v>
      </c>
      <c r="Q54" s="525"/>
      <c r="R54" s="524" t="s">
        <v>151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72" t="s">
        <v>120</v>
      </c>
      <c r="B55" s="525"/>
      <c r="C55" s="227" t="s">
        <v>201</v>
      </c>
      <c r="D55" s="227" t="s">
        <v>215</v>
      </c>
      <c r="E55" s="227" t="s">
        <v>358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226" t="s">
        <v>123</v>
      </c>
      <c r="O55" s="232" t="s">
        <v>148</v>
      </c>
      <c r="P55" s="524"/>
      <c r="Q55" s="525"/>
      <c r="R55" s="524" t="s">
        <v>162</v>
      </c>
      <c r="S55" s="526"/>
      <c r="T55" s="526"/>
      <c r="U55" s="525"/>
      <c r="V55" s="496" t="s">
        <v>322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112</v>
      </c>
      <c r="B56" s="511"/>
      <c r="C56" s="227" t="s">
        <v>267</v>
      </c>
      <c r="D56" s="227" t="s">
        <v>133</v>
      </c>
      <c r="E56" s="227" t="s">
        <v>151</v>
      </c>
      <c r="F56" s="512" t="s">
        <v>353</v>
      </c>
      <c r="G56" s="513"/>
      <c r="H56" s="513"/>
      <c r="I56" s="513"/>
      <c r="J56" s="513"/>
      <c r="K56" s="513"/>
      <c r="L56" s="513"/>
      <c r="M56" s="514"/>
      <c r="N56" s="226"/>
      <c r="O56" s="232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121</v>
      </c>
      <c r="B57" s="511"/>
      <c r="C57" s="227" t="s">
        <v>189</v>
      </c>
      <c r="D57" s="227" t="s">
        <v>363</v>
      </c>
      <c r="E57" s="227" t="s">
        <v>364</v>
      </c>
      <c r="F57" s="512" t="s">
        <v>369</v>
      </c>
      <c r="G57" s="513"/>
      <c r="H57" s="513"/>
      <c r="I57" s="513"/>
      <c r="J57" s="513"/>
      <c r="K57" s="513"/>
      <c r="L57" s="513"/>
      <c r="M57" s="514"/>
      <c r="N57" s="226"/>
      <c r="O57" s="232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236"/>
      <c r="D58" s="236"/>
      <c r="E58" s="236"/>
      <c r="F58" s="569"/>
      <c r="G58" s="570"/>
      <c r="H58" s="570"/>
      <c r="I58" s="570"/>
      <c r="J58" s="570"/>
      <c r="K58" s="570"/>
      <c r="L58" s="570"/>
      <c r="M58" s="571"/>
      <c r="N58" s="226"/>
      <c r="O58" s="232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227"/>
      <c r="D59" s="227"/>
      <c r="E59" s="227"/>
      <c r="F59" s="512"/>
      <c r="G59" s="513"/>
      <c r="H59" s="513"/>
      <c r="I59" s="513"/>
      <c r="J59" s="513"/>
      <c r="K59" s="513"/>
      <c r="L59" s="513"/>
      <c r="M59" s="514"/>
      <c r="N59" s="226"/>
      <c r="O59" s="232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227"/>
      <c r="D60" s="227"/>
      <c r="E60" s="227"/>
      <c r="F60" s="512"/>
      <c r="G60" s="513"/>
      <c r="H60" s="513"/>
      <c r="I60" s="513"/>
      <c r="J60" s="513"/>
      <c r="K60" s="513"/>
      <c r="L60" s="513"/>
      <c r="M60" s="514"/>
      <c r="N60" s="226"/>
      <c r="O60" s="232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228"/>
      <c r="D61" s="229"/>
      <c r="E61" s="229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371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230" t="s">
        <v>2</v>
      </c>
      <c r="D63" s="230" t="s">
        <v>37</v>
      </c>
      <c r="E63" s="230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230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121</v>
      </c>
      <c r="D64" s="234"/>
      <c r="E64" s="231" t="s">
        <v>363</v>
      </c>
      <c r="F64" s="497" t="s">
        <v>364</v>
      </c>
      <c r="G64" s="498"/>
      <c r="H64" s="498"/>
      <c r="I64" s="498"/>
      <c r="J64" s="499"/>
      <c r="K64" s="485" t="s">
        <v>187</v>
      </c>
      <c r="L64" s="485"/>
      <c r="M64" s="51" t="s">
        <v>188</v>
      </c>
      <c r="N64" s="494" t="s">
        <v>189</v>
      </c>
      <c r="O64" s="494"/>
      <c r="P64" s="495">
        <v>50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120</v>
      </c>
      <c r="D65" s="234"/>
      <c r="E65" s="231" t="s">
        <v>186</v>
      </c>
      <c r="F65" s="497" t="s">
        <v>372</v>
      </c>
      <c r="G65" s="498"/>
      <c r="H65" s="498"/>
      <c r="I65" s="498"/>
      <c r="J65" s="499"/>
      <c r="K65" s="485" t="s">
        <v>131</v>
      </c>
      <c r="L65" s="485"/>
      <c r="M65" s="51" t="s">
        <v>196</v>
      </c>
      <c r="N65" s="494" t="s">
        <v>197</v>
      </c>
      <c r="O65" s="494"/>
      <c r="P65" s="495">
        <v>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121</v>
      </c>
      <c r="D66" s="234"/>
      <c r="E66" s="231" t="s">
        <v>374</v>
      </c>
      <c r="F66" s="497" t="s">
        <v>373</v>
      </c>
      <c r="G66" s="498"/>
      <c r="H66" s="498"/>
      <c r="I66" s="498"/>
      <c r="J66" s="499"/>
      <c r="K66" s="485" t="s">
        <v>124</v>
      </c>
      <c r="L66" s="485"/>
      <c r="M66" s="51" t="s">
        <v>188</v>
      </c>
      <c r="N66" s="494" t="s">
        <v>197</v>
      </c>
      <c r="O66" s="494"/>
      <c r="P66" s="495">
        <v>50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 t="s">
        <v>121</v>
      </c>
      <c r="D67" s="234"/>
      <c r="E67" s="231" t="s">
        <v>375</v>
      </c>
      <c r="F67" s="497" t="s">
        <v>291</v>
      </c>
      <c r="G67" s="498"/>
      <c r="H67" s="498"/>
      <c r="I67" s="498"/>
      <c r="J67" s="499"/>
      <c r="K67" s="485" t="s">
        <v>124</v>
      </c>
      <c r="L67" s="485"/>
      <c r="M67" s="51" t="s">
        <v>188</v>
      </c>
      <c r="N67" s="494" t="s">
        <v>197</v>
      </c>
      <c r="O67" s="494"/>
      <c r="P67" s="495">
        <v>100</v>
      </c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234"/>
      <c r="E68" s="231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234"/>
      <c r="E69" s="231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234"/>
      <c r="E70" s="231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234"/>
      <c r="E71" s="231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234"/>
      <c r="E72" s="231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234"/>
      <c r="E73" s="231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376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233" t="s">
        <v>2</v>
      </c>
      <c r="D75" s="233" t="s">
        <v>37</v>
      </c>
      <c r="E75" s="233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235" t="s">
        <v>112</v>
      </c>
      <c r="D76" s="235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234"/>
      <c r="D77" s="234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234"/>
      <c r="D78" s="234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234"/>
      <c r="D79" s="234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234"/>
      <c r="D80" s="234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234"/>
      <c r="D81" s="234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234"/>
      <c r="D82" s="234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377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3F3D-A397-49CF-B885-3ACCBF10A522}">
  <sheetPr codeName="Sheet12"/>
  <dimension ref="A1:AF87"/>
  <sheetViews>
    <sheetView view="pageBreakPreview" zoomScale="70" zoomScaleNormal="72" zoomScaleSheetLayoutView="70" workbookViewId="0">
      <selection activeCell="V11" sqref="V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7.75" style="50" bestFit="1" customWidth="1"/>
    <col min="20" max="20" width="6.625" style="50" bestFit="1" customWidth="1"/>
    <col min="21" max="21" width="6.875" style="50" bestFit="1" customWidth="1"/>
    <col min="22" max="22" width="9.12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378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48" t="s">
        <v>17</v>
      </c>
      <c r="L5" s="248" t="s">
        <v>18</v>
      </c>
      <c r="M5" s="248" t="s">
        <v>19</v>
      </c>
      <c r="N5" s="2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5272</v>
      </c>
      <c r="K6" s="15">
        <f>L6+5516+6003+6004+2736+5509+5272</f>
        <v>31040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0.51302083333333326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363</v>
      </c>
      <c r="E7" s="53" t="s">
        <v>364</v>
      </c>
      <c r="F7" s="12" t="s">
        <v>187</v>
      </c>
      <c r="G7" s="12" t="s">
        <v>164</v>
      </c>
      <c r="H7" s="13">
        <v>24</v>
      </c>
      <c r="I7" s="31">
        <v>2000</v>
      </c>
      <c r="J7" s="14">
        <v>2363</v>
      </c>
      <c r="K7" s="15">
        <f>L7+2363</f>
        <v>2363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0.51302083333333326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12376</v>
      </c>
      <c r="K8" s="15">
        <f>L8+8404+12360+9142+12426+5790+11544+12480+12502</f>
        <v>97024</v>
      </c>
      <c r="L8" s="15">
        <f>3258*2+2930*2</f>
        <v>12376</v>
      </c>
      <c r="M8" s="15">
        <f t="shared" si="0"/>
        <v>12376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0.51302083333333326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9200</v>
      </c>
      <c r="K9" s="15">
        <f>L9+3600+2490+6946+9726+6834+4580+9464+9990+9200</f>
        <v>62830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0.51302083333333326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13002</v>
      </c>
      <c r="K10" s="15">
        <f>L10+5588+11272+12940+13030+13250+11902+13058+13134</f>
        <v>107176</v>
      </c>
      <c r="L10" s="15">
        <f>3421*2+3080*2</f>
        <v>13002</v>
      </c>
      <c r="M10" s="15">
        <f t="shared" si="0"/>
        <v>13002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0.51302083333333326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150</v>
      </c>
      <c r="E11" s="53" t="s">
        <v>357</v>
      </c>
      <c r="F11" s="30" t="s">
        <v>132</v>
      </c>
      <c r="G11" s="33">
        <v>1</v>
      </c>
      <c r="H11" s="35">
        <v>24</v>
      </c>
      <c r="I11" s="7">
        <v>1000</v>
      </c>
      <c r="J11" s="14">
        <v>305</v>
      </c>
      <c r="K11" s="15">
        <f>L11+305</f>
        <v>305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0.51302083333333326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375</v>
      </c>
      <c r="E12" s="53" t="s">
        <v>291</v>
      </c>
      <c r="F12" s="30" t="s">
        <v>124</v>
      </c>
      <c r="G12" s="33">
        <v>1</v>
      </c>
      <c r="H12" s="35">
        <v>24</v>
      </c>
      <c r="I12" s="7">
        <v>2000</v>
      </c>
      <c r="J12" s="14">
        <v>2099</v>
      </c>
      <c r="K12" s="15">
        <f>L12</f>
        <v>2099</v>
      </c>
      <c r="L12" s="15">
        <f>965+1134</f>
        <v>2099</v>
      </c>
      <c r="M12" s="15">
        <f t="shared" si="0"/>
        <v>2099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/>
      <c r="W12" s="5">
        <v>14</v>
      </c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9"/>
        <v>0.41666666666666669</v>
      </c>
      <c r="AE12" s="36">
        <f t="shared" si="7"/>
        <v>0.51302083333333326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12144</v>
      </c>
      <c r="K13" s="15">
        <f>L13+10230+8758+7458+4298+5694+7524+3000+9774+6592+11326</f>
        <v>86798</v>
      </c>
      <c r="L13" s="15">
        <f>3440*2+2632*2</f>
        <v>12144</v>
      </c>
      <c r="M13" s="15">
        <f t="shared" si="0"/>
        <v>12144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>AC13*AB13*(1-O13)</f>
        <v>0.91666666666666663</v>
      </c>
      <c r="AE13" s="36">
        <f t="shared" si="7"/>
        <v>0.51302083333333326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0.51302083333333326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6148</v>
      </c>
      <c r="K15" s="15">
        <f>L15+2422+7588+11556+11672</f>
        <v>39386</v>
      </c>
      <c r="L15" s="15">
        <f>1175*2+1899*2</f>
        <v>6148</v>
      </c>
      <c r="M15" s="15">
        <f t="shared" si="0"/>
        <v>6148</v>
      </c>
      <c r="N15" s="15">
        <v>0</v>
      </c>
      <c r="O15" s="58">
        <f t="shared" si="1"/>
        <v>0</v>
      </c>
      <c r="P15" s="39">
        <f t="shared" si="2"/>
        <v>14</v>
      </c>
      <c r="Q15" s="40">
        <f t="shared" si="3"/>
        <v>10</v>
      </c>
      <c r="R15" s="7">
        <v>5</v>
      </c>
      <c r="S15" s="6">
        <v>5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0.58333333333333337</v>
      </c>
      <c r="AD15" s="10">
        <f t="shared" si="6"/>
        <v>0.58333333333333337</v>
      </c>
      <c r="AE15" s="36">
        <f t="shared" si="7"/>
        <v>0.51302083333333326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0.51302083333333326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162</v>
      </c>
      <c r="F17" s="30" t="s">
        <v>140</v>
      </c>
      <c r="G17" s="12">
        <v>1</v>
      </c>
      <c r="H17" s="13">
        <v>24</v>
      </c>
      <c r="I17" s="7">
        <v>5500</v>
      </c>
      <c r="J17" s="14">
        <v>3547</v>
      </c>
      <c r="K17" s="15">
        <f>L17+3532+2570</f>
        <v>9649</v>
      </c>
      <c r="L17" s="15">
        <f>2807+740</f>
        <v>3547</v>
      </c>
      <c r="M17" s="15">
        <f t="shared" si="0"/>
        <v>3547</v>
      </c>
      <c r="N17" s="15">
        <v>0</v>
      </c>
      <c r="O17" s="58">
        <f t="shared" si="1"/>
        <v>0</v>
      </c>
      <c r="P17" s="39">
        <f t="shared" si="2"/>
        <v>18</v>
      </c>
      <c r="Q17" s="40">
        <f t="shared" si="3"/>
        <v>6</v>
      </c>
      <c r="R17" s="7"/>
      <c r="S17" s="6">
        <v>6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0.75</v>
      </c>
      <c r="AD17" s="10">
        <f t="shared" si="6"/>
        <v>0.75</v>
      </c>
      <c r="AE17" s="36">
        <f t="shared" si="7"/>
        <v>0.51302083333333326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374</v>
      </c>
      <c r="E18" s="53" t="s">
        <v>373</v>
      </c>
      <c r="F18" s="30" t="s">
        <v>124</v>
      </c>
      <c r="G18" s="33" t="s">
        <v>164</v>
      </c>
      <c r="H18" s="35">
        <v>24</v>
      </c>
      <c r="I18" s="7">
        <v>2000</v>
      </c>
      <c r="J18" s="14">
        <v>2087</v>
      </c>
      <c r="K18" s="15">
        <f>L18</f>
        <v>2087</v>
      </c>
      <c r="L18" s="15">
        <f>669+1418</f>
        <v>2087</v>
      </c>
      <c r="M18" s="15">
        <f t="shared" si="0"/>
        <v>2087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/>
      <c r="T18" s="16"/>
      <c r="U18" s="16"/>
      <c r="V18" s="17"/>
      <c r="W18" s="5">
        <v>9</v>
      </c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6"/>
        <v>0.625</v>
      </c>
      <c r="AE18" s="36">
        <f t="shared" si="7"/>
        <v>0.51302083333333326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 t="s">
        <v>141</v>
      </c>
      <c r="E19" s="53" t="s">
        <v>379</v>
      </c>
      <c r="F19" s="30" t="s">
        <v>132</v>
      </c>
      <c r="G19" s="33">
        <v>1</v>
      </c>
      <c r="H19" s="35">
        <v>24</v>
      </c>
      <c r="I19" s="7">
        <v>14000</v>
      </c>
      <c r="J19" s="14">
        <v>5224</v>
      </c>
      <c r="K19" s="15">
        <f>L19</f>
        <v>5224</v>
      </c>
      <c r="L19" s="15">
        <f>1726+3498</f>
        <v>5224</v>
      </c>
      <c r="M19" s="15">
        <f t="shared" si="0"/>
        <v>5224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/>
      <c r="T19" s="16">
        <v>2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0.51302083333333326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12228</v>
      </c>
      <c r="K20" s="15">
        <f>L20+6852+6648+9128+6400+11510+3498+11566+8822+12584</f>
        <v>89236</v>
      </c>
      <c r="L20" s="15">
        <f>3264*2+2850*2</f>
        <v>12228</v>
      </c>
      <c r="M20" s="15">
        <f t="shared" si="0"/>
        <v>12228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0.51302083333333326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312</v>
      </c>
      <c r="F21" s="12" t="s">
        <v>114</v>
      </c>
      <c r="G21" s="12">
        <v>4</v>
      </c>
      <c r="H21" s="35">
        <v>20</v>
      </c>
      <c r="I21" s="7">
        <v>500000</v>
      </c>
      <c r="J21" s="14">
        <v>48112</v>
      </c>
      <c r="K21" s="15">
        <f>L21+16128+23540+28060+28476</f>
        <v>144316</v>
      </c>
      <c r="L21" s="15">
        <f>6562*4+5466*4</f>
        <v>48112</v>
      </c>
      <c r="M21" s="15">
        <f t="shared" si="0"/>
        <v>48112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0.51302083333333326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2660300</v>
      </c>
      <c r="J22" s="19">
        <f t="shared" si="10"/>
        <v>134931</v>
      </c>
      <c r="K22" s="20">
        <f t="shared" si="10"/>
        <v>680599</v>
      </c>
      <c r="L22" s="21">
        <f t="shared" si="10"/>
        <v>116967</v>
      </c>
      <c r="M22" s="20">
        <f t="shared" si="10"/>
        <v>116967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197</v>
      </c>
      <c r="Q22" s="43">
        <f t="shared" si="11"/>
        <v>187</v>
      </c>
      <c r="R22" s="23">
        <f t="shared" si="11"/>
        <v>29</v>
      </c>
      <c r="S22" s="24">
        <f t="shared" si="11"/>
        <v>37</v>
      </c>
      <c r="T22" s="24">
        <f t="shared" si="11"/>
        <v>2</v>
      </c>
      <c r="U22" s="24">
        <f t="shared" si="11"/>
        <v>0</v>
      </c>
      <c r="V22" s="25">
        <f t="shared" si="11"/>
        <v>0</v>
      </c>
      <c r="W22" s="26">
        <f t="shared" si="11"/>
        <v>71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0.625</v>
      </c>
      <c r="AC22" s="4">
        <f>AVERAGE(AC6:AC21)</f>
        <v>0.51302083333333326</v>
      </c>
      <c r="AD22" s="4">
        <f>AVERAGE(AD6:AD21)</f>
        <v>0.51302083333333326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380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384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247" t="s">
        <v>46</v>
      </c>
      <c r="D51" s="247" t="s">
        <v>47</v>
      </c>
      <c r="E51" s="247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247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244" t="s">
        <v>144</v>
      </c>
      <c r="D52" s="244" t="s">
        <v>115</v>
      </c>
      <c r="E52" s="244" t="s">
        <v>160</v>
      </c>
      <c r="F52" s="512" t="s">
        <v>232</v>
      </c>
      <c r="G52" s="513"/>
      <c r="H52" s="513"/>
      <c r="I52" s="513"/>
      <c r="J52" s="513"/>
      <c r="K52" s="513"/>
      <c r="L52" s="513"/>
      <c r="M52" s="514"/>
      <c r="N52" s="243" t="s">
        <v>112</v>
      </c>
      <c r="O52" s="241" t="s">
        <v>284</v>
      </c>
      <c r="P52" s="524" t="s">
        <v>115</v>
      </c>
      <c r="Q52" s="525"/>
      <c r="R52" s="524" t="s">
        <v>152</v>
      </c>
      <c r="S52" s="526"/>
      <c r="T52" s="526"/>
      <c r="U52" s="525"/>
      <c r="V52" s="496" t="s">
        <v>283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121</v>
      </c>
      <c r="B53" s="511"/>
      <c r="C53" s="244" t="s">
        <v>267</v>
      </c>
      <c r="D53" s="244" t="s">
        <v>375</v>
      </c>
      <c r="E53" s="244" t="s">
        <v>291</v>
      </c>
      <c r="F53" s="512" t="s">
        <v>118</v>
      </c>
      <c r="G53" s="513"/>
      <c r="H53" s="513"/>
      <c r="I53" s="513"/>
      <c r="J53" s="513"/>
      <c r="K53" s="513"/>
      <c r="L53" s="513"/>
      <c r="M53" s="514"/>
      <c r="N53" s="243" t="s">
        <v>120</v>
      </c>
      <c r="O53" s="241" t="s">
        <v>267</v>
      </c>
      <c r="P53" s="524" t="s">
        <v>150</v>
      </c>
      <c r="Q53" s="525"/>
      <c r="R53" s="524" t="s">
        <v>357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72" t="s">
        <v>123</v>
      </c>
      <c r="B54" s="525"/>
      <c r="C54" s="244" t="s">
        <v>148</v>
      </c>
      <c r="D54" s="244"/>
      <c r="E54" s="244" t="s">
        <v>162</v>
      </c>
      <c r="F54" s="512" t="s">
        <v>322</v>
      </c>
      <c r="G54" s="513"/>
      <c r="H54" s="513"/>
      <c r="I54" s="513"/>
      <c r="J54" s="513"/>
      <c r="K54" s="513"/>
      <c r="L54" s="513"/>
      <c r="M54" s="514"/>
      <c r="N54" s="243" t="s">
        <v>112</v>
      </c>
      <c r="O54" s="241" t="s">
        <v>197</v>
      </c>
      <c r="P54" s="524" t="s">
        <v>115</v>
      </c>
      <c r="Q54" s="525"/>
      <c r="R54" s="524" t="s">
        <v>385</v>
      </c>
      <c r="S54" s="526"/>
      <c r="T54" s="526"/>
      <c r="U54" s="525"/>
      <c r="V54" s="496" t="s">
        <v>118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72" t="s">
        <v>121</v>
      </c>
      <c r="B55" s="525"/>
      <c r="C55" s="244" t="s">
        <v>197</v>
      </c>
      <c r="D55" s="244" t="s">
        <v>374</v>
      </c>
      <c r="E55" s="244" t="s">
        <v>373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243"/>
      <c r="O55" s="241"/>
      <c r="P55" s="524"/>
      <c r="Q55" s="525"/>
      <c r="R55" s="524"/>
      <c r="S55" s="526"/>
      <c r="T55" s="526"/>
      <c r="U55" s="525"/>
      <c r="V55" s="496"/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112</v>
      </c>
      <c r="B56" s="511"/>
      <c r="C56" s="244" t="s">
        <v>284</v>
      </c>
      <c r="D56" s="244" t="s">
        <v>115</v>
      </c>
      <c r="E56" s="244" t="s">
        <v>152</v>
      </c>
      <c r="F56" s="512" t="s">
        <v>381</v>
      </c>
      <c r="G56" s="513"/>
      <c r="H56" s="513"/>
      <c r="I56" s="513"/>
      <c r="J56" s="513"/>
      <c r="K56" s="513"/>
      <c r="L56" s="513"/>
      <c r="M56" s="514"/>
      <c r="N56" s="243"/>
      <c r="O56" s="241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112</v>
      </c>
      <c r="B57" s="511"/>
      <c r="C57" s="244" t="s">
        <v>174</v>
      </c>
      <c r="D57" s="244" t="s">
        <v>130</v>
      </c>
      <c r="E57" s="244" t="s">
        <v>382</v>
      </c>
      <c r="F57" s="512" t="s">
        <v>383</v>
      </c>
      <c r="G57" s="513"/>
      <c r="H57" s="513"/>
      <c r="I57" s="513"/>
      <c r="J57" s="513"/>
      <c r="K57" s="513"/>
      <c r="L57" s="513"/>
      <c r="M57" s="514"/>
      <c r="N57" s="243"/>
      <c r="O57" s="241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249"/>
      <c r="D58" s="249"/>
      <c r="E58" s="249"/>
      <c r="F58" s="569"/>
      <c r="G58" s="570"/>
      <c r="H58" s="570"/>
      <c r="I58" s="570"/>
      <c r="J58" s="570"/>
      <c r="K58" s="570"/>
      <c r="L58" s="570"/>
      <c r="M58" s="571"/>
      <c r="N58" s="243"/>
      <c r="O58" s="241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244"/>
      <c r="D59" s="244"/>
      <c r="E59" s="244"/>
      <c r="F59" s="512"/>
      <c r="G59" s="513"/>
      <c r="H59" s="513"/>
      <c r="I59" s="513"/>
      <c r="J59" s="513"/>
      <c r="K59" s="513"/>
      <c r="L59" s="513"/>
      <c r="M59" s="514"/>
      <c r="N59" s="243"/>
      <c r="O59" s="241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244"/>
      <c r="D60" s="244"/>
      <c r="E60" s="244"/>
      <c r="F60" s="512"/>
      <c r="G60" s="513"/>
      <c r="H60" s="513"/>
      <c r="I60" s="513"/>
      <c r="J60" s="513"/>
      <c r="K60" s="513"/>
      <c r="L60" s="513"/>
      <c r="M60" s="514"/>
      <c r="N60" s="243"/>
      <c r="O60" s="241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245"/>
      <c r="D61" s="246"/>
      <c r="E61" s="246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386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242" t="s">
        <v>2</v>
      </c>
      <c r="D63" s="242" t="s">
        <v>37</v>
      </c>
      <c r="E63" s="242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242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120</v>
      </c>
      <c r="D64" s="237"/>
      <c r="E64" s="240" t="s">
        <v>130</v>
      </c>
      <c r="F64" s="497" t="s">
        <v>387</v>
      </c>
      <c r="G64" s="498"/>
      <c r="H64" s="498"/>
      <c r="I64" s="498"/>
      <c r="J64" s="499"/>
      <c r="K64" s="485" t="s">
        <v>128</v>
      </c>
      <c r="L64" s="485"/>
      <c r="M64" s="51" t="s">
        <v>188</v>
      </c>
      <c r="N64" s="494" t="s">
        <v>239</v>
      </c>
      <c r="O64" s="494"/>
      <c r="P64" s="495">
        <v>300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120</v>
      </c>
      <c r="D65" s="237"/>
      <c r="E65" s="240" t="s">
        <v>186</v>
      </c>
      <c r="F65" s="497" t="s">
        <v>388</v>
      </c>
      <c r="G65" s="498"/>
      <c r="H65" s="498"/>
      <c r="I65" s="498"/>
      <c r="J65" s="499"/>
      <c r="K65" s="485" t="s">
        <v>389</v>
      </c>
      <c r="L65" s="485"/>
      <c r="M65" s="51" t="s">
        <v>188</v>
      </c>
      <c r="N65" s="494" t="s">
        <v>197</v>
      </c>
      <c r="O65" s="494"/>
      <c r="P65" s="495">
        <v>300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121</v>
      </c>
      <c r="D66" s="237"/>
      <c r="E66" s="240" t="s">
        <v>146</v>
      </c>
      <c r="F66" s="497" t="s">
        <v>390</v>
      </c>
      <c r="G66" s="498"/>
      <c r="H66" s="498"/>
      <c r="I66" s="498"/>
      <c r="J66" s="499"/>
      <c r="K66" s="485" t="s">
        <v>389</v>
      </c>
      <c r="L66" s="485"/>
      <c r="M66" s="51" t="s">
        <v>242</v>
      </c>
      <c r="N66" s="494" t="s">
        <v>169</v>
      </c>
      <c r="O66" s="494"/>
      <c r="P66" s="495">
        <v>100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237"/>
      <c r="E67" s="240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237"/>
      <c r="E68" s="240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237"/>
      <c r="E69" s="240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237"/>
      <c r="E70" s="240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237"/>
      <c r="E71" s="240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237"/>
      <c r="E72" s="240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237"/>
      <c r="E73" s="240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391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239" t="s">
        <v>2</v>
      </c>
      <c r="D75" s="239" t="s">
        <v>37</v>
      </c>
      <c r="E75" s="239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238" t="s">
        <v>112</v>
      </c>
      <c r="D76" s="238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237"/>
      <c r="D77" s="237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237"/>
      <c r="D78" s="237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237"/>
      <c r="D79" s="237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237"/>
      <c r="D80" s="237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237"/>
      <c r="D81" s="237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237"/>
      <c r="D82" s="237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392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F9B2-C7B1-43D1-9387-76AF4B4AB579}">
  <sheetPr codeName="Sheet13"/>
  <dimension ref="A1:AF87"/>
  <sheetViews>
    <sheetView view="pageBreakPreview" zoomScale="70" zoomScaleNormal="72" zoomScaleSheetLayoutView="70" workbookViewId="0">
      <selection activeCell="F70" sqref="F70:J7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9" width="7.7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393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48" t="s">
        <v>17</v>
      </c>
      <c r="L5" s="248" t="s">
        <v>18</v>
      </c>
      <c r="M5" s="248" t="s">
        <v>19</v>
      </c>
      <c r="N5" s="2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5272</v>
      </c>
      <c r="K6" s="15">
        <f>L6+5516+6003+6004+2736+5509+5272</f>
        <v>31040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0.62760416666666674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363</v>
      </c>
      <c r="E7" s="53" t="s">
        <v>364</v>
      </c>
      <c r="F7" s="12" t="s">
        <v>187</v>
      </c>
      <c r="G7" s="12" t="s">
        <v>164</v>
      </c>
      <c r="H7" s="13">
        <v>24</v>
      </c>
      <c r="I7" s="31">
        <v>2000</v>
      </c>
      <c r="J7" s="14">
        <v>2363</v>
      </c>
      <c r="K7" s="15">
        <f>L7+2363</f>
        <v>2363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0.62760416666666674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12380</v>
      </c>
      <c r="K8" s="15">
        <f>L8+8404+12360+9142+12426+5790+11544+12480+12502+12376</f>
        <v>109404</v>
      </c>
      <c r="L8" s="15">
        <f>2949*2+3241*2</f>
        <v>12380</v>
      </c>
      <c r="M8" s="15">
        <f t="shared" si="0"/>
        <v>12380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0.62760416666666674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6160</v>
      </c>
      <c r="K9" s="15">
        <f>L9+3600+2490+6946+9726+6834+4580+9464+9990+9200</f>
        <v>68990</v>
      </c>
      <c r="L9" s="15">
        <f>480*2+2600*2</f>
        <v>6160</v>
      </c>
      <c r="M9" s="15">
        <f t="shared" si="0"/>
        <v>6160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0.62760416666666674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13260</v>
      </c>
      <c r="K10" s="15">
        <f>L10+5588+11272+12940+13030+13250+11902+13058+13134+13002</f>
        <v>120436</v>
      </c>
      <c r="L10" s="15">
        <f>3149*2+3481*2</f>
        <v>13260</v>
      </c>
      <c r="M10" s="15">
        <f t="shared" si="0"/>
        <v>13260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0.62760416666666674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121</v>
      </c>
      <c r="D11" s="52" t="s">
        <v>146</v>
      </c>
      <c r="E11" s="53" t="s">
        <v>394</v>
      </c>
      <c r="F11" s="30" t="s">
        <v>389</v>
      </c>
      <c r="G11" s="33">
        <v>2</v>
      </c>
      <c r="H11" s="35">
        <v>24</v>
      </c>
      <c r="I11" s="7">
        <v>2000</v>
      </c>
      <c r="J11" s="14">
        <v>2248</v>
      </c>
      <c r="K11" s="15">
        <f>L11</f>
        <v>2248</v>
      </c>
      <c r="L11" s="15">
        <f>782*2+342*2</f>
        <v>2248</v>
      </c>
      <c r="M11" s="15">
        <f t="shared" si="0"/>
        <v>2248</v>
      </c>
      <c r="N11" s="15">
        <v>0</v>
      </c>
      <c r="O11" s="58">
        <f t="shared" si="1"/>
        <v>0</v>
      </c>
      <c r="P11" s="39">
        <f t="shared" si="2"/>
        <v>6</v>
      </c>
      <c r="Q11" s="40">
        <f t="shared" si="3"/>
        <v>18</v>
      </c>
      <c r="R11" s="7"/>
      <c r="S11" s="6"/>
      <c r="T11" s="16"/>
      <c r="U11" s="16"/>
      <c r="V11" s="17"/>
      <c r="W11" s="5">
        <v>18</v>
      </c>
      <c r="X11" s="16"/>
      <c r="Y11" s="16"/>
      <c r="Z11" s="16"/>
      <c r="AA11" s="18"/>
      <c r="AB11" s="8">
        <f t="shared" si="4"/>
        <v>1</v>
      </c>
      <c r="AC11" s="9">
        <f t="shared" si="5"/>
        <v>0.25</v>
      </c>
      <c r="AD11" s="10">
        <f t="shared" ref="AD11:AD14" si="9">AC11*AB11*(1-O11)</f>
        <v>0.25</v>
      </c>
      <c r="AE11" s="36">
        <f t="shared" si="7"/>
        <v>0.62760416666666674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120</v>
      </c>
      <c r="D12" s="52" t="s">
        <v>150</v>
      </c>
      <c r="E12" s="53" t="s">
        <v>357</v>
      </c>
      <c r="F12" s="30" t="s">
        <v>132</v>
      </c>
      <c r="G12" s="33">
        <v>1</v>
      </c>
      <c r="H12" s="35">
        <v>24</v>
      </c>
      <c r="I12" s="7">
        <v>1000</v>
      </c>
      <c r="J12" s="14">
        <v>4794</v>
      </c>
      <c r="K12" s="15">
        <f>L12</f>
        <v>4794</v>
      </c>
      <c r="L12" s="15">
        <f>2272+2522</f>
        <v>4794</v>
      </c>
      <c r="M12" s="15">
        <f t="shared" si="0"/>
        <v>4794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9"/>
        <v>0.95833333333333337</v>
      </c>
      <c r="AE12" s="36">
        <f t="shared" si="7"/>
        <v>0.62760416666666674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11050</v>
      </c>
      <c r="K13" s="15">
        <f>L13+10230+8758+7458+4298+5694+7524+3000+9774+6592+11326+12144</f>
        <v>97848</v>
      </c>
      <c r="L13" s="15">
        <f>2086*2+3439*2</f>
        <v>11050</v>
      </c>
      <c r="M13" s="15">
        <f t="shared" si="0"/>
        <v>11050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>AC13*AB13*(1-O13)</f>
        <v>0.91666666666666663</v>
      </c>
      <c r="AE13" s="36">
        <f t="shared" si="7"/>
        <v>0.62760416666666674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0.62760416666666674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11316</v>
      </c>
      <c r="K15" s="15">
        <f>L15+2422+7588+11556+11672+6148</f>
        <v>50702</v>
      </c>
      <c r="L15" s="15">
        <f>2564*2+3094*2</f>
        <v>11316</v>
      </c>
      <c r="M15" s="15">
        <f t="shared" si="0"/>
        <v>11316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0.62760416666666674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0.62760416666666674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162</v>
      </c>
      <c r="F17" s="30" t="s">
        <v>140</v>
      </c>
      <c r="G17" s="12">
        <v>1</v>
      </c>
      <c r="H17" s="13">
        <v>24</v>
      </c>
      <c r="I17" s="7">
        <v>5500</v>
      </c>
      <c r="J17" s="14">
        <v>2854</v>
      </c>
      <c r="K17" s="15">
        <f>L17+3532+2570+3547</f>
        <v>12503</v>
      </c>
      <c r="L17" s="15">
        <f>1870+984</f>
        <v>2854</v>
      </c>
      <c r="M17" s="15">
        <f t="shared" si="0"/>
        <v>2854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>
        <v>8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0.62760416666666674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117</v>
      </c>
      <c r="E18" s="53" t="s">
        <v>385</v>
      </c>
      <c r="F18" s="30" t="s">
        <v>132</v>
      </c>
      <c r="G18" s="33">
        <v>1</v>
      </c>
      <c r="H18" s="35">
        <v>24</v>
      </c>
      <c r="I18" s="7">
        <v>2000</v>
      </c>
      <c r="J18" s="14">
        <v>4560</v>
      </c>
      <c r="K18" s="15">
        <f>L18</f>
        <v>4560</v>
      </c>
      <c r="L18" s="15">
        <f>2706+1854</f>
        <v>4560</v>
      </c>
      <c r="M18" s="15">
        <f t="shared" si="0"/>
        <v>4560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0.62760416666666674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 t="s">
        <v>141</v>
      </c>
      <c r="E19" s="53" t="s">
        <v>379</v>
      </c>
      <c r="F19" s="30" t="s">
        <v>132</v>
      </c>
      <c r="G19" s="33">
        <v>1</v>
      </c>
      <c r="H19" s="35">
        <v>24</v>
      </c>
      <c r="I19" s="7">
        <v>14000</v>
      </c>
      <c r="J19" s="14">
        <v>6784</v>
      </c>
      <c r="K19" s="15">
        <f>L19+5224</f>
        <v>12008</v>
      </c>
      <c r="L19" s="15">
        <f>3557+3227</f>
        <v>6784</v>
      </c>
      <c r="M19" s="15">
        <f t="shared" si="0"/>
        <v>6784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0.62760416666666674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12656</v>
      </c>
      <c r="K20" s="15">
        <f>L20+6852+6648+9128+6400+11510+3498+11566+8822+12584+12228</f>
        <v>101892</v>
      </c>
      <c r="L20" s="15">
        <f>3340*2+2988*2</f>
        <v>12656</v>
      </c>
      <c r="M20" s="15">
        <f t="shared" si="0"/>
        <v>12656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0.62760416666666674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312</v>
      </c>
      <c r="F21" s="12" t="s">
        <v>114</v>
      </c>
      <c r="G21" s="12">
        <v>4</v>
      </c>
      <c r="H21" s="35">
        <v>20</v>
      </c>
      <c r="I21" s="7">
        <v>500000</v>
      </c>
      <c r="J21" s="14">
        <v>29544</v>
      </c>
      <c r="K21" s="15">
        <f>L21+16128+23540+28060+28476+48112</f>
        <v>173860</v>
      </c>
      <c r="L21" s="15">
        <f>6054*4+1332*4</f>
        <v>29544</v>
      </c>
      <c r="M21" s="15">
        <f t="shared" si="0"/>
        <v>29544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0.62760416666666674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2660300</v>
      </c>
      <c r="J22" s="19">
        <f t="shared" si="10"/>
        <v>126065</v>
      </c>
      <c r="K22" s="20">
        <f t="shared" si="10"/>
        <v>793714</v>
      </c>
      <c r="L22" s="21">
        <f t="shared" si="10"/>
        <v>117606</v>
      </c>
      <c r="M22" s="20">
        <f t="shared" si="10"/>
        <v>117606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241</v>
      </c>
      <c r="Q22" s="43">
        <f t="shared" si="11"/>
        <v>143</v>
      </c>
      <c r="R22" s="23">
        <f t="shared" si="11"/>
        <v>24</v>
      </c>
      <c r="S22" s="24">
        <f t="shared" si="11"/>
        <v>17</v>
      </c>
      <c r="T22" s="24">
        <f t="shared" si="11"/>
        <v>2</v>
      </c>
      <c r="U22" s="24">
        <f t="shared" si="11"/>
        <v>0</v>
      </c>
      <c r="V22" s="25">
        <f t="shared" si="11"/>
        <v>10</v>
      </c>
      <c r="W22" s="26">
        <f t="shared" si="11"/>
        <v>66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0.75</v>
      </c>
      <c r="AC22" s="4">
        <f>AVERAGE(AC6:AC21)</f>
        <v>0.62760416666666674</v>
      </c>
      <c r="AD22" s="4">
        <f>AVERAGE(AD6:AD21)</f>
        <v>0.62760416666666674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395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397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247" t="s">
        <v>46</v>
      </c>
      <c r="D51" s="247" t="s">
        <v>47</v>
      </c>
      <c r="E51" s="247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247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244" t="s">
        <v>144</v>
      </c>
      <c r="D52" s="244" t="s">
        <v>115</v>
      </c>
      <c r="E52" s="244" t="s">
        <v>160</v>
      </c>
      <c r="F52" s="512" t="s">
        <v>232</v>
      </c>
      <c r="G52" s="513"/>
      <c r="H52" s="513"/>
      <c r="I52" s="513"/>
      <c r="J52" s="513"/>
      <c r="K52" s="513"/>
      <c r="L52" s="513"/>
      <c r="M52" s="514"/>
      <c r="N52" s="243" t="s">
        <v>112</v>
      </c>
      <c r="O52" s="241" t="s">
        <v>267</v>
      </c>
      <c r="P52" s="524" t="s">
        <v>115</v>
      </c>
      <c r="Q52" s="525"/>
      <c r="R52" s="524" t="s">
        <v>402</v>
      </c>
      <c r="S52" s="526"/>
      <c r="T52" s="526"/>
      <c r="U52" s="525"/>
      <c r="V52" s="496" t="s">
        <v>118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120</v>
      </c>
      <c r="B53" s="511"/>
      <c r="C53" s="244" t="s">
        <v>267</v>
      </c>
      <c r="D53" s="244" t="s">
        <v>150</v>
      </c>
      <c r="E53" s="244" t="s">
        <v>357</v>
      </c>
      <c r="F53" s="512" t="s">
        <v>118</v>
      </c>
      <c r="G53" s="513"/>
      <c r="H53" s="513"/>
      <c r="I53" s="513"/>
      <c r="J53" s="513"/>
      <c r="K53" s="513"/>
      <c r="L53" s="513"/>
      <c r="M53" s="514"/>
      <c r="N53" s="243" t="s">
        <v>112</v>
      </c>
      <c r="O53" s="241" t="s">
        <v>197</v>
      </c>
      <c r="P53" s="524" t="s">
        <v>133</v>
      </c>
      <c r="Q53" s="525"/>
      <c r="R53" s="524" t="s">
        <v>403</v>
      </c>
      <c r="S53" s="526"/>
      <c r="T53" s="526"/>
      <c r="U53" s="525"/>
      <c r="V53" s="496" t="s">
        <v>118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72" t="s">
        <v>121</v>
      </c>
      <c r="B54" s="525"/>
      <c r="C54" s="244" t="s">
        <v>169</v>
      </c>
      <c r="D54" s="244" t="s">
        <v>396</v>
      </c>
      <c r="E54" s="244" t="s">
        <v>394</v>
      </c>
      <c r="F54" s="512" t="s">
        <v>118</v>
      </c>
      <c r="G54" s="513"/>
      <c r="H54" s="513"/>
      <c r="I54" s="513"/>
      <c r="J54" s="513"/>
      <c r="K54" s="513"/>
      <c r="L54" s="513"/>
      <c r="M54" s="514"/>
      <c r="N54" s="243"/>
      <c r="O54" s="241"/>
      <c r="P54" s="524"/>
      <c r="Q54" s="525"/>
      <c r="R54" s="524"/>
      <c r="S54" s="526"/>
      <c r="T54" s="526"/>
      <c r="U54" s="525"/>
      <c r="V54" s="496"/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72" t="s">
        <v>112</v>
      </c>
      <c r="B55" s="525"/>
      <c r="C55" s="244" t="s">
        <v>197</v>
      </c>
      <c r="D55" s="244" t="s">
        <v>117</v>
      </c>
      <c r="E55" s="244" t="s">
        <v>385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243"/>
      <c r="O55" s="241"/>
      <c r="P55" s="524"/>
      <c r="Q55" s="525"/>
      <c r="R55" s="524"/>
      <c r="S55" s="526"/>
      <c r="T55" s="526"/>
      <c r="U55" s="525"/>
      <c r="V55" s="496"/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112</v>
      </c>
      <c r="B56" s="511"/>
      <c r="C56" s="244" t="s">
        <v>400</v>
      </c>
      <c r="D56" s="244" t="s">
        <v>401</v>
      </c>
      <c r="E56" s="244" t="s">
        <v>398</v>
      </c>
      <c r="F56" s="512" t="s">
        <v>399</v>
      </c>
      <c r="G56" s="513"/>
      <c r="H56" s="513"/>
      <c r="I56" s="513"/>
      <c r="J56" s="513"/>
      <c r="K56" s="513"/>
      <c r="L56" s="513"/>
      <c r="M56" s="514"/>
      <c r="N56" s="243"/>
      <c r="O56" s="241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244"/>
      <c r="D57" s="244"/>
      <c r="E57" s="244"/>
      <c r="F57" s="512"/>
      <c r="G57" s="513"/>
      <c r="H57" s="513"/>
      <c r="I57" s="513"/>
      <c r="J57" s="513"/>
      <c r="K57" s="513"/>
      <c r="L57" s="513"/>
      <c r="M57" s="514"/>
      <c r="N57" s="243"/>
      <c r="O57" s="241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249"/>
      <c r="D58" s="249"/>
      <c r="E58" s="249"/>
      <c r="F58" s="569"/>
      <c r="G58" s="570"/>
      <c r="H58" s="570"/>
      <c r="I58" s="570"/>
      <c r="J58" s="570"/>
      <c r="K58" s="570"/>
      <c r="L58" s="570"/>
      <c r="M58" s="571"/>
      <c r="N58" s="243"/>
      <c r="O58" s="241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244"/>
      <c r="D59" s="244"/>
      <c r="E59" s="244"/>
      <c r="F59" s="512"/>
      <c r="G59" s="513"/>
      <c r="H59" s="513"/>
      <c r="I59" s="513"/>
      <c r="J59" s="513"/>
      <c r="K59" s="513"/>
      <c r="L59" s="513"/>
      <c r="M59" s="514"/>
      <c r="N59" s="243"/>
      <c r="O59" s="241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244"/>
      <c r="D60" s="244"/>
      <c r="E60" s="244"/>
      <c r="F60" s="512"/>
      <c r="G60" s="513"/>
      <c r="H60" s="513"/>
      <c r="I60" s="513"/>
      <c r="J60" s="513"/>
      <c r="K60" s="513"/>
      <c r="L60" s="513"/>
      <c r="M60" s="514"/>
      <c r="N60" s="243"/>
      <c r="O60" s="241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245"/>
      <c r="D61" s="246"/>
      <c r="E61" s="246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404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242" t="s">
        <v>2</v>
      </c>
      <c r="D63" s="242" t="s">
        <v>37</v>
      </c>
      <c r="E63" s="242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242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120</v>
      </c>
      <c r="D64" s="237"/>
      <c r="E64" s="240" t="s">
        <v>186</v>
      </c>
      <c r="F64" s="497" t="s">
        <v>405</v>
      </c>
      <c r="G64" s="498"/>
      <c r="H64" s="498"/>
      <c r="I64" s="498"/>
      <c r="J64" s="499"/>
      <c r="K64" s="485" t="s">
        <v>406</v>
      </c>
      <c r="L64" s="485"/>
      <c r="M64" s="51" t="s">
        <v>188</v>
      </c>
      <c r="N64" s="494" t="s">
        <v>189</v>
      </c>
      <c r="O64" s="494"/>
      <c r="P64" s="495">
        <v>200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112</v>
      </c>
      <c r="D65" s="237"/>
      <c r="E65" s="240" t="s">
        <v>407</v>
      </c>
      <c r="F65" s="497" t="s">
        <v>408</v>
      </c>
      <c r="G65" s="498"/>
      <c r="H65" s="498"/>
      <c r="I65" s="498"/>
      <c r="J65" s="499"/>
      <c r="K65" s="485" t="s">
        <v>128</v>
      </c>
      <c r="L65" s="485"/>
      <c r="M65" s="51" t="s">
        <v>188</v>
      </c>
      <c r="N65" s="494" t="s">
        <v>239</v>
      </c>
      <c r="O65" s="494"/>
      <c r="P65" s="495"/>
      <c r="Q65" s="495"/>
      <c r="R65" s="496" t="s">
        <v>409</v>
      </c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/>
      <c r="D66" s="237"/>
      <c r="E66" s="240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237"/>
      <c r="E67" s="240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237"/>
      <c r="E68" s="240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237"/>
      <c r="E69" s="240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237"/>
      <c r="E70" s="240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237"/>
      <c r="E71" s="240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237"/>
      <c r="E72" s="240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237"/>
      <c r="E73" s="240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410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239" t="s">
        <v>2</v>
      </c>
      <c r="D75" s="239" t="s">
        <v>37</v>
      </c>
      <c r="E75" s="239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238" t="s">
        <v>112</v>
      </c>
      <c r="D76" s="238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237"/>
      <c r="D77" s="237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237"/>
      <c r="D78" s="237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237"/>
      <c r="D79" s="237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237"/>
      <c r="D80" s="237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237"/>
      <c r="D81" s="237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237"/>
      <c r="D82" s="237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411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BBBA-D608-4BD0-9349-0C6C1D1C7286}">
  <sheetPr codeName="Sheet14"/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9" width="7.7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412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61" t="s">
        <v>17</v>
      </c>
      <c r="L5" s="261" t="s">
        <v>18</v>
      </c>
      <c r="M5" s="261" t="s">
        <v>19</v>
      </c>
      <c r="N5" s="26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238</v>
      </c>
      <c r="F6" s="30" t="s">
        <v>128</v>
      </c>
      <c r="G6" s="12">
        <v>1</v>
      </c>
      <c r="H6" s="13">
        <v>24</v>
      </c>
      <c r="I6" s="31">
        <v>23000</v>
      </c>
      <c r="J6" s="5">
        <v>5272</v>
      </c>
      <c r="K6" s="15">
        <f>L6+5516+6003+6004+2736+5509+5272</f>
        <v>31040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0.39843749999999994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363</v>
      </c>
      <c r="E7" s="53" t="s">
        <v>364</v>
      </c>
      <c r="F7" s="12" t="s">
        <v>187</v>
      </c>
      <c r="G7" s="12" t="s">
        <v>164</v>
      </c>
      <c r="H7" s="13">
        <v>24</v>
      </c>
      <c r="I7" s="31">
        <v>2000</v>
      </c>
      <c r="J7" s="14">
        <v>2363</v>
      </c>
      <c r="K7" s="15">
        <f>L7+2363</f>
        <v>2363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0.39843749999999994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1</v>
      </c>
      <c r="H8" s="35">
        <v>24</v>
      </c>
      <c r="I8" s="7">
        <v>720000</v>
      </c>
      <c r="J8" s="14">
        <v>12380</v>
      </c>
      <c r="K8" s="15">
        <f>L8+8404+12360+9142+12426+5790+11544+12480+12502+12376+12380</f>
        <v>109404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>
        <v>24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0.39843749999999994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9380</v>
      </c>
      <c r="K9" s="15">
        <f>L9+3600+2490+6946+9726+6834+4580+9464+9990+9200+6160</f>
        <v>78370</v>
      </c>
      <c r="L9" s="15">
        <f>2356*2+2334*2</f>
        <v>9380</v>
      </c>
      <c r="M9" s="15">
        <f t="shared" si="0"/>
        <v>9380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0.39843749999999994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12430</v>
      </c>
      <c r="K10" s="15">
        <f>L10+5588+11272+12940+13030+13250+11902+13058+13134+13002+13260</f>
        <v>132866</v>
      </c>
      <c r="L10" s="15">
        <f>3205*2+3010*2</f>
        <v>12430</v>
      </c>
      <c r="M10" s="15">
        <f t="shared" si="0"/>
        <v>12430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0.39843749999999994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121</v>
      </c>
      <c r="D11" s="52" t="s">
        <v>146</v>
      </c>
      <c r="E11" s="53" t="s">
        <v>390</v>
      </c>
      <c r="F11" s="30" t="s">
        <v>389</v>
      </c>
      <c r="G11" s="33">
        <v>2</v>
      </c>
      <c r="H11" s="35">
        <v>24</v>
      </c>
      <c r="I11" s="7">
        <v>2000</v>
      </c>
      <c r="J11" s="14">
        <v>2248</v>
      </c>
      <c r="K11" s="15">
        <f>L11+2248</f>
        <v>2248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0.39843749999999994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402</v>
      </c>
      <c r="F12" s="30" t="s">
        <v>129</v>
      </c>
      <c r="G12" s="33">
        <v>1</v>
      </c>
      <c r="H12" s="35">
        <v>24</v>
      </c>
      <c r="I12" s="7">
        <v>1500</v>
      </c>
      <c r="J12" s="14">
        <v>1619</v>
      </c>
      <c r="K12" s="15">
        <f>L12</f>
        <v>1619</v>
      </c>
      <c r="L12" s="15">
        <f>1619</f>
        <v>1619</v>
      </c>
      <c r="M12" s="15">
        <f t="shared" si="0"/>
        <v>1619</v>
      </c>
      <c r="N12" s="15">
        <v>0</v>
      </c>
      <c r="O12" s="58">
        <f t="shared" si="1"/>
        <v>0</v>
      </c>
      <c r="P12" s="39">
        <f t="shared" si="2"/>
        <v>9</v>
      </c>
      <c r="Q12" s="40">
        <f t="shared" si="3"/>
        <v>15</v>
      </c>
      <c r="R12" s="7"/>
      <c r="S12" s="6"/>
      <c r="T12" s="16"/>
      <c r="U12" s="16"/>
      <c r="V12" s="17"/>
      <c r="W12" s="5">
        <v>15</v>
      </c>
      <c r="X12" s="16"/>
      <c r="Y12" s="16"/>
      <c r="Z12" s="16"/>
      <c r="AA12" s="18"/>
      <c r="AB12" s="8">
        <f t="shared" si="4"/>
        <v>1</v>
      </c>
      <c r="AC12" s="9">
        <f t="shared" si="5"/>
        <v>0.375</v>
      </c>
      <c r="AD12" s="10">
        <f t="shared" si="9"/>
        <v>0.375</v>
      </c>
      <c r="AE12" s="36">
        <f t="shared" si="7"/>
        <v>0.39843749999999994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10802</v>
      </c>
      <c r="K13" s="15">
        <f>L13+10230+8758+7458+4298+5694+7524+3000+9774+6592+11326+12144+11050</f>
        <v>108650</v>
      </c>
      <c r="L13" s="15">
        <f>3026*2+2375*2</f>
        <v>10802</v>
      </c>
      <c r="M13" s="15">
        <f t="shared" si="0"/>
        <v>10802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>AC13*AB13*(1-O13)</f>
        <v>0.91666666666666663</v>
      </c>
      <c r="AE13" s="36">
        <f t="shared" si="7"/>
        <v>0.39843749999999994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0.39843749999999994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11020</v>
      </c>
      <c r="K15" s="15">
        <f>L15+2422+7588+11556+11672+6148+11316</f>
        <v>61722</v>
      </c>
      <c r="L15" s="15">
        <f>2802*2+2708*2</f>
        <v>11020</v>
      </c>
      <c r="M15" s="15">
        <f t="shared" si="0"/>
        <v>11020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0.39843749999999994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0.39843749999999994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123</v>
      </c>
      <c r="D17" s="52"/>
      <c r="E17" s="53" t="s">
        <v>162</v>
      </c>
      <c r="F17" s="30" t="s">
        <v>140</v>
      </c>
      <c r="G17" s="12">
        <v>1</v>
      </c>
      <c r="H17" s="13">
        <v>24</v>
      </c>
      <c r="I17" s="7">
        <v>5500</v>
      </c>
      <c r="J17" s="14">
        <v>2854</v>
      </c>
      <c r="K17" s="15">
        <f>L17+3532+2570+3547+2854</f>
        <v>12503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0.39843749999999994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133</v>
      </c>
      <c r="E18" s="53" t="s">
        <v>403</v>
      </c>
      <c r="F18" s="30" t="s">
        <v>225</v>
      </c>
      <c r="G18" s="33">
        <v>1</v>
      </c>
      <c r="H18" s="35">
        <v>24</v>
      </c>
      <c r="I18" s="7">
        <v>1500</v>
      </c>
      <c r="J18" s="14">
        <v>1655</v>
      </c>
      <c r="K18" s="15">
        <f>L18</f>
        <v>1655</v>
      </c>
      <c r="L18" s="15">
        <v>1655</v>
      </c>
      <c r="M18" s="15">
        <f t="shared" si="0"/>
        <v>1655</v>
      </c>
      <c r="N18" s="15">
        <v>0</v>
      </c>
      <c r="O18" s="58">
        <f t="shared" si="1"/>
        <v>0</v>
      </c>
      <c r="P18" s="39">
        <f t="shared" si="2"/>
        <v>9</v>
      </c>
      <c r="Q18" s="40">
        <f t="shared" si="3"/>
        <v>15</v>
      </c>
      <c r="R18" s="7"/>
      <c r="S18" s="6"/>
      <c r="T18" s="16"/>
      <c r="U18" s="16"/>
      <c r="V18" s="17"/>
      <c r="W18" s="5">
        <v>15</v>
      </c>
      <c r="X18" s="16"/>
      <c r="Y18" s="16"/>
      <c r="Z18" s="16"/>
      <c r="AA18" s="18"/>
      <c r="AB18" s="8">
        <f t="shared" si="4"/>
        <v>1</v>
      </c>
      <c r="AC18" s="9">
        <f t="shared" si="5"/>
        <v>0.375</v>
      </c>
      <c r="AD18" s="10">
        <f t="shared" si="6"/>
        <v>0.375</v>
      </c>
      <c r="AE18" s="36">
        <f t="shared" si="7"/>
        <v>0.39843749999999994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 t="s">
        <v>141</v>
      </c>
      <c r="E19" s="53" t="s">
        <v>379</v>
      </c>
      <c r="F19" s="30" t="s">
        <v>132</v>
      </c>
      <c r="G19" s="33">
        <v>1</v>
      </c>
      <c r="H19" s="35">
        <v>24</v>
      </c>
      <c r="I19" s="7">
        <v>14000</v>
      </c>
      <c r="J19" s="14">
        <v>6378</v>
      </c>
      <c r="K19" s="15">
        <f>L19+5224+6784</f>
        <v>18386</v>
      </c>
      <c r="L19" s="15">
        <f>3129+3249</f>
        <v>6378</v>
      </c>
      <c r="M19" s="15">
        <f t="shared" si="0"/>
        <v>6378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0.39843749999999994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7910</v>
      </c>
      <c r="K20" s="15">
        <f>L20+6852+6648+9128+6400+11510+3498+11566+8822+12584+12228+12656</f>
        <v>109802</v>
      </c>
      <c r="L20" s="15">
        <f>2906*2+1049*2</f>
        <v>7910</v>
      </c>
      <c r="M20" s="15">
        <f t="shared" si="0"/>
        <v>7910</v>
      </c>
      <c r="N20" s="15">
        <v>0</v>
      </c>
      <c r="O20" s="58">
        <f t="shared" si="1"/>
        <v>0</v>
      </c>
      <c r="P20" s="39">
        <f t="shared" si="2"/>
        <v>17</v>
      </c>
      <c r="Q20" s="40">
        <f t="shared" si="3"/>
        <v>7</v>
      </c>
      <c r="R20" s="7"/>
      <c r="S20" s="6">
        <v>7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6">
        <f t="shared" si="7"/>
        <v>0.39843749999999994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312</v>
      </c>
      <c r="F21" s="12" t="s">
        <v>114</v>
      </c>
      <c r="G21" s="12">
        <v>4</v>
      </c>
      <c r="H21" s="35">
        <v>20</v>
      </c>
      <c r="I21" s="7">
        <v>500000</v>
      </c>
      <c r="J21" s="14">
        <v>29544</v>
      </c>
      <c r="K21" s="15">
        <f>L21+16128+23540+28060+28476+48112+29544</f>
        <v>173860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0.39843749999999994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2660300</v>
      </c>
      <c r="J22" s="19">
        <f t="shared" si="10"/>
        <v>116679</v>
      </c>
      <c r="K22" s="20">
        <f t="shared" si="10"/>
        <v>845554</v>
      </c>
      <c r="L22" s="21">
        <f t="shared" si="10"/>
        <v>61194</v>
      </c>
      <c r="M22" s="20">
        <f t="shared" si="10"/>
        <v>61194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153</v>
      </c>
      <c r="Q22" s="43">
        <f t="shared" si="11"/>
        <v>231</v>
      </c>
      <c r="R22" s="23">
        <f t="shared" si="11"/>
        <v>24</v>
      </c>
      <c r="S22" s="24">
        <f t="shared" si="11"/>
        <v>57</v>
      </c>
      <c r="T22" s="24">
        <f t="shared" si="11"/>
        <v>0</v>
      </c>
      <c r="U22" s="24">
        <f t="shared" si="11"/>
        <v>0</v>
      </c>
      <c r="V22" s="25">
        <f t="shared" si="11"/>
        <v>24</v>
      </c>
      <c r="W22" s="26">
        <f t="shared" si="11"/>
        <v>102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0.5</v>
      </c>
      <c r="AC22" s="4">
        <f>AVERAGE(AC6:AC21)</f>
        <v>0.39843749999999994</v>
      </c>
      <c r="AD22" s="4">
        <f>AVERAGE(AD6:AD21)</f>
        <v>0.39843749999999994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413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415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260" t="s">
        <v>46</v>
      </c>
      <c r="D51" s="260" t="s">
        <v>47</v>
      </c>
      <c r="E51" s="260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260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257" t="s">
        <v>144</v>
      </c>
      <c r="D52" s="257" t="s">
        <v>115</v>
      </c>
      <c r="E52" s="257" t="s">
        <v>160</v>
      </c>
      <c r="F52" s="512" t="s">
        <v>232</v>
      </c>
      <c r="G52" s="513"/>
      <c r="H52" s="513"/>
      <c r="I52" s="513"/>
      <c r="J52" s="513"/>
      <c r="K52" s="513"/>
      <c r="L52" s="513"/>
      <c r="M52" s="514"/>
      <c r="N52" s="256" t="s">
        <v>112</v>
      </c>
      <c r="O52" s="254" t="s">
        <v>267</v>
      </c>
      <c r="P52" s="524" t="s">
        <v>133</v>
      </c>
      <c r="Q52" s="525"/>
      <c r="R52" s="524" t="s">
        <v>151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112</v>
      </c>
      <c r="B53" s="511"/>
      <c r="C53" s="257" t="s">
        <v>267</v>
      </c>
      <c r="D53" s="257" t="s">
        <v>115</v>
      </c>
      <c r="E53" s="257" t="s">
        <v>402</v>
      </c>
      <c r="F53" s="512" t="s">
        <v>118</v>
      </c>
      <c r="G53" s="513"/>
      <c r="H53" s="513"/>
      <c r="I53" s="513"/>
      <c r="J53" s="513"/>
      <c r="K53" s="513"/>
      <c r="L53" s="513"/>
      <c r="M53" s="514"/>
      <c r="N53" s="256" t="s">
        <v>120</v>
      </c>
      <c r="O53" s="254" t="s">
        <v>169</v>
      </c>
      <c r="P53" s="524" t="s">
        <v>146</v>
      </c>
      <c r="Q53" s="525"/>
      <c r="R53" s="524" t="s">
        <v>416</v>
      </c>
      <c r="S53" s="526"/>
      <c r="T53" s="526"/>
      <c r="U53" s="525"/>
      <c r="V53" s="496" t="s">
        <v>118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72" t="s">
        <v>112</v>
      </c>
      <c r="B54" s="525"/>
      <c r="C54" s="257" t="s">
        <v>197</v>
      </c>
      <c r="D54" s="257" t="s">
        <v>115</v>
      </c>
      <c r="E54" s="257" t="s">
        <v>403</v>
      </c>
      <c r="F54" s="512" t="s">
        <v>118</v>
      </c>
      <c r="G54" s="513"/>
      <c r="H54" s="513"/>
      <c r="I54" s="513"/>
      <c r="J54" s="513"/>
      <c r="K54" s="513"/>
      <c r="L54" s="513"/>
      <c r="M54" s="514"/>
      <c r="N54" s="256" t="s">
        <v>121</v>
      </c>
      <c r="O54" s="254" t="s">
        <v>203</v>
      </c>
      <c r="P54" s="524" t="s">
        <v>115</v>
      </c>
      <c r="Q54" s="525"/>
      <c r="R54" s="524" t="s">
        <v>417</v>
      </c>
      <c r="S54" s="526"/>
      <c r="T54" s="526"/>
      <c r="U54" s="525"/>
      <c r="V54" s="496" t="s">
        <v>418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72" t="s">
        <v>121</v>
      </c>
      <c r="B55" s="525"/>
      <c r="C55" s="257" t="s">
        <v>203</v>
      </c>
      <c r="D55" s="257" t="s">
        <v>115</v>
      </c>
      <c r="E55" s="257" t="s">
        <v>200</v>
      </c>
      <c r="F55" s="512" t="s">
        <v>414</v>
      </c>
      <c r="G55" s="513"/>
      <c r="H55" s="513"/>
      <c r="I55" s="513"/>
      <c r="J55" s="513"/>
      <c r="K55" s="513"/>
      <c r="L55" s="513"/>
      <c r="M55" s="514"/>
      <c r="N55" s="256" t="s">
        <v>121</v>
      </c>
      <c r="O55" s="254" t="s">
        <v>229</v>
      </c>
      <c r="P55" s="524" t="s">
        <v>141</v>
      </c>
      <c r="Q55" s="525"/>
      <c r="R55" s="524" t="s">
        <v>419</v>
      </c>
      <c r="S55" s="526"/>
      <c r="T55" s="526"/>
      <c r="U55" s="525"/>
      <c r="V55" s="496" t="s">
        <v>418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/>
      <c r="B56" s="511"/>
      <c r="C56" s="257"/>
      <c r="D56" s="257"/>
      <c r="E56" s="257"/>
      <c r="F56" s="512"/>
      <c r="G56" s="513"/>
      <c r="H56" s="513"/>
      <c r="I56" s="513"/>
      <c r="J56" s="513"/>
      <c r="K56" s="513"/>
      <c r="L56" s="513"/>
      <c r="M56" s="514"/>
      <c r="N56" s="256"/>
      <c r="O56" s="254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257"/>
      <c r="D57" s="257"/>
      <c r="E57" s="257"/>
      <c r="F57" s="512"/>
      <c r="G57" s="513"/>
      <c r="H57" s="513"/>
      <c r="I57" s="513"/>
      <c r="J57" s="513"/>
      <c r="K57" s="513"/>
      <c r="L57" s="513"/>
      <c r="M57" s="514"/>
      <c r="N57" s="256"/>
      <c r="O57" s="254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262"/>
      <c r="D58" s="262"/>
      <c r="E58" s="262"/>
      <c r="F58" s="569"/>
      <c r="G58" s="570"/>
      <c r="H58" s="570"/>
      <c r="I58" s="570"/>
      <c r="J58" s="570"/>
      <c r="K58" s="570"/>
      <c r="L58" s="570"/>
      <c r="M58" s="571"/>
      <c r="N58" s="256"/>
      <c r="O58" s="254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/>
      <c r="B59" s="511"/>
      <c r="C59" s="257"/>
      <c r="D59" s="257"/>
      <c r="E59" s="257"/>
      <c r="F59" s="512"/>
      <c r="G59" s="513"/>
      <c r="H59" s="513"/>
      <c r="I59" s="513"/>
      <c r="J59" s="513"/>
      <c r="K59" s="513"/>
      <c r="L59" s="513"/>
      <c r="M59" s="514"/>
      <c r="N59" s="256"/>
      <c r="O59" s="254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257"/>
      <c r="D60" s="257"/>
      <c r="E60" s="257"/>
      <c r="F60" s="512"/>
      <c r="G60" s="513"/>
      <c r="H60" s="513"/>
      <c r="I60" s="513"/>
      <c r="J60" s="513"/>
      <c r="K60" s="513"/>
      <c r="L60" s="513"/>
      <c r="M60" s="514"/>
      <c r="N60" s="256"/>
      <c r="O60" s="254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258"/>
      <c r="D61" s="259"/>
      <c r="E61" s="259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420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255" t="s">
        <v>2</v>
      </c>
      <c r="D63" s="255" t="s">
        <v>37</v>
      </c>
      <c r="E63" s="255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255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112</v>
      </c>
      <c r="D64" s="250"/>
      <c r="E64" s="253" t="s">
        <v>407</v>
      </c>
      <c r="F64" s="497" t="s">
        <v>421</v>
      </c>
      <c r="G64" s="498"/>
      <c r="H64" s="498"/>
      <c r="I64" s="498"/>
      <c r="J64" s="499"/>
      <c r="K64" s="485" t="s">
        <v>128</v>
      </c>
      <c r="L64" s="485"/>
      <c r="M64" s="51" t="s">
        <v>188</v>
      </c>
      <c r="N64" s="494" t="s">
        <v>239</v>
      </c>
      <c r="O64" s="494"/>
      <c r="P64" s="495">
        <v>200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112</v>
      </c>
      <c r="D65" s="250"/>
      <c r="E65" s="253" t="s">
        <v>407</v>
      </c>
      <c r="F65" s="497" t="s">
        <v>408</v>
      </c>
      <c r="G65" s="498"/>
      <c r="H65" s="498"/>
      <c r="I65" s="498"/>
      <c r="J65" s="499"/>
      <c r="K65" s="485" t="s">
        <v>128</v>
      </c>
      <c r="L65" s="485"/>
      <c r="M65" s="51" t="s">
        <v>188</v>
      </c>
      <c r="N65" s="494" t="s">
        <v>239</v>
      </c>
      <c r="O65" s="494"/>
      <c r="P65" s="495">
        <v>200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/>
      <c r="D66" s="250"/>
      <c r="E66" s="253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250"/>
      <c r="E67" s="253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250"/>
      <c r="E68" s="253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250"/>
      <c r="E69" s="253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250"/>
      <c r="E70" s="253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250"/>
      <c r="E71" s="253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250"/>
      <c r="E72" s="253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250"/>
      <c r="E73" s="253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422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252" t="s">
        <v>2</v>
      </c>
      <c r="D75" s="252" t="s">
        <v>37</v>
      </c>
      <c r="E75" s="252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251" t="s">
        <v>112</v>
      </c>
      <c r="D76" s="251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250"/>
      <c r="D77" s="250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250"/>
      <c r="D78" s="250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250"/>
      <c r="D79" s="250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250"/>
      <c r="D80" s="250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250"/>
      <c r="D81" s="250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250"/>
      <c r="D82" s="250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423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B1E1-8D77-4D72-B457-2FD7D62426CD}">
  <sheetPr codeName="Sheet15"/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9" width="7.7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424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63" t="s">
        <v>17</v>
      </c>
      <c r="L5" s="263" t="s">
        <v>18</v>
      </c>
      <c r="M5" s="263" t="s">
        <v>19</v>
      </c>
      <c r="N5" s="26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425</v>
      </c>
      <c r="F6" s="30" t="s">
        <v>128</v>
      </c>
      <c r="G6" s="12">
        <v>1</v>
      </c>
      <c r="H6" s="13">
        <v>24</v>
      </c>
      <c r="I6" s="31">
        <v>5000</v>
      </c>
      <c r="J6" s="5">
        <v>4718</v>
      </c>
      <c r="K6" s="15">
        <f>L6</f>
        <v>4718</v>
      </c>
      <c r="L6" s="15">
        <f>1795+2923</f>
        <v>4718</v>
      </c>
      <c r="M6" s="15">
        <f t="shared" ref="M6:M23" si="0">L6-N6</f>
        <v>4718</v>
      </c>
      <c r="N6" s="15">
        <v>0</v>
      </c>
      <c r="O6" s="58">
        <f t="shared" ref="O6:O24" si="1">IF(L6=0,"0",N6/L6)</f>
        <v>0</v>
      </c>
      <c r="P6" s="39">
        <f t="shared" ref="P6:P23" si="2">IF(L6=0,"0",(24-Q6))</f>
        <v>22</v>
      </c>
      <c r="Q6" s="40">
        <f t="shared" ref="Q6:Q23" si="3">SUM(R6:AA6)</f>
        <v>2</v>
      </c>
      <c r="R6" s="7"/>
      <c r="S6" s="6"/>
      <c r="T6" s="16">
        <v>2</v>
      </c>
      <c r="U6" s="16"/>
      <c r="V6" s="17"/>
      <c r="W6" s="5"/>
      <c r="X6" s="16"/>
      <c r="Y6" s="16"/>
      <c r="Z6" s="16"/>
      <c r="AA6" s="18"/>
      <c r="AB6" s="8">
        <f t="shared" ref="AB6:AB23" si="4">IF(J6=0,"0",(L6/J6))</f>
        <v>1</v>
      </c>
      <c r="AC6" s="9">
        <f t="shared" ref="AC6:AC23" si="5">IF(P6=0,"0",(P6/24))</f>
        <v>0.91666666666666663</v>
      </c>
      <c r="AD6" s="10">
        <f t="shared" ref="AD6:AD23" si="6">AC6*AB6*(1-O6)</f>
        <v>0.91666666666666663</v>
      </c>
      <c r="AE6" s="36">
        <f t="shared" ref="AE6:AE23" si="7">$AD$24</f>
        <v>0.50462962962962954</v>
      </c>
      <c r="AF6" s="84">
        <f t="shared" ref="AF6:AF23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363</v>
      </c>
      <c r="E7" s="53" t="s">
        <v>364</v>
      </c>
      <c r="F7" s="12" t="s">
        <v>187</v>
      </c>
      <c r="G7" s="12" t="s">
        <v>164</v>
      </c>
      <c r="H7" s="13">
        <v>24</v>
      </c>
      <c r="I7" s="31">
        <v>2000</v>
      </c>
      <c r="J7" s="14">
        <v>2363</v>
      </c>
      <c r="K7" s="15">
        <f>L7+2363</f>
        <v>2363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0.50462962962962954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22896</v>
      </c>
      <c r="K8" s="15">
        <f>L8+8404+12360+9142+12426+5790+11544+12480+12502+12376+12380</f>
        <v>132300</v>
      </c>
      <c r="L8" s="15">
        <f>3200*4+2524*4</f>
        <v>22896</v>
      </c>
      <c r="M8" s="15">
        <f t="shared" si="0"/>
        <v>22896</v>
      </c>
      <c r="N8" s="15">
        <v>0</v>
      </c>
      <c r="O8" s="58">
        <f t="shared" si="1"/>
        <v>0</v>
      </c>
      <c r="P8" s="39">
        <f t="shared" si="2"/>
        <v>23</v>
      </c>
      <c r="Q8" s="40">
        <f t="shared" si="3"/>
        <v>1</v>
      </c>
      <c r="R8" s="7"/>
      <c r="S8" s="6"/>
      <c r="T8" s="16">
        <v>1</v>
      </c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0.95833333333333337</v>
      </c>
      <c r="AD8" s="10">
        <f t="shared" si="6"/>
        <v>0.95833333333333337</v>
      </c>
      <c r="AE8" s="36">
        <f t="shared" si="7"/>
        <v>0.50462962962962954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115</v>
      </c>
      <c r="E9" s="53" t="s">
        <v>152</v>
      </c>
      <c r="F9" s="30" t="s">
        <v>132</v>
      </c>
      <c r="G9" s="33">
        <v>2</v>
      </c>
      <c r="H9" s="35">
        <v>24</v>
      </c>
      <c r="I9" s="7">
        <v>77000</v>
      </c>
      <c r="J9" s="14">
        <v>6224</v>
      </c>
      <c r="K9" s="15">
        <f>L9+3600+2490+6946+9726+6834+4580+9464+9990+9200+6160+9380</f>
        <v>84594</v>
      </c>
      <c r="L9" s="15">
        <f>939*2+2173*2</f>
        <v>6224</v>
      </c>
      <c r="M9" s="15">
        <f t="shared" si="0"/>
        <v>6224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/>
      <c r="T9" s="16"/>
      <c r="U9" s="16"/>
      <c r="V9" s="17"/>
      <c r="W9" s="5">
        <v>7</v>
      </c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0.50462962962962954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11760</v>
      </c>
      <c r="K10" s="15">
        <f>L10+5588+11272+12940+13030+13250+11902+13058+13134+13002+13260+12430</f>
        <v>144626</v>
      </c>
      <c r="L10" s="15">
        <f>3442*2+201*2+2237*2</f>
        <v>11760</v>
      </c>
      <c r="M10" s="15">
        <f t="shared" si="0"/>
        <v>11760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0.50462962962962954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146</v>
      </c>
      <c r="E11" s="53" t="s">
        <v>416</v>
      </c>
      <c r="F11" s="30" t="s">
        <v>131</v>
      </c>
      <c r="G11" s="33">
        <v>1</v>
      </c>
      <c r="H11" s="35">
        <v>24</v>
      </c>
      <c r="I11" s="7">
        <v>1000</v>
      </c>
      <c r="J11" s="14">
        <v>5384</v>
      </c>
      <c r="K11" s="15">
        <f>L11</f>
        <v>5384</v>
      </c>
      <c r="L11" s="15">
        <f>2477+2907</f>
        <v>5384</v>
      </c>
      <c r="M11" s="15">
        <f t="shared" si="0"/>
        <v>5384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0.50462962962962954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5170</v>
      </c>
      <c r="K12" s="15">
        <f>L12+4200+2432+5144+6184+11076+3614+6628+6254+3106</f>
        <v>53808</v>
      </c>
      <c r="L12" s="15">
        <f>2585*2</f>
        <v>5170</v>
      </c>
      <c r="M12" s="15">
        <f t="shared" si="0"/>
        <v>5170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si="9"/>
        <v>0.58333333333333337</v>
      </c>
      <c r="AE12" s="36">
        <f t="shared" si="7"/>
        <v>0.50462962962962954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120000</v>
      </c>
      <c r="J13" s="5">
        <v>10910</v>
      </c>
      <c r="K13" s="15">
        <f>L13+10230+8758+7458+4298+5694+7524+3000+9774+6592+11326+12144+11050+10802</f>
        <v>119560</v>
      </c>
      <c r="L13" s="15">
        <f>3497*2+1958*2</f>
        <v>10910</v>
      </c>
      <c r="M13" s="15">
        <f t="shared" si="0"/>
        <v>10910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>AC13*AB13*(1-O13)</f>
        <v>0.91666666666666663</v>
      </c>
      <c r="AE13" s="36">
        <f t="shared" si="7"/>
        <v>0.50462962962962954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0.50462962962962954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112</v>
      </c>
      <c r="D15" s="52" t="s">
        <v>130</v>
      </c>
      <c r="E15" s="53" t="s">
        <v>161</v>
      </c>
      <c r="F15" s="12">
        <v>8301</v>
      </c>
      <c r="G15" s="12">
        <v>1</v>
      </c>
      <c r="H15" s="13">
        <v>24</v>
      </c>
      <c r="I15" s="31">
        <v>73000</v>
      </c>
      <c r="J15" s="14">
        <v>8920</v>
      </c>
      <c r="K15" s="15">
        <f>L15+2422+7588+11556+11672+6148+11316+11020</f>
        <v>70642</v>
      </c>
      <c r="L15" s="15">
        <f>2725*2+1735*2</f>
        <v>8920</v>
      </c>
      <c r="M15" s="15">
        <f t="shared" si="0"/>
        <v>8920</v>
      </c>
      <c r="N15" s="15">
        <v>0</v>
      </c>
      <c r="O15" s="58">
        <f t="shared" si="1"/>
        <v>0</v>
      </c>
      <c r="P15" s="39">
        <f t="shared" si="2"/>
        <v>20</v>
      </c>
      <c r="Q15" s="40">
        <f t="shared" si="3"/>
        <v>4</v>
      </c>
      <c r="R15" s="7"/>
      <c r="S15" s="6">
        <v>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0.83333333333333337</v>
      </c>
      <c r="AD15" s="10">
        <f t="shared" si="6"/>
        <v>0.83333333333333337</v>
      </c>
      <c r="AE15" s="36">
        <f t="shared" si="7"/>
        <v>0.50462962962962954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0.50462962962962954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186</v>
      </c>
      <c r="E17" s="53" t="s">
        <v>244</v>
      </c>
      <c r="F17" s="30" t="s">
        <v>187</v>
      </c>
      <c r="G17" s="12">
        <v>1</v>
      </c>
      <c r="H17" s="13">
        <v>24</v>
      </c>
      <c r="I17" s="7">
        <v>1000</v>
      </c>
      <c r="J17" s="14">
        <v>1160</v>
      </c>
      <c r="K17" s="15">
        <f>L17</f>
        <v>1160</v>
      </c>
      <c r="L17" s="15">
        <f>580*2</f>
        <v>1160</v>
      </c>
      <c r="M17" s="15">
        <f t="shared" ref="M17" si="10">L17-N17</f>
        <v>1160</v>
      </c>
      <c r="N17" s="15">
        <v>0</v>
      </c>
      <c r="O17" s="58">
        <f t="shared" ref="O17" si="11">IF(L17=0,"0",N17/L17)</f>
        <v>0</v>
      </c>
      <c r="P17" s="39">
        <f t="shared" ref="P17" si="12">IF(L17=0,"0",(24-Q17))</f>
        <v>4</v>
      </c>
      <c r="Q17" s="40">
        <f t="shared" ref="Q17" si="13">SUM(R17:AA17)</f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ref="AB17" si="14">IF(J17=0,"0",(L17/J17))</f>
        <v>1</v>
      </c>
      <c r="AC17" s="9">
        <f t="shared" ref="AC17" si="15">IF(P17=0,"0",(P17/24))</f>
        <v>0.16666666666666666</v>
      </c>
      <c r="AD17" s="10">
        <f t="shared" ref="AD17" si="16">AC17*AB17*(1-O17)</f>
        <v>0.16666666666666666</v>
      </c>
      <c r="AE17" s="36">
        <f t="shared" si="7"/>
        <v>0.50462962962962954</v>
      </c>
      <c r="AF17" s="84">
        <f t="shared" ref="AF17" si="17">A17</f>
        <v>12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130</v>
      </c>
      <c r="E18" s="53" t="s">
        <v>271</v>
      </c>
      <c r="F18" s="30" t="s">
        <v>187</v>
      </c>
      <c r="G18" s="12">
        <v>1</v>
      </c>
      <c r="H18" s="13">
        <v>24</v>
      </c>
      <c r="I18" s="7">
        <v>38000</v>
      </c>
      <c r="J18" s="14">
        <v>3089</v>
      </c>
      <c r="K18" s="15">
        <f>L18</f>
        <v>3089</v>
      </c>
      <c r="L18" s="15">
        <f>3089</f>
        <v>3089</v>
      </c>
      <c r="M18" s="15">
        <f t="shared" si="0"/>
        <v>3089</v>
      </c>
      <c r="N18" s="15">
        <v>0</v>
      </c>
      <c r="O18" s="58">
        <f t="shared" si="1"/>
        <v>0</v>
      </c>
      <c r="P18" s="39">
        <f t="shared" si="2"/>
        <v>14</v>
      </c>
      <c r="Q18" s="40">
        <f t="shared" si="3"/>
        <v>10</v>
      </c>
      <c r="R18" s="7"/>
      <c r="S18" s="6"/>
      <c r="T18" s="16">
        <v>10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6">
        <f t="shared" si="7"/>
        <v>0.50462962962962954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121</v>
      </c>
      <c r="D19" s="52" t="s">
        <v>150</v>
      </c>
      <c r="E19" s="53" t="s">
        <v>198</v>
      </c>
      <c r="F19" s="30" t="s">
        <v>124</v>
      </c>
      <c r="G19" s="33">
        <v>2</v>
      </c>
      <c r="H19" s="35">
        <v>24</v>
      </c>
      <c r="I19" s="7">
        <v>1000</v>
      </c>
      <c r="J19" s="14">
        <v>1000</v>
      </c>
      <c r="K19" s="15">
        <f>L19</f>
        <v>1000</v>
      </c>
      <c r="L19" s="15">
        <f>500*2</f>
        <v>1000</v>
      </c>
      <c r="M19" s="15">
        <f t="shared" ref="M19" si="18">L19-N19</f>
        <v>1000</v>
      </c>
      <c r="N19" s="15">
        <v>0</v>
      </c>
      <c r="O19" s="58">
        <f t="shared" ref="O19" si="19">IF(L19=0,"0",N19/L19)</f>
        <v>0</v>
      </c>
      <c r="P19" s="39">
        <f t="shared" ref="P19" si="20">IF(L19=0,"0",(24-Q19))</f>
        <v>4</v>
      </c>
      <c r="Q19" s="40">
        <f t="shared" ref="Q19" si="21">SUM(R19:AA19)</f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ref="AB19" si="22">IF(J19=0,"0",(L19/J19))</f>
        <v>1</v>
      </c>
      <c r="AC19" s="9">
        <f t="shared" ref="AC19" si="23">IF(P19=0,"0",(P19/24))</f>
        <v>0.16666666666666666</v>
      </c>
      <c r="AD19" s="10">
        <f t="shared" ref="AD19" si="24">AC19*AB19*(1-O19)</f>
        <v>0.16666666666666666</v>
      </c>
      <c r="AE19" s="36">
        <f t="shared" si="7"/>
        <v>0.50462962962962954</v>
      </c>
      <c r="AF19" s="84">
        <f t="shared" ref="AF19" si="25">A19</f>
        <v>13</v>
      </c>
    </row>
    <row r="20" spans="1:32" ht="27" customHeight="1">
      <c r="A20" s="96">
        <v>13</v>
      </c>
      <c r="B20" s="11" t="s">
        <v>57</v>
      </c>
      <c r="C20" s="11" t="s">
        <v>121</v>
      </c>
      <c r="D20" s="52" t="s">
        <v>141</v>
      </c>
      <c r="E20" s="53" t="s">
        <v>195</v>
      </c>
      <c r="F20" s="30" t="s">
        <v>124</v>
      </c>
      <c r="G20" s="33">
        <v>2</v>
      </c>
      <c r="H20" s="35">
        <v>24</v>
      </c>
      <c r="I20" s="7">
        <v>1000</v>
      </c>
      <c r="J20" s="14">
        <v>1280</v>
      </c>
      <c r="K20" s="15">
        <f>L20</f>
        <v>1280</v>
      </c>
      <c r="L20" s="15">
        <f>640*2</f>
        <v>1280</v>
      </c>
      <c r="M20" s="15">
        <f t="shared" si="0"/>
        <v>1280</v>
      </c>
      <c r="N20" s="15">
        <v>0</v>
      </c>
      <c r="O20" s="58">
        <f t="shared" si="1"/>
        <v>0</v>
      </c>
      <c r="P20" s="39">
        <f t="shared" si="2"/>
        <v>4</v>
      </c>
      <c r="Q20" s="40">
        <f t="shared" si="3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4"/>
        <v>1</v>
      </c>
      <c r="AC20" s="9">
        <f t="shared" si="5"/>
        <v>0.16666666666666666</v>
      </c>
      <c r="AD20" s="10">
        <f t="shared" si="6"/>
        <v>0.16666666666666666</v>
      </c>
      <c r="AE20" s="36">
        <f t="shared" si="7"/>
        <v>0.50462962962962954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121</v>
      </c>
      <c r="D21" s="52" t="s">
        <v>115</v>
      </c>
      <c r="E21" s="53" t="s">
        <v>278</v>
      </c>
      <c r="F21" s="30" t="s">
        <v>124</v>
      </c>
      <c r="G21" s="33">
        <v>2</v>
      </c>
      <c r="H21" s="35">
        <v>24</v>
      </c>
      <c r="I21" s="7">
        <v>1000</v>
      </c>
      <c r="J21" s="14">
        <v>1360</v>
      </c>
      <c r="K21" s="15">
        <f>L21</f>
        <v>1360</v>
      </c>
      <c r="L21" s="15">
        <f>680*2</f>
        <v>1360</v>
      </c>
      <c r="M21" s="15">
        <f t="shared" si="0"/>
        <v>1360</v>
      </c>
      <c r="N21" s="15">
        <v>0</v>
      </c>
      <c r="O21" s="58">
        <f t="shared" si="1"/>
        <v>0</v>
      </c>
      <c r="P21" s="39">
        <f t="shared" si="2"/>
        <v>4</v>
      </c>
      <c r="Q21" s="40">
        <f t="shared" si="3"/>
        <v>20</v>
      </c>
      <c r="R21" s="7"/>
      <c r="S21" s="6"/>
      <c r="T21" s="16"/>
      <c r="U21" s="16"/>
      <c r="V21" s="17"/>
      <c r="W21" s="5">
        <v>20</v>
      </c>
      <c r="X21" s="16"/>
      <c r="Y21" s="16"/>
      <c r="Z21" s="16"/>
      <c r="AA21" s="18"/>
      <c r="AB21" s="8">
        <f t="shared" si="4"/>
        <v>1</v>
      </c>
      <c r="AC21" s="9">
        <f t="shared" si="5"/>
        <v>0.16666666666666666</v>
      </c>
      <c r="AD21" s="10">
        <f t="shared" si="6"/>
        <v>0.16666666666666666</v>
      </c>
      <c r="AE21" s="36">
        <f t="shared" si="7"/>
        <v>0.50462962962962954</v>
      </c>
      <c r="AF21" s="84">
        <f t="shared" si="8"/>
        <v>14</v>
      </c>
    </row>
    <row r="22" spans="1:32" ht="27" customHeight="1">
      <c r="A22" s="113">
        <v>15</v>
      </c>
      <c r="B22" s="11" t="s">
        <v>57</v>
      </c>
      <c r="C22" s="34" t="s">
        <v>121</v>
      </c>
      <c r="D22" s="52" t="s">
        <v>115</v>
      </c>
      <c r="E22" s="53" t="s">
        <v>200</v>
      </c>
      <c r="F22" s="30" t="s">
        <v>124</v>
      </c>
      <c r="G22" s="12">
        <v>2</v>
      </c>
      <c r="H22" s="13">
        <v>28</v>
      </c>
      <c r="I22" s="31">
        <v>400000</v>
      </c>
      <c r="J22" s="5">
        <v>7910</v>
      </c>
      <c r="K22" s="15">
        <f>L22+6852+6648+9128+6400+11510+3498+11566+8822+12584+12228+12656+7910</f>
        <v>109802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>
        <v>24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0.50462962962962954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312</v>
      </c>
      <c r="F23" s="12" t="s">
        <v>114</v>
      </c>
      <c r="G23" s="12">
        <v>4</v>
      </c>
      <c r="H23" s="35">
        <v>20</v>
      </c>
      <c r="I23" s="7">
        <v>500000</v>
      </c>
      <c r="J23" s="14">
        <v>38408</v>
      </c>
      <c r="K23" s="15">
        <f>L23+16128+23540+28060+28476+48112+29544</f>
        <v>212268</v>
      </c>
      <c r="L23" s="15">
        <f>4687*4+4915*4</f>
        <v>38408</v>
      </c>
      <c r="M23" s="15">
        <f t="shared" si="0"/>
        <v>38408</v>
      </c>
      <c r="N23" s="15">
        <v>0</v>
      </c>
      <c r="O23" s="58">
        <f t="shared" si="1"/>
        <v>0</v>
      </c>
      <c r="P23" s="39">
        <f t="shared" si="2"/>
        <v>22</v>
      </c>
      <c r="Q23" s="40">
        <f t="shared" si="3"/>
        <v>2</v>
      </c>
      <c r="R23" s="7"/>
      <c r="S23" s="6">
        <v>2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0.91666666666666663</v>
      </c>
      <c r="AD23" s="10">
        <f t="shared" si="6"/>
        <v>0.91666666666666663</v>
      </c>
      <c r="AE23" s="36">
        <f t="shared" si="7"/>
        <v>0.50462962962962954</v>
      </c>
      <c r="AF23" s="84">
        <f t="shared" si="8"/>
        <v>16</v>
      </c>
    </row>
    <row r="24" spans="1:32" ht="31.5" customHeight="1" thickBot="1">
      <c r="A24" s="529" t="s">
        <v>34</v>
      </c>
      <c r="B24" s="530"/>
      <c r="C24" s="530"/>
      <c r="D24" s="530"/>
      <c r="E24" s="530"/>
      <c r="F24" s="530"/>
      <c r="G24" s="530"/>
      <c r="H24" s="531"/>
      <c r="I24" s="22">
        <f t="shared" ref="I24:N24" si="26">SUM(I6:I23)</f>
        <v>2733800</v>
      </c>
      <c r="J24" s="19">
        <f t="shared" si="26"/>
        <v>133376</v>
      </c>
      <c r="K24" s="20">
        <f t="shared" si="26"/>
        <v>949020</v>
      </c>
      <c r="L24" s="21">
        <f t="shared" si="26"/>
        <v>122279</v>
      </c>
      <c r="M24" s="20">
        <f t="shared" si="26"/>
        <v>122279</v>
      </c>
      <c r="N24" s="21">
        <f t="shared" si="26"/>
        <v>0</v>
      </c>
      <c r="O24" s="41">
        <f t="shared" si="1"/>
        <v>0</v>
      </c>
      <c r="P24" s="42">
        <f t="shared" ref="P24:AA24" si="27">SUM(P6:P23)</f>
        <v>218</v>
      </c>
      <c r="Q24" s="43">
        <f t="shared" si="27"/>
        <v>214</v>
      </c>
      <c r="R24" s="23">
        <f t="shared" si="27"/>
        <v>24</v>
      </c>
      <c r="S24" s="24">
        <f t="shared" si="27"/>
        <v>42</v>
      </c>
      <c r="T24" s="24">
        <f t="shared" si="27"/>
        <v>13</v>
      </c>
      <c r="U24" s="24">
        <f t="shared" si="27"/>
        <v>0</v>
      </c>
      <c r="V24" s="25">
        <f t="shared" si="27"/>
        <v>0</v>
      </c>
      <c r="W24" s="26">
        <f t="shared" si="27"/>
        <v>135</v>
      </c>
      <c r="X24" s="27">
        <f t="shared" si="27"/>
        <v>0</v>
      </c>
      <c r="Y24" s="27">
        <f t="shared" si="27"/>
        <v>0</v>
      </c>
      <c r="Z24" s="27">
        <f t="shared" si="27"/>
        <v>0</v>
      </c>
      <c r="AA24" s="27">
        <f t="shared" si="27"/>
        <v>0</v>
      </c>
      <c r="AB24" s="28">
        <f>AVERAGE(AB6:AB23)</f>
        <v>0.77777777777777779</v>
      </c>
      <c r="AC24" s="4">
        <f>AVERAGE(AC6:AC23)</f>
        <v>0.50462962962962954</v>
      </c>
      <c r="AD24" s="4">
        <f>AVERAGE(AD6:AD23)</f>
        <v>0.50462962962962954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32" t="s">
        <v>45</v>
      </c>
      <c r="B51" s="532"/>
      <c r="C51" s="532"/>
      <c r="D51" s="532"/>
      <c r="E51" s="532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33" t="s">
        <v>426</v>
      </c>
      <c r="B52" s="534"/>
      <c r="C52" s="534"/>
      <c r="D52" s="534"/>
      <c r="E52" s="534"/>
      <c r="F52" s="534"/>
      <c r="G52" s="534"/>
      <c r="H52" s="534"/>
      <c r="I52" s="534"/>
      <c r="J52" s="534"/>
      <c r="K52" s="534"/>
      <c r="L52" s="534"/>
      <c r="M52" s="535"/>
      <c r="N52" s="536" t="s">
        <v>428</v>
      </c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8"/>
    </row>
    <row r="53" spans="1:32" ht="27" customHeight="1">
      <c r="A53" s="539" t="s">
        <v>2</v>
      </c>
      <c r="B53" s="540"/>
      <c r="C53" s="264" t="s">
        <v>46</v>
      </c>
      <c r="D53" s="264" t="s">
        <v>47</v>
      </c>
      <c r="E53" s="264" t="s">
        <v>107</v>
      </c>
      <c r="F53" s="541" t="s">
        <v>106</v>
      </c>
      <c r="G53" s="542"/>
      <c r="H53" s="542"/>
      <c r="I53" s="542"/>
      <c r="J53" s="542"/>
      <c r="K53" s="542"/>
      <c r="L53" s="542"/>
      <c r="M53" s="543"/>
      <c r="N53" s="67" t="s">
        <v>110</v>
      </c>
      <c r="O53" s="264" t="s">
        <v>46</v>
      </c>
      <c r="P53" s="541" t="s">
        <v>47</v>
      </c>
      <c r="Q53" s="544"/>
      <c r="R53" s="541" t="s">
        <v>38</v>
      </c>
      <c r="S53" s="542"/>
      <c r="T53" s="542"/>
      <c r="U53" s="544"/>
      <c r="V53" s="541" t="s">
        <v>48</v>
      </c>
      <c r="W53" s="542"/>
      <c r="X53" s="542"/>
      <c r="Y53" s="542"/>
      <c r="Z53" s="542"/>
      <c r="AA53" s="542"/>
      <c r="AB53" s="542"/>
      <c r="AC53" s="542"/>
      <c r="AD53" s="543"/>
    </row>
    <row r="54" spans="1:32" ht="27" customHeight="1">
      <c r="A54" s="510" t="s">
        <v>121</v>
      </c>
      <c r="B54" s="511"/>
      <c r="C54" s="266" t="s">
        <v>144</v>
      </c>
      <c r="D54" s="266" t="s">
        <v>115</v>
      </c>
      <c r="E54" s="266" t="s">
        <v>160</v>
      </c>
      <c r="F54" s="512" t="s">
        <v>232</v>
      </c>
      <c r="G54" s="513"/>
      <c r="H54" s="513"/>
      <c r="I54" s="513"/>
      <c r="J54" s="513"/>
      <c r="K54" s="513"/>
      <c r="L54" s="513"/>
      <c r="M54" s="514"/>
      <c r="N54" s="265" t="s">
        <v>120</v>
      </c>
      <c r="O54" s="271" t="s">
        <v>239</v>
      </c>
      <c r="P54" s="524" t="s">
        <v>130</v>
      </c>
      <c r="Q54" s="525"/>
      <c r="R54" s="524" t="s">
        <v>425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112</v>
      </c>
      <c r="B55" s="511"/>
      <c r="C55" s="266" t="s">
        <v>267</v>
      </c>
      <c r="D55" s="266" t="s">
        <v>133</v>
      </c>
      <c r="E55" s="266" t="s">
        <v>151</v>
      </c>
      <c r="F55" s="512" t="s">
        <v>180</v>
      </c>
      <c r="G55" s="513"/>
      <c r="H55" s="513"/>
      <c r="I55" s="513"/>
      <c r="J55" s="513"/>
      <c r="K55" s="513"/>
      <c r="L55" s="513"/>
      <c r="M55" s="514"/>
      <c r="N55" s="265" t="s">
        <v>429</v>
      </c>
      <c r="O55" s="271" t="s">
        <v>189</v>
      </c>
      <c r="P55" s="524"/>
      <c r="Q55" s="525"/>
      <c r="R55" s="524" t="s">
        <v>430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72" t="s">
        <v>120</v>
      </c>
      <c r="B56" s="525"/>
      <c r="C56" s="266" t="s">
        <v>239</v>
      </c>
      <c r="D56" s="266" t="s">
        <v>130</v>
      </c>
      <c r="E56" s="266" t="s">
        <v>425</v>
      </c>
      <c r="F56" s="512" t="s">
        <v>427</v>
      </c>
      <c r="G56" s="513"/>
      <c r="H56" s="513"/>
      <c r="I56" s="513"/>
      <c r="J56" s="513"/>
      <c r="K56" s="513"/>
      <c r="L56" s="513"/>
      <c r="M56" s="514"/>
      <c r="N56" s="265" t="s">
        <v>429</v>
      </c>
      <c r="O56" s="271" t="s">
        <v>284</v>
      </c>
      <c r="P56" s="524"/>
      <c r="Q56" s="525"/>
      <c r="R56" s="524" t="s">
        <v>431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72" t="s">
        <v>112</v>
      </c>
      <c r="B57" s="525"/>
      <c r="C57" s="266" t="s">
        <v>174</v>
      </c>
      <c r="D57" s="266" t="s">
        <v>130</v>
      </c>
      <c r="E57" s="266" t="s">
        <v>382</v>
      </c>
      <c r="F57" s="512" t="s">
        <v>231</v>
      </c>
      <c r="G57" s="513"/>
      <c r="H57" s="513"/>
      <c r="I57" s="513"/>
      <c r="J57" s="513"/>
      <c r="K57" s="513"/>
      <c r="L57" s="513"/>
      <c r="M57" s="514"/>
      <c r="N57" s="265" t="s">
        <v>432</v>
      </c>
      <c r="O57" s="271" t="s">
        <v>201</v>
      </c>
      <c r="P57" s="524" t="s">
        <v>115</v>
      </c>
      <c r="Q57" s="525"/>
      <c r="R57" s="524" t="s">
        <v>433</v>
      </c>
      <c r="S57" s="526"/>
      <c r="T57" s="526"/>
      <c r="U57" s="525"/>
      <c r="V57" s="496" t="s">
        <v>118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120</v>
      </c>
      <c r="B58" s="511"/>
      <c r="C58" s="266" t="s">
        <v>148</v>
      </c>
      <c r="D58" s="266" t="s">
        <v>130</v>
      </c>
      <c r="E58" s="266" t="s">
        <v>271</v>
      </c>
      <c r="F58" s="512" t="s">
        <v>118</v>
      </c>
      <c r="G58" s="513"/>
      <c r="H58" s="513"/>
      <c r="I58" s="513"/>
      <c r="J58" s="513"/>
      <c r="K58" s="513"/>
      <c r="L58" s="513"/>
      <c r="M58" s="514"/>
      <c r="N58" s="265" t="s">
        <v>121</v>
      </c>
      <c r="O58" s="271" t="s">
        <v>203</v>
      </c>
      <c r="P58" s="524" t="s">
        <v>115</v>
      </c>
      <c r="Q58" s="525"/>
      <c r="R58" s="524" t="s">
        <v>417</v>
      </c>
      <c r="S58" s="526"/>
      <c r="T58" s="526"/>
      <c r="U58" s="525"/>
      <c r="V58" s="496" t="s">
        <v>418</v>
      </c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 t="s">
        <v>121</v>
      </c>
      <c r="B59" s="511"/>
      <c r="C59" s="266" t="s">
        <v>148</v>
      </c>
      <c r="D59" s="266" t="s">
        <v>186</v>
      </c>
      <c r="E59" s="266" t="s">
        <v>244</v>
      </c>
      <c r="F59" s="512" t="s">
        <v>320</v>
      </c>
      <c r="G59" s="513"/>
      <c r="H59" s="513"/>
      <c r="I59" s="513"/>
      <c r="J59" s="513"/>
      <c r="K59" s="513"/>
      <c r="L59" s="513"/>
      <c r="M59" s="514"/>
      <c r="N59" s="265"/>
      <c r="O59" s="271"/>
      <c r="P59" s="524"/>
      <c r="Q59" s="525"/>
      <c r="R59" s="524"/>
      <c r="S59" s="526"/>
      <c r="T59" s="526"/>
      <c r="U59" s="525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 t="s">
        <v>121</v>
      </c>
      <c r="B60" s="568"/>
      <c r="C60" s="275" t="s">
        <v>197</v>
      </c>
      <c r="D60" s="275" t="s">
        <v>150</v>
      </c>
      <c r="E60" s="266" t="s">
        <v>198</v>
      </c>
      <c r="F60" s="512" t="s">
        <v>320</v>
      </c>
      <c r="G60" s="513"/>
      <c r="H60" s="513"/>
      <c r="I60" s="513"/>
      <c r="J60" s="513"/>
      <c r="K60" s="513"/>
      <c r="L60" s="513"/>
      <c r="M60" s="514"/>
      <c r="N60" s="265"/>
      <c r="O60" s="271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 t="s">
        <v>121</v>
      </c>
      <c r="B61" s="511"/>
      <c r="C61" s="266" t="s">
        <v>201</v>
      </c>
      <c r="D61" s="266" t="s">
        <v>115</v>
      </c>
      <c r="E61" s="266" t="s">
        <v>278</v>
      </c>
      <c r="F61" s="512" t="s">
        <v>320</v>
      </c>
      <c r="G61" s="513"/>
      <c r="H61" s="513"/>
      <c r="I61" s="513"/>
      <c r="J61" s="513"/>
      <c r="K61" s="513"/>
      <c r="L61" s="513"/>
      <c r="M61" s="514"/>
      <c r="N61" s="265"/>
      <c r="O61" s="271"/>
      <c r="P61" s="524"/>
      <c r="Q61" s="525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</row>
    <row r="62" spans="1:32" ht="27" customHeight="1">
      <c r="A62" s="510" t="s">
        <v>121</v>
      </c>
      <c r="B62" s="511"/>
      <c r="C62" s="266" t="s">
        <v>197</v>
      </c>
      <c r="D62" s="266" t="s">
        <v>141</v>
      </c>
      <c r="E62" s="266" t="s">
        <v>195</v>
      </c>
      <c r="F62" s="512" t="s">
        <v>118</v>
      </c>
      <c r="G62" s="513"/>
      <c r="H62" s="513"/>
      <c r="I62" s="513"/>
      <c r="J62" s="513"/>
      <c r="K62" s="513"/>
      <c r="L62" s="513"/>
      <c r="M62" s="514"/>
      <c r="N62" s="265"/>
      <c r="O62" s="271"/>
      <c r="P62" s="511"/>
      <c r="Q62" s="511"/>
      <c r="R62" s="511"/>
      <c r="S62" s="511"/>
      <c r="T62" s="511"/>
      <c r="U62" s="511"/>
      <c r="V62" s="496"/>
      <c r="W62" s="496"/>
      <c r="X62" s="496"/>
      <c r="Y62" s="496"/>
      <c r="Z62" s="496"/>
      <c r="AA62" s="496"/>
      <c r="AB62" s="496"/>
      <c r="AC62" s="496"/>
      <c r="AD62" s="515"/>
      <c r="AF62" s="84">
        <f>8*3000</f>
        <v>24000</v>
      </c>
    </row>
    <row r="63" spans="1:32" ht="27" customHeight="1" thickBot="1">
      <c r="A63" s="516"/>
      <c r="B63" s="517"/>
      <c r="C63" s="267"/>
      <c r="D63" s="268"/>
      <c r="E63" s="268"/>
      <c r="F63" s="518"/>
      <c r="G63" s="519"/>
      <c r="H63" s="519"/>
      <c r="I63" s="519"/>
      <c r="J63" s="519"/>
      <c r="K63" s="519"/>
      <c r="L63" s="519"/>
      <c r="M63" s="520"/>
      <c r="N63" s="112"/>
      <c r="O63" s="103"/>
      <c r="P63" s="521"/>
      <c r="Q63" s="521"/>
      <c r="R63" s="521"/>
      <c r="S63" s="521"/>
      <c r="T63" s="521"/>
      <c r="U63" s="521"/>
      <c r="V63" s="522"/>
      <c r="W63" s="522"/>
      <c r="X63" s="522"/>
      <c r="Y63" s="522"/>
      <c r="Z63" s="522"/>
      <c r="AA63" s="522"/>
      <c r="AB63" s="522"/>
      <c r="AC63" s="522"/>
      <c r="AD63" s="523"/>
      <c r="AF63" s="84">
        <f>16*3000</f>
        <v>48000</v>
      </c>
    </row>
    <row r="64" spans="1:32" ht="27.75" thickBot="1">
      <c r="A64" s="508" t="s">
        <v>434</v>
      </c>
      <c r="B64" s="508"/>
      <c r="C64" s="508"/>
      <c r="D64" s="508"/>
      <c r="E64" s="508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509" t="s">
        <v>111</v>
      </c>
      <c r="B65" s="503"/>
      <c r="C65" s="269" t="s">
        <v>2</v>
      </c>
      <c r="D65" s="269" t="s">
        <v>37</v>
      </c>
      <c r="E65" s="269" t="s">
        <v>3</v>
      </c>
      <c r="F65" s="503" t="s">
        <v>109</v>
      </c>
      <c r="G65" s="503"/>
      <c r="H65" s="503"/>
      <c r="I65" s="503"/>
      <c r="J65" s="503"/>
      <c r="K65" s="503" t="s">
        <v>39</v>
      </c>
      <c r="L65" s="503"/>
      <c r="M65" s="269" t="s">
        <v>40</v>
      </c>
      <c r="N65" s="503" t="s">
        <v>41</v>
      </c>
      <c r="O65" s="503"/>
      <c r="P65" s="500" t="s">
        <v>42</v>
      </c>
      <c r="Q65" s="502"/>
      <c r="R65" s="500" t="s">
        <v>43</v>
      </c>
      <c r="S65" s="501"/>
      <c r="T65" s="501"/>
      <c r="U65" s="501"/>
      <c r="V65" s="501"/>
      <c r="W65" s="501"/>
      <c r="X65" s="501"/>
      <c r="Y65" s="501"/>
      <c r="Z65" s="501"/>
      <c r="AA65" s="502"/>
      <c r="AB65" s="503" t="s">
        <v>44</v>
      </c>
      <c r="AC65" s="503"/>
      <c r="AD65" s="504"/>
      <c r="AF65" s="84">
        <f>SUM(AF62:AF64)</f>
        <v>96000</v>
      </c>
    </row>
    <row r="66" spans="1:32" ht="25.5" customHeight="1">
      <c r="A66" s="491">
        <v>1</v>
      </c>
      <c r="B66" s="492"/>
      <c r="C66" s="105" t="s">
        <v>120</v>
      </c>
      <c r="D66" s="273"/>
      <c r="E66" s="270" t="s">
        <v>130</v>
      </c>
      <c r="F66" s="497" t="s">
        <v>154</v>
      </c>
      <c r="G66" s="498"/>
      <c r="H66" s="498"/>
      <c r="I66" s="498"/>
      <c r="J66" s="499"/>
      <c r="K66" s="485" t="s">
        <v>435</v>
      </c>
      <c r="L66" s="485"/>
      <c r="M66" s="51" t="s">
        <v>188</v>
      </c>
      <c r="N66" s="494" t="s">
        <v>189</v>
      </c>
      <c r="O66" s="494"/>
      <c r="P66" s="495">
        <v>50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505"/>
      <c r="AC66" s="506"/>
      <c r="AD66" s="507"/>
      <c r="AF66" s="50"/>
    </row>
    <row r="67" spans="1:32" ht="25.5" customHeight="1">
      <c r="A67" s="491">
        <v>2</v>
      </c>
      <c r="B67" s="492"/>
      <c r="C67" s="105" t="s">
        <v>121</v>
      </c>
      <c r="D67" s="273"/>
      <c r="E67" s="270" t="s">
        <v>141</v>
      </c>
      <c r="F67" s="497" t="s">
        <v>419</v>
      </c>
      <c r="G67" s="498"/>
      <c r="H67" s="498"/>
      <c r="I67" s="498"/>
      <c r="J67" s="499"/>
      <c r="K67" s="485" t="s">
        <v>124</v>
      </c>
      <c r="L67" s="485"/>
      <c r="M67" s="51" t="s">
        <v>436</v>
      </c>
      <c r="N67" s="494" t="s">
        <v>229</v>
      </c>
      <c r="O67" s="494"/>
      <c r="P67" s="495">
        <v>200</v>
      </c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3</v>
      </c>
      <c r="B68" s="492"/>
      <c r="C68" s="105" t="s">
        <v>121</v>
      </c>
      <c r="D68" s="273"/>
      <c r="E68" s="270" t="s">
        <v>186</v>
      </c>
      <c r="F68" s="497" t="s">
        <v>244</v>
      </c>
      <c r="G68" s="498"/>
      <c r="H68" s="498"/>
      <c r="I68" s="498"/>
      <c r="J68" s="499"/>
      <c r="K68" s="485" t="s">
        <v>187</v>
      </c>
      <c r="L68" s="485"/>
      <c r="M68" s="51" t="s">
        <v>188</v>
      </c>
      <c r="N68" s="494" t="s">
        <v>148</v>
      </c>
      <c r="O68" s="494"/>
      <c r="P68" s="495">
        <v>100</v>
      </c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4</v>
      </c>
      <c r="B69" s="492"/>
      <c r="C69" s="105" t="s">
        <v>121</v>
      </c>
      <c r="D69" s="273"/>
      <c r="E69" s="270" t="s">
        <v>150</v>
      </c>
      <c r="F69" s="497" t="s">
        <v>198</v>
      </c>
      <c r="G69" s="498"/>
      <c r="H69" s="498"/>
      <c r="I69" s="498"/>
      <c r="J69" s="499"/>
      <c r="K69" s="485" t="s">
        <v>124</v>
      </c>
      <c r="L69" s="485"/>
      <c r="M69" s="51" t="s">
        <v>188</v>
      </c>
      <c r="N69" s="494" t="s">
        <v>197</v>
      </c>
      <c r="O69" s="494"/>
      <c r="P69" s="495">
        <v>100</v>
      </c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5</v>
      </c>
      <c r="B70" s="492"/>
      <c r="C70" s="105" t="s">
        <v>120</v>
      </c>
      <c r="D70" s="273"/>
      <c r="E70" s="270" t="s">
        <v>115</v>
      </c>
      <c r="F70" s="497" t="s">
        <v>348</v>
      </c>
      <c r="G70" s="498"/>
      <c r="H70" s="498"/>
      <c r="I70" s="498"/>
      <c r="J70" s="499"/>
      <c r="K70" s="485">
        <v>7301</v>
      </c>
      <c r="L70" s="485"/>
      <c r="M70" s="51" t="s">
        <v>188</v>
      </c>
      <c r="N70" s="494" t="s">
        <v>197</v>
      </c>
      <c r="O70" s="494"/>
      <c r="P70" s="495">
        <v>50</v>
      </c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6</v>
      </c>
      <c r="B71" s="492"/>
      <c r="C71" s="105" t="s">
        <v>121</v>
      </c>
      <c r="D71" s="273"/>
      <c r="E71" s="270" t="s">
        <v>115</v>
      </c>
      <c r="F71" s="497" t="s">
        <v>278</v>
      </c>
      <c r="G71" s="498"/>
      <c r="H71" s="498"/>
      <c r="I71" s="498"/>
      <c r="J71" s="499"/>
      <c r="K71" s="485" t="s">
        <v>124</v>
      </c>
      <c r="L71" s="485"/>
      <c r="M71" s="51" t="s">
        <v>188</v>
      </c>
      <c r="N71" s="494" t="s">
        <v>201</v>
      </c>
      <c r="O71" s="494"/>
      <c r="P71" s="495">
        <v>100</v>
      </c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7</v>
      </c>
      <c r="B72" s="492"/>
      <c r="C72" s="105"/>
      <c r="D72" s="273"/>
      <c r="E72" s="270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8</v>
      </c>
      <c r="B73" s="492"/>
      <c r="C73" s="105"/>
      <c r="D73" s="273"/>
      <c r="E73" s="270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9</v>
      </c>
      <c r="B74" s="492"/>
      <c r="C74" s="105"/>
      <c r="D74" s="273"/>
      <c r="E74" s="270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5.5" customHeight="1">
      <c r="A75" s="491">
        <v>10</v>
      </c>
      <c r="B75" s="492"/>
      <c r="C75" s="105"/>
      <c r="D75" s="273"/>
      <c r="E75" s="270"/>
      <c r="F75" s="493"/>
      <c r="G75" s="485"/>
      <c r="H75" s="485"/>
      <c r="I75" s="485"/>
      <c r="J75" s="485"/>
      <c r="K75" s="485"/>
      <c r="L75" s="485"/>
      <c r="M75" s="51"/>
      <c r="N75" s="494"/>
      <c r="O75" s="494"/>
      <c r="P75" s="495"/>
      <c r="Q75" s="495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85"/>
      <c r="AC75" s="485"/>
      <c r="AD75" s="486"/>
      <c r="AF75" s="50"/>
    </row>
    <row r="76" spans="1:32" ht="26.25" customHeight="1" thickBot="1">
      <c r="A76" s="465" t="s">
        <v>437</v>
      </c>
      <c r="B76" s="465"/>
      <c r="C76" s="465"/>
      <c r="D76" s="465"/>
      <c r="E76" s="465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66" t="s">
        <v>111</v>
      </c>
      <c r="B77" s="467"/>
      <c r="C77" s="272" t="s">
        <v>2</v>
      </c>
      <c r="D77" s="272" t="s">
        <v>37</v>
      </c>
      <c r="E77" s="272" t="s">
        <v>273</v>
      </c>
      <c r="F77" s="467" t="s">
        <v>38</v>
      </c>
      <c r="G77" s="467"/>
      <c r="H77" s="467"/>
      <c r="I77" s="467"/>
      <c r="J77" s="467"/>
      <c r="K77" s="487" t="s">
        <v>58</v>
      </c>
      <c r="L77" s="488"/>
      <c r="M77" s="488"/>
      <c r="N77" s="488"/>
      <c r="O77" s="488"/>
      <c r="P77" s="488"/>
      <c r="Q77" s="488"/>
      <c r="R77" s="488"/>
      <c r="S77" s="489"/>
      <c r="T77" s="467" t="s">
        <v>49</v>
      </c>
      <c r="U77" s="467"/>
      <c r="V77" s="487" t="s">
        <v>50</v>
      </c>
      <c r="W77" s="489"/>
      <c r="X77" s="488" t="s">
        <v>51</v>
      </c>
      <c r="Y77" s="488"/>
      <c r="Z77" s="488"/>
      <c r="AA77" s="488"/>
      <c r="AB77" s="488"/>
      <c r="AC77" s="488"/>
      <c r="AD77" s="490"/>
      <c r="AF77" s="50"/>
    </row>
    <row r="78" spans="1:32" ht="33.75" customHeight="1">
      <c r="A78" s="459">
        <v>1</v>
      </c>
      <c r="B78" s="460"/>
      <c r="C78" s="274" t="s">
        <v>112</v>
      </c>
      <c r="D78" s="274"/>
      <c r="E78" s="65" t="s">
        <v>117</v>
      </c>
      <c r="F78" s="474" t="s">
        <v>116</v>
      </c>
      <c r="G78" s="475"/>
      <c r="H78" s="475"/>
      <c r="I78" s="475"/>
      <c r="J78" s="476"/>
      <c r="K78" s="477" t="s">
        <v>122</v>
      </c>
      <c r="L78" s="478"/>
      <c r="M78" s="478"/>
      <c r="N78" s="478"/>
      <c r="O78" s="478"/>
      <c r="P78" s="478"/>
      <c r="Q78" s="478"/>
      <c r="R78" s="478"/>
      <c r="S78" s="479"/>
      <c r="T78" s="480">
        <v>43675</v>
      </c>
      <c r="U78" s="481"/>
      <c r="V78" s="482"/>
      <c r="W78" s="482"/>
      <c r="X78" s="483"/>
      <c r="Y78" s="483"/>
      <c r="Z78" s="483"/>
      <c r="AA78" s="483"/>
      <c r="AB78" s="483"/>
      <c r="AC78" s="483"/>
      <c r="AD78" s="484"/>
      <c r="AF78" s="50"/>
    </row>
    <row r="79" spans="1:32" ht="30" customHeight="1">
      <c r="A79" s="452">
        <f>A78+1</f>
        <v>2</v>
      </c>
      <c r="B79" s="453"/>
      <c r="C79" s="273"/>
      <c r="D79" s="273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ref="A80:A84" si="28">A79+1</f>
        <v>3</v>
      </c>
      <c r="B80" s="453"/>
      <c r="C80" s="273"/>
      <c r="D80" s="273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28"/>
        <v>4</v>
      </c>
      <c r="B81" s="453"/>
      <c r="C81" s="273"/>
      <c r="D81" s="273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8"/>
        <v>5</v>
      </c>
      <c r="B82" s="453"/>
      <c r="C82" s="273"/>
      <c r="D82" s="273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28"/>
        <v>6</v>
      </c>
      <c r="B83" s="453"/>
      <c r="C83" s="273"/>
      <c r="D83" s="273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0" customHeight="1">
      <c r="A84" s="452">
        <f t="shared" si="28"/>
        <v>7</v>
      </c>
      <c r="B84" s="453"/>
      <c r="C84" s="273"/>
      <c r="D84" s="273"/>
      <c r="E84" s="32"/>
      <c r="F84" s="453"/>
      <c r="G84" s="453"/>
      <c r="H84" s="453"/>
      <c r="I84" s="453"/>
      <c r="J84" s="453"/>
      <c r="K84" s="468"/>
      <c r="L84" s="469"/>
      <c r="M84" s="469"/>
      <c r="N84" s="469"/>
      <c r="O84" s="469"/>
      <c r="P84" s="469"/>
      <c r="Q84" s="469"/>
      <c r="R84" s="469"/>
      <c r="S84" s="470"/>
      <c r="T84" s="471"/>
      <c r="U84" s="471"/>
      <c r="V84" s="471"/>
      <c r="W84" s="471"/>
      <c r="X84" s="472"/>
      <c r="Y84" s="472"/>
      <c r="Z84" s="472"/>
      <c r="AA84" s="472"/>
      <c r="AB84" s="472"/>
      <c r="AC84" s="472"/>
      <c r="AD84" s="473"/>
      <c r="AF84" s="50"/>
    </row>
    <row r="85" spans="1:32" ht="36" thickBot="1">
      <c r="A85" s="465" t="s">
        <v>438</v>
      </c>
      <c r="B85" s="465"/>
      <c r="C85" s="465"/>
      <c r="D85" s="465"/>
      <c r="E85" s="465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66" t="s">
        <v>111</v>
      </c>
      <c r="B86" s="467"/>
      <c r="C86" s="457" t="s">
        <v>52</v>
      </c>
      <c r="D86" s="457"/>
      <c r="E86" s="457" t="s">
        <v>53</v>
      </c>
      <c r="F86" s="457"/>
      <c r="G86" s="457"/>
      <c r="H86" s="457"/>
      <c r="I86" s="457"/>
      <c r="J86" s="457"/>
      <c r="K86" s="457" t="s">
        <v>54</v>
      </c>
      <c r="L86" s="457"/>
      <c r="M86" s="457"/>
      <c r="N86" s="457"/>
      <c r="O86" s="457"/>
      <c r="P86" s="457"/>
      <c r="Q86" s="457"/>
      <c r="R86" s="457"/>
      <c r="S86" s="457"/>
      <c r="T86" s="457" t="s">
        <v>55</v>
      </c>
      <c r="U86" s="457"/>
      <c r="V86" s="457" t="s">
        <v>56</v>
      </c>
      <c r="W86" s="457"/>
      <c r="X86" s="457"/>
      <c r="Y86" s="457" t="s">
        <v>51</v>
      </c>
      <c r="Z86" s="457"/>
      <c r="AA86" s="457"/>
      <c r="AB86" s="457"/>
      <c r="AC86" s="457"/>
      <c r="AD86" s="458"/>
      <c r="AF86" s="50"/>
    </row>
    <row r="87" spans="1:32" ht="30.75" customHeight="1">
      <c r="A87" s="459">
        <v>1</v>
      </c>
      <c r="B87" s="460"/>
      <c r="C87" s="461">
        <v>11</v>
      </c>
      <c r="D87" s="461"/>
      <c r="E87" s="461" t="s">
        <v>295</v>
      </c>
      <c r="F87" s="461"/>
      <c r="G87" s="461"/>
      <c r="H87" s="461"/>
      <c r="I87" s="461"/>
      <c r="J87" s="461"/>
      <c r="K87" s="461" t="s">
        <v>297</v>
      </c>
      <c r="L87" s="461"/>
      <c r="M87" s="461"/>
      <c r="N87" s="461"/>
      <c r="O87" s="461"/>
      <c r="P87" s="461"/>
      <c r="Q87" s="461"/>
      <c r="R87" s="461"/>
      <c r="S87" s="461"/>
      <c r="T87" s="461" t="s">
        <v>296</v>
      </c>
      <c r="U87" s="461"/>
      <c r="V87" s="462"/>
      <c r="W87" s="462"/>
      <c r="X87" s="462"/>
      <c r="Y87" s="463" t="s">
        <v>298</v>
      </c>
      <c r="Z87" s="463"/>
      <c r="AA87" s="463"/>
      <c r="AB87" s="463"/>
      <c r="AC87" s="463"/>
      <c r="AD87" s="464"/>
      <c r="AF87" s="50"/>
    </row>
    <row r="88" spans="1:32" ht="30.75" customHeight="1">
      <c r="A88" s="452">
        <v>2</v>
      </c>
      <c r="B88" s="453"/>
      <c r="C88" s="454"/>
      <c r="D88" s="454"/>
      <c r="E88" s="454"/>
      <c r="F88" s="454"/>
      <c r="G88" s="454"/>
      <c r="H88" s="454"/>
      <c r="I88" s="454"/>
      <c r="J88" s="454"/>
      <c r="K88" s="454"/>
      <c r="L88" s="454"/>
      <c r="M88" s="454"/>
      <c r="N88" s="454"/>
      <c r="O88" s="454"/>
      <c r="P88" s="454"/>
      <c r="Q88" s="454"/>
      <c r="R88" s="454"/>
      <c r="S88" s="454"/>
      <c r="T88" s="455"/>
      <c r="U88" s="455"/>
      <c r="V88" s="456"/>
      <c r="W88" s="456"/>
      <c r="X88" s="456"/>
      <c r="Y88" s="445"/>
      <c r="Z88" s="445"/>
      <c r="AA88" s="445"/>
      <c r="AB88" s="445"/>
      <c r="AC88" s="445"/>
      <c r="AD88" s="446"/>
      <c r="AF88" s="50"/>
    </row>
    <row r="89" spans="1:32" ht="30.75" customHeight="1" thickBot="1">
      <c r="A89" s="447">
        <v>3</v>
      </c>
      <c r="B89" s="448"/>
      <c r="C89" s="449"/>
      <c r="D89" s="449"/>
      <c r="E89" s="449"/>
      <c r="F89" s="449"/>
      <c r="G89" s="449"/>
      <c r="H89" s="449"/>
      <c r="I89" s="449"/>
      <c r="J89" s="449"/>
      <c r="K89" s="449"/>
      <c r="L89" s="449"/>
      <c r="M89" s="449"/>
      <c r="N89" s="449"/>
      <c r="O89" s="449"/>
      <c r="P89" s="449"/>
      <c r="Q89" s="449"/>
      <c r="R89" s="449"/>
      <c r="S89" s="449"/>
      <c r="T89" s="449"/>
      <c r="U89" s="449"/>
      <c r="V89" s="449"/>
      <c r="W89" s="449"/>
      <c r="X89" s="449"/>
      <c r="Y89" s="450"/>
      <c r="Z89" s="450"/>
      <c r="AA89" s="450"/>
      <c r="AB89" s="450"/>
      <c r="AC89" s="450"/>
      <c r="AD89" s="451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9391-AF5F-4681-A861-C41F3CE44DAD}">
  <sheetPr codeName="Sheet16"/>
  <dimension ref="A1:AF90"/>
  <sheetViews>
    <sheetView view="pageBreakPreview" zoomScale="70" zoomScaleNormal="72" zoomScaleSheetLayoutView="70" workbookViewId="0">
      <selection activeCell="D9" sqref="D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9" width="7.7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439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87" t="s">
        <v>17</v>
      </c>
      <c r="L5" s="287" t="s">
        <v>18</v>
      </c>
      <c r="M5" s="287" t="s">
        <v>19</v>
      </c>
      <c r="N5" s="28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425</v>
      </c>
      <c r="F6" s="30" t="s">
        <v>128</v>
      </c>
      <c r="G6" s="12">
        <v>1</v>
      </c>
      <c r="H6" s="13">
        <v>24</v>
      </c>
      <c r="I6" s="31">
        <v>5000</v>
      </c>
      <c r="J6" s="5">
        <v>3528</v>
      </c>
      <c r="K6" s="15">
        <f>L6+4718</f>
        <v>8246</v>
      </c>
      <c r="L6" s="15">
        <f>2786+742</f>
        <v>3528</v>
      </c>
      <c r="M6" s="15">
        <f t="shared" ref="M6:M24" si="0">L6-N6</f>
        <v>3528</v>
      </c>
      <c r="N6" s="15">
        <v>0</v>
      </c>
      <c r="O6" s="58">
        <f t="shared" ref="O6:O25" si="1">IF(L6=0,"0",N6/L6)</f>
        <v>0</v>
      </c>
      <c r="P6" s="39">
        <f t="shared" ref="P6:P24" si="2">IF(L6=0,"0",(24-Q6))</f>
        <v>15</v>
      </c>
      <c r="Q6" s="40">
        <f t="shared" ref="Q6:Q24" si="3">SUM(R6:AA6)</f>
        <v>9</v>
      </c>
      <c r="R6" s="7"/>
      <c r="S6" s="6">
        <v>9</v>
      </c>
      <c r="T6" s="16"/>
      <c r="U6" s="16"/>
      <c r="V6" s="17"/>
      <c r="W6" s="5"/>
      <c r="X6" s="16"/>
      <c r="Y6" s="16"/>
      <c r="Z6" s="16"/>
      <c r="AA6" s="18"/>
      <c r="AB6" s="8">
        <f t="shared" ref="AB6:AB24" si="4">IF(J6=0,"0",(L6/J6))</f>
        <v>1</v>
      </c>
      <c r="AC6" s="9">
        <f t="shared" ref="AC6:AC24" si="5">IF(P6=0,"0",(P6/24))</f>
        <v>0.625</v>
      </c>
      <c r="AD6" s="10">
        <f t="shared" ref="AD6:AD24" si="6">AC6*AB6*(1-O6)</f>
        <v>0.625</v>
      </c>
      <c r="AE6" s="36">
        <f t="shared" ref="AE6:AE24" si="7">$AD$25</f>
        <v>0.45965471104371408</v>
      </c>
      <c r="AF6" s="84">
        <f t="shared" ref="AF6:AF24" si="8">A6</f>
        <v>1</v>
      </c>
    </row>
    <row r="7" spans="1:32" ht="27" customHeight="1">
      <c r="A7" s="113">
        <v>1</v>
      </c>
      <c r="B7" s="11" t="s">
        <v>57</v>
      </c>
      <c r="C7" s="34" t="s">
        <v>120</v>
      </c>
      <c r="D7" s="52" t="s">
        <v>186</v>
      </c>
      <c r="E7" s="53" t="s">
        <v>405</v>
      </c>
      <c r="F7" s="12" t="s">
        <v>406</v>
      </c>
      <c r="G7" s="12">
        <v>4</v>
      </c>
      <c r="H7" s="13">
        <v>24</v>
      </c>
      <c r="I7" s="31">
        <v>1000</v>
      </c>
      <c r="J7" s="14">
        <v>1080</v>
      </c>
      <c r="K7" s="15">
        <f>L7</f>
        <v>1080</v>
      </c>
      <c r="L7" s="15">
        <f>270*4</f>
        <v>1080</v>
      </c>
      <c r="M7" s="15">
        <f t="shared" ref="M7:M9" si="9">L7-N7</f>
        <v>1080</v>
      </c>
      <c r="N7" s="15">
        <v>0</v>
      </c>
      <c r="O7" s="58">
        <f t="shared" ref="O7:O9" si="10">IF(L7=0,"0",N7/L7)</f>
        <v>0</v>
      </c>
      <c r="P7" s="39">
        <f t="shared" ref="P7:P9" si="11">IF(L7=0,"0",(24-Q7))</f>
        <v>3</v>
      </c>
      <c r="Q7" s="40">
        <f t="shared" ref="Q7:Q9" si="12">SUM(R7:AA7)</f>
        <v>21</v>
      </c>
      <c r="R7" s="7"/>
      <c r="S7" s="6"/>
      <c r="T7" s="16"/>
      <c r="U7" s="16"/>
      <c r="V7" s="17"/>
      <c r="W7" s="5">
        <v>21</v>
      </c>
      <c r="X7" s="16"/>
      <c r="Y7" s="16"/>
      <c r="Z7" s="16"/>
      <c r="AA7" s="18"/>
      <c r="AB7" s="8">
        <f t="shared" ref="AB7:AB9" si="13">IF(J7=0,"0",(L7/J7))</f>
        <v>1</v>
      </c>
      <c r="AC7" s="9">
        <f t="shared" ref="AC7:AC9" si="14">IF(P7=0,"0",(P7/24))</f>
        <v>0.125</v>
      </c>
      <c r="AD7" s="10">
        <f t="shared" ref="AD7:AD9" si="15">AC7*AB7*(1-O7)</f>
        <v>0.125</v>
      </c>
      <c r="AE7" s="36">
        <f t="shared" si="7"/>
        <v>0.45965471104371408</v>
      </c>
      <c r="AF7" s="84">
        <f t="shared" ref="AF7:AF9" si="16">A7</f>
        <v>1</v>
      </c>
    </row>
    <row r="8" spans="1:32" ht="27" customHeight="1">
      <c r="A8" s="113">
        <v>1</v>
      </c>
      <c r="B8" s="11" t="s">
        <v>57</v>
      </c>
      <c r="C8" s="34" t="s">
        <v>120</v>
      </c>
      <c r="D8" s="52" t="s">
        <v>215</v>
      </c>
      <c r="E8" s="53" t="s">
        <v>440</v>
      </c>
      <c r="F8" s="12" t="s">
        <v>406</v>
      </c>
      <c r="G8" s="12">
        <v>4</v>
      </c>
      <c r="H8" s="13">
        <v>24</v>
      </c>
      <c r="I8" s="31">
        <v>1000</v>
      </c>
      <c r="J8" s="14">
        <v>1196</v>
      </c>
      <c r="K8" s="15">
        <f>L8</f>
        <v>1196</v>
      </c>
      <c r="L8" s="15">
        <f>299*4</f>
        <v>1196</v>
      </c>
      <c r="M8" s="15">
        <f t="shared" si="9"/>
        <v>1196</v>
      </c>
      <c r="N8" s="15">
        <v>0</v>
      </c>
      <c r="O8" s="58">
        <f t="shared" si="10"/>
        <v>0</v>
      </c>
      <c r="P8" s="39">
        <f t="shared" si="11"/>
        <v>3</v>
      </c>
      <c r="Q8" s="40">
        <f t="shared" si="12"/>
        <v>21</v>
      </c>
      <c r="R8" s="7"/>
      <c r="S8" s="6"/>
      <c r="T8" s="16"/>
      <c r="U8" s="16"/>
      <c r="V8" s="17"/>
      <c r="W8" s="5">
        <v>21</v>
      </c>
      <c r="X8" s="16"/>
      <c r="Y8" s="16"/>
      <c r="Z8" s="16"/>
      <c r="AA8" s="18"/>
      <c r="AB8" s="8">
        <f t="shared" si="13"/>
        <v>1</v>
      </c>
      <c r="AC8" s="9">
        <f t="shared" si="14"/>
        <v>0.125</v>
      </c>
      <c r="AD8" s="10">
        <f t="shared" si="15"/>
        <v>0.125</v>
      </c>
      <c r="AE8" s="36">
        <f t="shared" si="7"/>
        <v>0.45965471104371408</v>
      </c>
      <c r="AF8" s="84">
        <f t="shared" si="16"/>
        <v>1</v>
      </c>
    </row>
    <row r="9" spans="1:32" ht="27" customHeight="1">
      <c r="A9" s="113">
        <v>2</v>
      </c>
      <c r="B9" s="11" t="s">
        <v>57</v>
      </c>
      <c r="C9" s="34" t="s">
        <v>112</v>
      </c>
      <c r="D9" s="52" t="s">
        <v>130</v>
      </c>
      <c r="E9" s="53" t="s">
        <v>161</v>
      </c>
      <c r="F9" s="12">
        <v>8301</v>
      </c>
      <c r="G9" s="12">
        <v>1</v>
      </c>
      <c r="H9" s="13">
        <v>24</v>
      </c>
      <c r="I9" s="31">
        <v>73000</v>
      </c>
      <c r="J9" s="14">
        <v>6772</v>
      </c>
      <c r="K9" s="15">
        <f>L9+2422+7588+11556+11672+6148+11316+11020+8920</f>
        <v>77414</v>
      </c>
      <c r="L9" s="15">
        <f>3386*2</f>
        <v>6772</v>
      </c>
      <c r="M9" s="15">
        <f t="shared" si="9"/>
        <v>6772</v>
      </c>
      <c r="N9" s="15">
        <v>0</v>
      </c>
      <c r="O9" s="58">
        <f t="shared" si="10"/>
        <v>0</v>
      </c>
      <c r="P9" s="39">
        <f t="shared" si="11"/>
        <v>15</v>
      </c>
      <c r="Q9" s="40">
        <f t="shared" si="12"/>
        <v>9</v>
      </c>
      <c r="R9" s="7"/>
      <c r="S9" s="6"/>
      <c r="T9" s="16">
        <v>9</v>
      </c>
      <c r="U9" s="16"/>
      <c r="V9" s="17"/>
      <c r="W9" s="5"/>
      <c r="X9" s="16"/>
      <c r="Y9" s="16"/>
      <c r="Z9" s="16"/>
      <c r="AA9" s="18"/>
      <c r="AB9" s="8">
        <f t="shared" si="13"/>
        <v>1</v>
      </c>
      <c r="AC9" s="9">
        <f t="shared" si="14"/>
        <v>0.625</v>
      </c>
      <c r="AD9" s="10">
        <f t="shared" si="15"/>
        <v>0.625</v>
      </c>
      <c r="AE9" s="36">
        <f t="shared" si="7"/>
        <v>0.45965471104371408</v>
      </c>
      <c r="AF9" s="84">
        <f t="shared" si="16"/>
        <v>2</v>
      </c>
    </row>
    <row r="10" spans="1:32" ht="27" customHeight="1">
      <c r="A10" s="95">
        <v>3</v>
      </c>
      <c r="B10" s="11" t="s">
        <v>57</v>
      </c>
      <c r="C10" s="11" t="s">
        <v>121</v>
      </c>
      <c r="D10" s="52" t="s">
        <v>141</v>
      </c>
      <c r="E10" s="53" t="s">
        <v>202</v>
      </c>
      <c r="F10" s="30" t="s">
        <v>124</v>
      </c>
      <c r="G10" s="33">
        <v>4</v>
      </c>
      <c r="H10" s="35">
        <v>24</v>
      </c>
      <c r="I10" s="7">
        <v>720000</v>
      </c>
      <c r="J10" s="14">
        <v>24720</v>
      </c>
      <c r="K10" s="15">
        <f>L10+8404+12360+9142+12426+5790+11544+12480+12502+12376+12380+22896</f>
        <v>157020</v>
      </c>
      <c r="L10" s="15">
        <f>3234*4+2946*4</f>
        <v>24720</v>
      </c>
      <c r="M10" s="15">
        <f t="shared" si="0"/>
        <v>24720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0.45965471104371408</v>
      </c>
      <c r="AF10" s="84">
        <f t="shared" si="8"/>
        <v>3</v>
      </c>
    </row>
    <row r="11" spans="1:32" ht="27" customHeight="1">
      <c r="A11" s="96">
        <v>4</v>
      </c>
      <c r="B11" s="11" t="s">
        <v>57</v>
      </c>
      <c r="C11" s="11" t="s">
        <v>429</v>
      </c>
      <c r="D11" s="52" t="s">
        <v>215</v>
      </c>
      <c r="E11" s="53" t="s">
        <v>441</v>
      </c>
      <c r="F11" s="30" t="s">
        <v>442</v>
      </c>
      <c r="G11" s="33">
        <v>2</v>
      </c>
      <c r="H11" s="35">
        <v>24</v>
      </c>
      <c r="I11" s="7">
        <v>10000</v>
      </c>
      <c r="J11" s="14">
        <v>10006</v>
      </c>
      <c r="K11" s="15">
        <f>L11</f>
        <v>10006</v>
      </c>
      <c r="L11" s="15">
        <f>2428*2+2575*2</f>
        <v>10006</v>
      </c>
      <c r="M11" s="15">
        <f t="shared" si="0"/>
        <v>10006</v>
      </c>
      <c r="N11" s="15">
        <v>0</v>
      </c>
      <c r="O11" s="58">
        <f t="shared" si="1"/>
        <v>0</v>
      </c>
      <c r="P11" s="39">
        <f t="shared" si="2"/>
        <v>22</v>
      </c>
      <c r="Q11" s="40">
        <f t="shared" si="3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6">
        <f t="shared" si="7"/>
        <v>0.45965471104371408</v>
      </c>
      <c r="AF11" s="84">
        <f t="shared" si="8"/>
        <v>4</v>
      </c>
    </row>
    <row r="12" spans="1:32" ht="27" customHeight="1">
      <c r="A12" s="96">
        <v>5</v>
      </c>
      <c r="B12" s="11" t="s">
        <v>57</v>
      </c>
      <c r="C12" s="34" t="s">
        <v>121</v>
      </c>
      <c r="D12" s="52" t="s">
        <v>150</v>
      </c>
      <c r="E12" s="53" t="s">
        <v>190</v>
      </c>
      <c r="F12" s="30" t="s">
        <v>124</v>
      </c>
      <c r="G12" s="33">
        <v>2</v>
      </c>
      <c r="H12" s="35">
        <v>24</v>
      </c>
      <c r="I12" s="7">
        <v>720000</v>
      </c>
      <c r="J12" s="5">
        <v>11760</v>
      </c>
      <c r="K12" s="15">
        <f>L12+5588+11272+12940+13030+13250+11902+13058+13134+13002+13260+12430+11760</f>
        <v>144626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>AC12*AB12*(1-O12)</f>
        <v>0</v>
      </c>
      <c r="AE12" s="36">
        <f t="shared" si="7"/>
        <v>0.45965471104371408</v>
      </c>
      <c r="AF12" s="84">
        <f t="shared" si="8"/>
        <v>5</v>
      </c>
    </row>
    <row r="13" spans="1:32" ht="27" customHeight="1">
      <c r="A13" s="96">
        <v>6</v>
      </c>
      <c r="B13" s="11" t="s">
        <v>57</v>
      </c>
      <c r="C13" s="11" t="s">
        <v>120</v>
      </c>
      <c r="D13" s="52" t="s">
        <v>115</v>
      </c>
      <c r="E13" s="53" t="s">
        <v>443</v>
      </c>
      <c r="F13" s="30" t="s">
        <v>444</v>
      </c>
      <c r="G13" s="33">
        <v>1</v>
      </c>
      <c r="H13" s="35">
        <v>24</v>
      </c>
      <c r="I13" s="7">
        <v>3000</v>
      </c>
      <c r="J13" s="14">
        <v>1035</v>
      </c>
      <c r="K13" s="15">
        <f>L13</f>
        <v>1035</v>
      </c>
      <c r="L13" s="15">
        <f>1035</f>
        <v>1035</v>
      </c>
      <c r="M13" s="15">
        <f t="shared" si="0"/>
        <v>1035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>
        <v>18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 t="shared" ref="AD13:AD16" si="17">AC13*AB13*(1-O13)</f>
        <v>0.25</v>
      </c>
      <c r="AE13" s="36">
        <f t="shared" si="7"/>
        <v>0.45965471104371408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11" t="s">
        <v>112</v>
      </c>
      <c r="D14" s="52" t="s">
        <v>133</v>
      </c>
      <c r="E14" s="53" t="s">
        <v>151</v>
      </c>
      <c r="F14" s="30" t="s">
        <v>131</v>
      </c>
      <c r="G14" s="33">
        <v>2</v>
      </c>
      <c r="H14" s="35">
        <v>24</v>
      </c>
      <c r="I14" s="7">
        <v>73000</v>
      </c>
      <c r="J14" s="14">
        <v>3731</v>
      </c>
      <c r="K14" s="15">
        <f>L14+4200+2432+5144+6184+11076+3614+6628+6254+3106+5170</f>
        <v>57539</v>
      </c>
      <c r="L14" s="15">
        <f>1045+2686</f>
        <v>3731</v>
      </c>
      <c r="M14" s="15">
        <f t="shared" si="0"/>
        <v>3731</v>
      </c>
      <c r="N14" s="15">
        <v>0</v>
      </c>
      <c r="O14" s="58">
        <f t="shared" si="1"/>
        <v>0</v>
      </c>
      <c r="P14" s="39">
        <f t="shared" si="2"/>
        <v>19</v>
      </c>
      <c r="Q14" s="40">
        <f t="shared" si="3"/>
        <v>5</v>
      </c>
      <c r="R14" s="7"/>
      <c r="S14" s="6">
        <v>5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0.79166666666666663</v>
      </c>
      <c r="AD14" s="10">
        <f t="shared" si="17"/>
        <v>0.79166666666666663</v>
      </c>
      <c r="AE14" s="36">
        <f t="shared" si="7"/>
        <v>0.45965471104371408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34" t="s">
        <v>121</v>
      </c>
      <c r="D15" s="52" t="s">
        <v>115</v>
      </c>
      <c r="E15" s="53" t="s">
        <v>160</v>
      </c>
      <c r="F15" s="30" t="s">
        <v>124</v>
      </c>
      <c r="G15" s="33">
        <v>2</v>
      </c>
      <c r="H15" s="35">
        <v>24</v>
      </c>
      <c r="I15" s="7">
        <v>120000</v>
      </c>
      <c r="J15" s="5">
        <v>9796</v>
      </c>
      <c r="K15" s="15">
        <f>L15+10230+8758+7458+4298+5694+7524+3000+9774+6592+11326+12144+11050+10802+10910</f>
        <v>129356</v>
      </c>
      <c r="L15" s="15">
        <f>1734*2+3164*2</f>
        <v>9796</v>
      </c>
      <c r="M15" s="15">
        <f t="shared" si="0"/>
        <v>9796</v>
      </c>
      <c r="N15" s="15">
        <v>0</v>
      </c>
      <c r="O15" s="58">
        <f t="shared" si="1"/>
        <v>0</v>
      </c>
      <c r="P15" s="39">
        <f t="shared" si="2"/>
        <v>21</v>
      </c>
      <c r="Q15" s="40">
        <f t="shared" si="3"/>
        <v>3</v>
      </c>
      <c r="R15" s="7"/>
      <c r="S15" s="6">
        <v>3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0.875</v>
      </c>
      <c r="AD15" s="10">
        <f>AC15*AB15*(1-O15)</f>
        <v>0.875</v>
      </c>
      <c r="AE15" s="36">
        <f t="shared" si="7"/>
        <v>0.45965471104371408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236</v>
      </c>
      <c r="F16" s="30" t="s">
        <v>249</v>
      </c>
      <c r="G16" s="33">
        <v>1</v>
      </c>
      <c r="H16" s="35">
        <v>24</v>
      </c>
      <c r="I16" s="7">
        <v>300</v>
      </c>
      <c r="J16" s="5">
        <v>329</v>
      </c>
      <c r="K16" s="15">
        <f>L16+242+329</f>
        <v>571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7"/>
        <v>0</v>
      </c>
      <c r="AE16" s="36">
        <f t="shared" si="7"/>
        <v>0.45965471104371408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112</v>
      </c>
      <c r="D17" s="52" t="s">
        <v>130</v>
      </c>
      <c r="E17" s="53" t="s">
        <v>161</v>
      </c>
      <c r="F17" s="12">
        <v>8301</v>
      </c>
      <c r="G17" s="12">
        <v>1</v>
      </c>
      <c r="H17" s="13">
        <v>24</v>
      </c>
      <c r="I17" s="31">
        <v>73000</v>
      </c>
      <c r="J17" s="14">
        <v>8920</v>
      </c>
      <c r="K17" s="15">
        <f>L17+2422+7588+11556+11672+6148+11316+11020+8920</f>
        <v>74702</v>
      </c>
      <c r="L17" s="15">
        <f>989*2+1041*2</f>
        <v>4060</v>
      </c>
      <c r="M17" s="15">
        <f t="shared" si="0"/>
        <v>4060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>
        <v>20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0.45515695067264572</v>
      </c>
      <c r="AC17" s="9">
        <f t="shared" si="5"/>
        <v>0.16666666666666666</v>
      </c>
      <c r="AD17" s="10">
        <f t="shared" si="6"/>
        <v>7.5859491778774282E-2</v>
      </c>
      <c r="AE17" s="36">
        <f t="shared" si="7"/>
        <v>0.45965471104371408</v>
      </c>
      <c r="AF17" s="84">
        <f t="shared" si="8"/>
        <v>10</v>
      </c>
    </row>
    <row r="18" spans="1:32" ht="27" customHeight="1">
      <c r="A18" s="95">
        <v>10</v>
      </c>
      <c r="B18" s="11" t="s">
        <v>57</v>
      </c>
      <c r="C18" s="34" t="s">
        <v>429</v>
      </c>
      <c r="D18" s="52" t="s">
        <v>117</v>
      </c>
      <c r="E18" s="53" t="s">
        <v>441</v>
      </c>
      <c r="F18" s="12" t="s">
        <v>445</v>
      </c>
      <c r="G18" s="12">
        <v>2</v>
      </c>
      <c r="H18" s="13">
        <v>24</v>
      </c>
      <c r="I18" s="31">
        <v>10000</v>
      </c>
      <c r="J18" s="14">
        <v>1868</v>
      </c>
      <c r="K18" s="15">
        <f>L18</f>
        <v>1868</v>
      </c>
      <c r="L18" s="15">
        <f>934*2</f>
        <v>1868</v>
      </c>
      <c r="M18" s="15">
        <f t="shared" ref="M18" si="18">L18-N18</f>
        <v>1868</v>
      </c>
      <c r="N18" s="15">
        <v>0</v>
      </c>
      <c r="O18" s="58">
        <f t="shared" ref="O18" si="19">IF(L18=0,"0",N18/L18)</f>
        <v>0</v>
      </c>
      <c r="P18" s="39">
        <f t="shared" ref="P18" si="20">IF(L18=0,"0",(24-Q18))</f>
        <v>5</v>
      </c>
      <c r="Q18" s="40">
        <f t="shared" ref="Q18" si="21">SUM(R18:AA18)</f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ref="AB18" si="22">IF(J18=0,"0",(L18/J18))</f>
        <v>1</v>
      </c>
      <c r="AC18" s="9">
        <f t="shared" ref="AC18" si="23">IF(P18=0,"0",(P18/24))</f>
        <v>0.20833333333333334</v>
      </c>
      <c r="AD18" s="10">
        <f t="shared" ref="AD18" si="24">AC18*AB18*(1-O18)</f>
        <v>0.20833333333333334</v>
      </c>
      <c r="AE18" s="36">
        <f t="shared" si="7"/>
        <v>0.45965471104371408</v>
      </c>
      <c r="AF18" s="84">
        <f t="shared" ref="AF18" si="25">A18</f>
        <v>10</v>
      </c>
    </row>
    <row r="19" spans="1:32" ht="30" customHeight="1">
      <c r="A19" s="95">
        <v>11</v>
      </c>
      <c r="B19" s="11" t="s">
        <v>57</v>
      </c>
      <c r="C19" s="34" t="s">
        <v>120</v>
      </c>
      <c r="D19" s="52" t="s">
        <v>215</v>
      </c>
      <c r="E19" s="53" t="s">
        <v>216</v>
      </c>
      <c r="F19" s="30" t="s">
        <v>225</v>
      </c>
      <c r="G19" s="12">
        <v>1</v>
      </c>
      <c r="H19" s="13">
        <v>24</v>
      </c>
      <c r="I19" s="7">
        <v>500</v>
      </c>
      <c r="J19" s="14">
        <v>495</v>
      </c>
      <c r="K19" s="15">
        <f>L19+495</f>
        <v>495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>
        <v>24</v>
      </c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0.45965471104371408</v>
      </c>
      <c r="AF19" s="84">
        <f t="shared" si="8"/>
        <v>11</v>
      </c>
    </row>
    <row r="20" spans="1:32" ht="30" customHeight="1">
      <c r="A20" s="95">
        <v>12</v>
      </c>
      <c r="B20" s="11" t="s">
        <v>57</v>
      </c>
      <c r="C20" s="34" t="s">
        <v>120</v>
      </c>
      <c r="D20" s="52" t="s">
        <v>130</v>
      </c>
      <c r="E20" s="53" t="s">
        <v>271</v>
      </c>
      <c r="F20" s="30" t="s">
        <v>187</v>
      </c>
      <c r="G20" s="12">
        <v>1</v>
      </c>
      <c r="H20" s="13">
        <v>24</v>
      </c>
      <c r="I20" s="7">
        <v>38000</v>
      </c>
      <c r="J20" s="14">
        <v>6204</v>
      </c>
      <c r="K20" s="15">
        <f>L20+3089</f>
        <v>9293</v>
      </c>
      <c r="L20" s="15">
        <f>2958+3246</f>
        <v>6204</v>
      </c>
      <c r="M20" s="15">
        <f t="shared" si="0"/>
        <v>6204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0.45965471104371408</v>
      </c>
      <c r="AF20" s="84">
        <f t="shared" si="8"/>
        <v>12</v>
      </c>
    </row>
    <row r="21" spans="1:32" ht="27" customHeight="1">
      <c r="A21" s="96">
        <v>13</v>
      </c>
      <c r="B21" s="11" t="s">
        <v>57</v>
      </c>
      <c r="C21" s="11" t="s">
        <v>120</v>
      </c>
      <c r="D21" s="52" t="s">
        <v>115</v>
      </c>
      <c r="E21" s="53" t="s">
        <v>446</v>
      </c>
      <c r="F21" s="30" t="s">
        <v>132</v>
      </c>
      <c r="G21" s="33">
        <v>1</v>
      </c>
      <c r="H21" s="35">
        <v>24</v>
      </c>
      <c r="I21" s="7">
        <v>1500</v>
      </c>
      <c r="J21" s="14">
        <v>2050</v>
      </c>
      <c r="K21" s="15">
        <f>L21</f>
        <v>2050</v>
      </c>
      <c r="L21" s="15">
        <f>2050</f>
        <v>2050</v>
      </c>
      <c r="M21" s="15">
        <f t="shared" si="0"/>
        <v>2050</v>
      </c>
      <c r="N21" s="15">
        <v>0</v>
      </c>
      <c r="O21" s="58">
        <f t="shared" si="1"/>
        <v>0</v>
      </c>
      <c r="P21" s="39">
        <f t="shared" si="2"/>
        <v>15</v>
      </c>
      <c r="Q21" s="40">
        <f t="shared" si="3"/>
        <v>9</v>
      </c>
      <c r="R21" s="7"/>
      <c r="S21" s="6"/>
      <c r="T21" s="16"/>
      <c r="U21" s="16"/>
      <c r="V21" s="17"/>
      <c r="W21" s="5">
        <v>9</v>
      </c>
      <c r="X21" s="16"/>
      <c r="Y21" s="16"/>
      <c r="Z21" s="16"/>
      <c r="AA21" s="18"/>
      <c r="AB21" s="8">
        <f t="shared" si="4"/>
        <v>1</v>
      </c>
      <c r="AC21" s="9">
        <f t="shared" si="5"/>
        <v>0.625</v>
      </c>
      <c r="AD21" s="10">
        <f t="shared" si="6"/>
        <v>0.625</v>
      </c>
      <c r="AE21" s="36">
        <f t="shared" si="7"/>
        <v>0.45965471104371408</v>
      </c>
      <c r="AF21" s="84">
        <f t="shared" si="8"/>
        <v>13</v>
      </c>
    </row>
    <row r="22" spans="1:32" ht="27" customHeight="1">
      <c r="A22" s="96">
        <v>14</v>
      </c>
      <c r="B22" s="11" t="s">
        <v>57</v>
      </c>
      <c r="C22" s="11" t="s">
        <v>432</v>
      </c>
      <c r="D22" s="52" t="s">
        <v>447</v>
      </c>
      <c r="E22" s="53"/>
      <c r="F22" s="30" t="s">
        <v>132</v>
      </c>
      <c r="G22" s="33" t="s">
        <v>164</v>
      </c>
      <c r="H22" s="35">
        <v>24</v>
      </c>
      <c r="I22" s="7">
        <v>1000</v>
      </c>
      <c r="J22" s="14">
        <v>3040</v>
      </c>
      <c r="K22" s="15">
        <f>L22</f>
        <v>3040</v>
      </c>
      <c r="L22" s="15">
        <f>1269+1771</f>
        <v>3040</v>
      </c>
      <c r="M22" s="15">
        <f t="shared" si="0"/>
        <v>3040</v>
      </c>
      <c r="N22" s="15">
        <v>0</v>
      </c>
      <c r="O22" s="58">
        <f t="shared" si="1"/>
        <v>0</v>
      </c>
      <c r="P22" s="39">
        <f t="shared" si="2"/>
        <v>18</v>
      </c>
      <c r="Q22" s="40">
        <f t="shared" si="3"/>
        <v>6</v>
      </c>
      <c r="R22" s="7"/>
      <c r="S22" s="6"/>
      <c r="T22" s="16">
        <v>3</v>
      </c>
      <c r="U22" s="16"/>
      <c r="V22" s="17"/>
      <c r="W22" s="5">
        <v>3</v>
      </c>
      <c r="X22" s="16"/>
      <c r="Y22" s="16"/>
      <c r="Z22" s="16"/>
      <c r="AA22" s="18"/>
      <c r="AB22" s="8">
        <f t="shared" si="4"/>
        <v>1</v>
      </c>
      <c r="AC22" s="9">
        <f t="shared" si="5"/>
        <v>0.75</v>
      </c>
      <c r="AD22" s="10">
        <f t="shared" si="6"/>
        <v>0.75</v>
      </c>
      <c r="AE22" s="36">
        <f t="shared" si="7"/>
        <v>0.45965471104371408</v>
      </c>
      <c r="AF22" s="84">
        <f t="shared" si="8"/>
        <v>14</v>
      </c>
    </row>
    <row r="23" spans="1:32" ht="27" customHeight="1">
      <c r="A23" s="113">
        <v>15</v>
      </c>
      <c r="B23" s="11" t="s">
        <v>57</v>
      </c>
      <c r="C23" s="34" t="s">
        <v>121</v>
      </c>
      <c r="D23" s="52" t="s">
        <v>115</v>
      </c>
      <c r="E23" s="53" t="s">
        <v>200</v>
      </c>
      <c r="F23" s="30" t="s">
        <v>124</v>
      </c>
      <c r="G23" s="12">
        <v>2</v>
      </c>
      <c r="H23" s="13">
        <v>28</v>
      </c>
      <c r="I23" s="31">
        <v>400000</v>
      </c>
      <c r="J23" s="5">
        <v>7910</v>
      </c>
      <c r="K23" s="15">
        <f>L23+6852+6648+9128+6400+11510+3498+11566+8822+12584+12228+12656+7910</f>
        <v>109802</v>
      </c>
      <c r="L23" s="15"/>
      <c r="M23" s="15">
        <f t="shared" si="0"/>
        <v>0</v>
      </c>
      <c r="N23" s="15">
        <v>0</v>
      </c>
      <c r="O23" s="58" t="str">
        <f t="shared" si="1"/>
        <v>0</v>
      </c>
      <c r="P23" s="39" t="str">
        <f t="shared" si="2"/>
        <v>0</v>
      </c>
      <c r="Q23" s="40">
        <f t="shared" si="3"/>
        <v>24</v>
      </c>
      <c r="R23" s="7"/>
      <c r="S23" s="6">
        <v>24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0</v>
      </c>
      <c r="AC23" s="9">
        <f t="shared" si="5"/>
        <v>0</v>
      </c>
      <c r="AD23" s="10">
        <f t="shared" si="6"/>
        <v>0</v>
      </c>
      <c r="AE23" s="36">
        <f t="shared" si="7"/>
        <v>0.45965471104371408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134</v>
      </c>
      <c r="F24" s="12" t="s">
        <v>114</v>
      </c>
      <c r="G24" s="12">
        <v>4</v>
      </c>
      <c r="H24" s="35">
        <v>20</v>
      </c>
      <c r="I24" s="7">
        <v>500000</v>
      </c>
      <c r="J24" s="14">
        <v>38408</v>
      </c>
      <c r="K24" s="15">
        <f>L24</f>
        <v>31044</v>
      </c>
      <c r="L24" s="15">
        <f>6581*4+1180*4</f>
        <v>31044</v>
      </c>
      <c r="M24" s="15">
        <f t="shared" si="0"/>
        <v>31044</v>
      </c>
      <c r="N24" s="15">
        <v>0</v>
      </c>
      <c r="O24" s="58">
        <f t="shared" si="1"/>
        <v>0</v>
      </c>
      <c r="P24" s="39">
        <f t="shared" si="2"/>
        <v>22</v>
      </c>
      <c r="Q24" s="40">
        <f t="shared" si="3"/>
        <v>2</v>
      </c>
      <c r="R24" s="7"/>
      <c r="S24" s="6">
        <v>2</v>
      </c>
      <c r="T24" s="16"/>
      <c r="U24" s="16"/>
      <c r="V24" s="17"/>
      <c r="W24" s="5"/>
      <c r="X24" s="16"/>
      <c r="Y24" s="16"/>
      <c r="Z24" s="16"/>
      <c r="AA24" s="18"/>
      <c r="AB24" s="8">
        <f t="shared" si="4"/>
        <v>0.80826911060195794</v>
      </c>
      <c r="AC24" s="9">
        <f t="shared" si="5"/>
        <v>0.91666666666666663</v>
      </c>
      <c r="AD24" s="10">
        <f t="shared" si="6"/>
        <v>0.74091335138512804</v>
      </c>
      <c r="AE24" s="36">
        <f t="shared" si="7"/>
        <v>0.45965471104371408</v>
      </c>
      <c r="AF24" s="84">
        <f t="shared" si="8"/>
        <v>16</v>
      </c>
    </row>
    <row r="25" spans="1:32" ht="31.5" customHeight="1" thickBot="1">
      <c r="A25" s="529" t="s">
        <v>34</v>
      </c>
      <c r="B25" s="530"/>
      <c r="C25" s="530"/>
      <c r="D25" s="530"/>
      <c r="E25" s="530"/>
      <c r="F25" s="530"/>
      <c r="G25" s="530"/>
      <c r="H25" s="531"/>
      <c r="I25" s="22">
        <f t="shared" ref="I25:N25" si="26">SUM(I6:I24)</f>
        <v>2750300</v>
      </c>
      <c r="J25" s="19">
        <f t="shared" si="26"/>
        <v>142848</v>
      </c>
      <c r="K25" s="20">
        <f t="shared" si="26"/>
        <v>820383</v>
      </c>
      <c r="L25" s="21">
        <f t="shared" si="26"/>
        <v>110130</v>
      </c>
      <c r="M25" s="20">
        <f t="shared" si="26"/>
        <v>110130</v>
      </c>
      <c r="N25" s="21">
        <f t="shared" si="26"/>
        <v>0</v>
      </c>
      <c r="O25" s="41">
        <f t="shared" si="1"/>
        <v>0</v>
      </c>
      <c r="P25" s="42">
        <f t="shared" ref="P25:AA25" si="27">SUM(P6:P24)</f>
        <v>216</v>
      </c>
      <c r="Q25" s="43">
        <f t="shared" si="27"/>
        <v>240</v>
      </c>
      <c r="R25" s="23">
        <f t="shared" si="27"/>
        <v>24</v>
      </c>
      <c r="S25" s="24">
        <f t="shared" si="27"/>
        <v>126</v>
      </c>
      <c r="T25" s="24">
        <f t="shared" si="27"/>
        <v>12</v>
      </c>
      <c r="U25" s="24">
        <f t="shared" si="27"/>
        <v>0</v>
      </c>
      <c r="V25" s="25">
        <f t="shared" si="27"/>
        <v>0</v>
      </c>
      <c r="W25" s="26">
        <f t="shared" si="27"/>
        <v>78</v>
      </c>
      <c r="X25" s="27">
        <f t="shared" si="27"/>
        <v>0</v>
      </c>
      <c r="Y25" s="27">
        <f t="shared" si="27"/>
        <v>0</v>
      </c>
      <c r="Z25" s="27">
        <f t="shared" si="27"/>
        <v>0</v>
      </c>
      <c r="AA25" s="27">
        <f t="shared" si="27"/>
        <v>0</v>
      </c>
      <c r="AB25" s="28">
        <f>AVERAGE(AB6:AB24)</f>
        <v>0.75070663480392652</v>
      </c>
      <c r="AC25" s="4">
        <f>AVERAGE(AC6:AC24)</f>
        <v>0.47368421052631571</v>
      </c>
      <c r="AD25" s="4">
        <f>AVERAGE(AD6:AD24)</f>
        <v>0.45965471104371408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532" t="s">
        <v>45</v>
      </c>
      <c r="B52" s="532"/>
      <c r="C52" s="532"/>
      <c r="D52" s="532"/>
      <c r="E52" s="532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533" t="s">
        <v>448</v>
      </c>
      <c r="B53" s="534"/>
      <c r="C53" s="534"/>
      <c r="D53" s="534"/>
      <c r="E53" s="534"/>
      <c r="F53" s="534"/>
      <c r="G53" s="534"/>
      <c r="H53" s="534"/>
      <c r="I53" s="534"/>
      <c r="J53" s="534"/>
      <c r="K53" s="534"/>
      <c r="L53" s="534"/>
      <c r="M53" s="535"/>
      <c r="N53" s="536" t="s">
        <v>451</v>
      </c>
      <c r="O53" s="537"/>
      <c r="P53" s="537"/>
      <c r="Q53" s="537"/>
      <c r="R53" s="537"/>
      <c r="S53" s="537"/>
      <c r="T53" s="537"/>
      <c r="U53" s="537"/>
      <c r="V53" s="537"/>
      <c r="W53" s="537"/>
      <c r="X53" s="537"/>
      <c r="Y53" s="537"/>
      <c r="Z53" s="537"/>
      <c r="AA53" s="537"/>
      <c r="AB53" s="537"/>
      <c r="AC53" s="537"/>
      <c r="AD53" s="538"/>
    </row>
    <row r="54" spans="1:32" ht="27" customHeight="1">
      <c r="A54" s="539" t="s">
        <v>2</v>
      </c>
      <c r="B54" s="540"/>
      <c r="C54" s="286" t="s">
        <v>46</v>
      </c>
      <c r="D54" s="286" t="s">
        <v>47</v>
      </c>
      <c r="E54" s="286" t="s">
        <v>107</v>
      </c>
      <c r="F54" s="541" t="s">
        <v>106</v>
      </c>
      <c r="G54" s="542"/>
      <c r="H54" s="542"/>
      <c r="I54" s="542"/>
      <c r="J54" s="542"/>
      <c r="K54" s="542"/>
      <c r="L54" s="542"/>
      <c r="M54" s="543"/>
      <c r="N54" s="67" t="s">
        <v>110</v>
      </c>
      <c r="O54" s="286" t="s">
        <v>46</v>
      </c>
      <c r="P54" s="541" t="s">
        <v>47</v>
      </c>
      <c r="Q54" s="544"/>
      <c r="R54" s="541" t="s">
        <v>38</v>
      </c>
      <c r="S54" s="542"/>
      <c r="T54" s="542"/>
      <c r="U54" s="544"/>
      <c r="V54" s="541" t="s">
        <v>48</v>
      </c>
      <c r="W54" s="542"/>
      <c r="X54" s="542"/>
      <c r="Y54" s="542"/>
      <c r="Z54" s="542"/>
      <c r="AA54" s="542"/>
      <c r="AB54" s="542"/>
      <c r="AC54" s="542"/>
      <c r="AD54" s="543"/>
    </row>
    <row r="55" spans="1:32" ht="27" customHeight="1">
      <c r="A55" s="510" t="s">
        <v>121</v>
      </c>
      <c r="B55" s="511"/>
      <c r="C55" s="283" t="s">
        <v>144</v>
      </c>
      <c r="D55" s="283" t="s">
        <v>115</v>
      </c>
      <c r="E55" s="283" t="s">
        <v>160</v>
      </c>
      <c r="F55" s="512" t="s">
        <v>231</v>
      </c>
      <c r="G55" s="513"/>
      <c r="H55" s="513"/>
      <c r="I55" s="513"/>
      <c r="J55" s="513"/>
      <c r="K55" s="513"/>
      <c r="L55" s="513"/>
      <c r="M55" s="514"/>
      <c r="N55" s="282" t="s">
        <v>112</v>
      </c>
      <c r="O55" s="280" t="s">
        <v>239</v>
      </c>
      <c r="P55" s="524" t="s">
        <v>130</v>
      </c>
      <c r="Q55" s="525"/>
      <c r="R55" s="524" t="s">
        <v>421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112</v>
      </c>
      <c r="B56" s="511"/>
      <c r="C56" s="283" t="s">
        <v>267</v>
      </c>
      <c r="D56" s="283" t="s">
        <v>133</v>
      </c>
      <c r="E56" s="283" t="s">
        <v>151</v>
      </c>
      <c r="F56" s="512" t="s">
        <v>232</v>
      </c>
      <c r="G56" s="513"/>
      <c r="H56" s="513"/>
      <c r="I56" s="513"/>
      <c r="J56" s="513"/>
      <c r="K56" s="513"/>
      <c r="L56" s="513"/>
      <c r="M56" s="514"/>
      <c r="N56" s="282" t="s">
        <v>429</v>
      </c>
      <c r="O56" s="280" t="s">
        <v>174</v>
      </c>
      <c r="P56" s="524"/>
      <c r="Q56" s="525"/>
      <c r="R56" s="524" t="s">
        <v>430</v>
      </c>
      <c r="S56" s="526"/>
      <c r="T56" s="526"/>
      <c r="U56" s="525"/>
      <c r="V56" s="496" t="s">
        <v>180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72" t="s">
        <v>120</v>
      </c>
      <c r="B57" s="525"/>
      <c r="C57" s="283" t="s">
        <v>239</v>
      </c>
      <c r="D57" s="283" t="s">
        <v>130</v>
      </c>
      <c r="E57" s="283" t="s">
        <v>425</v>
      </c>
      <c r="F57" s="512" t="s">
        <v>180</v>
      </c>
      <c r="G57" s="513"/>
      <c r="H57" s="513"/>
      <c r="I57" s="513"/>
      <c r="J57" s="513"/>
      <c r="K57" s="513"/>
      <c r="L57" s="513"/>
      <c r="M57" s="514"/>
      <c r="N57" s="282" t="s">
        <v>120</v>
      </c>
      <c r="O57" s="280" t="s">
        <v>284</v>
      </c>
      <c r="P57" s="524" t="s">
        <v>141</v>
      </c>
      <c r="Q57" s="525"/>
      <c r="R57" s="524" t="s">
        <v>452</v>
      </c>
      <c r="S57" s="526"/>
      <c r="T57" s="526"/>
      <c r="U57" s="525"/>
      <c r="V57" s="496" t="s">
        <v>118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72" t="s">
        <v>112</v>
      </c>
      <c r="B58" s="525"/>
      <c r="C58" s="283" t="s">
        <v>189</v>
      </c>
      <c r="D58" s="283" t="s">
        <v>130</v>
      </c>
      <c r="E58" s="283" t="s">
        <v>382</v>
      </c>
      <c r="F58" s="512" t="s">
        <v>231</v>
      </c>
      <c r="G58" s="513"/>
      <c r="H58" s="513"/>
      <c r="I58" s="513"/>
      <c r="J58" s="513"/>
      <c r="K58" s="513"/>
      <c r="L58" s="513"/>
      <c r="M58" s="514"/>
      <c r="N58" s="282" t="s">
        <v>121</v>
      </c>
      <c r="O58" s="280" t="s">
        <v>284</v>
      </c>
      <c r="P58" s="524"/>
      <c r="Q58" s="525"/>
      <c r="R58" s="524" t="s">
        <v>453</v>
      </c>
      <c r="S58" s="526"/>
      <c r="T58" s="526"/>
      <c r="U58" s="525"/>
      <c r="V58" s="496" t="s">
        <v>118</v>
      </c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 t="s">
        <v>120</v>
      </c>
      <c r="B59" s="511"/>
      <c r="C59" s="283" t="s">
        <v>239</v>
      </c>
      <c r="D59" s="283" t="s">
        <v>215</v>
      </c>
      <c r="E59" s="283" t="s">
        <v>440</v>
      </c>
      <c r="F59" s="512" t="s">
        <v>118</v>
      </c>
      <c r="G59" s="513"/>
      <c r="H59" s="513"/>
      <c r="I59" s="513"/>
      <c r="J59" s="513"/>
      <c r="K59" s="513"/>
      <c r="L59" s="513"/>
      <c r="M59" s="514"/>
      <c r="N59" s="282" t="s">
        <v>121</v>
      </c>
      <c r="O59" s="280" t="s">
        <v>144</v>
      </c>
      <c r="P59" s="524" t="s">
        <v>115</v>
      </c>
      <c r="Q59" s="525"/>
      <c r="R59" s="524" t="s">
        <v>160</v>
      </c>
      <c r="S59" s="526"/>
      <c r="T59" s="526"/>
      <c r="U59" s="525"/>
      <c r="V59" s="496" t="s">
        <v>180</v>
      </c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 t="s">
        <v>120</v>
      </c>
      <c r="B60" s="511"/>
      <c r="C60" s="283" t="s">
        <v>239</v>
      </c>
      <c r="D60" s="283" t="s">
        <v>186</v>
      </c>
      <c r="E60" s="283" t="s">
        <v>405</v>
      </c>
      <c r="F60" s="512" t="s">
        <v>118</v>
      </c>
      <c r="G60" s="513"/>
      <c r="H60" s="513"/>
      <c r="I60" s="513"/>
      <c r="J60" s="513"/>
      <c r="K60" s="513"/>
      <c r="L60" s="513"/>
      <c r="M60" s="514"/>
      <c r="N60" s="282"/>
      <c r="O60" s="280"/>
      <c r="P60" s="524"/>
      <c r="Q60" s="525"/>
      <c r="R60" s="524"/>
      <c r="S60" s="526"/>
      <c r="T60" s="526"/>
      <c r="U60" s="525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67" t="s">
        <v>429</v>
      </c>
      <c r="B61" s="568"/>
      <c r="C61" s="288" t="s">
        <v>174</v>
      </c>
      <c r="D61" s="288"/>
      <c r="E61" s="283" t="s">
        <v>449</v>
      </c>
      <c r="F61" s="512" t="s">
        <v>367</v>
      </c>
      <c r="G61" s="513"/>
      <c r="H61" s="513"/>
      <c r="I61" s="513"/>
      <c r="J61" s="513"/>
      <c r="K61" s="513"/>
      <c r="L61" s="513"/>
      <c r="M61" s="514"/>
      <c r="N61" s="282"/>
      <c r="O61" s="280"/>
      <c r="P61" s="524"/>
      <c r="Q61" s="525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</row>
    <row r="62" spans="1:32" ht="27" customHeight="1">
      <c r="A62" s="567" t="s">
        <v>429</v>
      </c>
      <c r="B62" s="568"/>
      <c r="C62" s="288" t="s">
        <v>284</v>
      </c>
      <c r="D62" s="288"/>
      <c r="E62" s="283" t="s">
        <v>450</v>
      </c>
      <c r="F62" s="512" t="s">
        <v>268</v>
      </c>
      <c r="G62" s="513"/>
      <c r="H62" s="513"/>
      <c r="I62" s="513"/>
      <c r="J62" s="513"/>
      <c r="K62" s="513"/>
      <c r="L62" s="513"/>
      <c r="M62" s="514"/>
      <c r="N62" s="282"/>
      <c r="O62" s="280"/>
      <c r="P62" s="524"/>
      <c r="Q62" s="525"/>
      <c r="R62" s="511"/>
      <c r="S62" s="511"/>
      <c r="T62" s="511"/>
      <c r="U62" s="511"/>
      <c r="V62" s="496"/>
      <c r="W62" s="496"/>
      <c r="X62" s="496"/>
      <c r="Y62" s="496"/>
      <c r="Z62" s="496"/>
      <c r="AA62" s="496"/>
      <c r="AB62" s="496"/>
      <c r="AC62" s="496"/>
      <c r="AD62" s="515"/>
    </row>
    <row r="63" spans="1:32" ht="27" customHeight="1">
      <c r="A63" s="510" t="s">
        <v>120</v>
      </c>
      <c r="B63" s="511"/>
      <c r="C63" s="283" t="s">
        <v>197</v>
      </c>
      <c r="D63" s="283" t="s">
        <v>115</v>
      </c>
      <c r="E63" s="283" t="s">
        <v>446</v>
      </c>
      <c r="F63" s="512" t="s">
        <v>320</v>
      </c>
      <c r="G63" s="513"/>
      <c r="H63" s="513"/>
      <c r="I63" s="513"/>
      <c r="J63" s="513"/>
      <c r="K63" s="513"/>
      <c r="L63" s="513"/>
      <c r="M63" s="514"/>
      <c r="N63" s="282"/>
      <c r="O63" s="280"/>
      <c r="P63" s="511"/>
      <c r="Q63" s="511"/>
      <c r="R63" s="511"/>
      <c r="S63" s="511"/>
      <c r="T63" s="511"/>
      <c r="U63" s="511"/>
      <c r="V63" s="496"/>
      <c r="W63" s="496"/>
      <c r="X63" s="496"/>
      <c r="Y63" s="496"/>
      <c r="Z63" s="496"/>
      <c r="AA63" s="496"/>
      <c r="AB63" s="496"/>
      <c r="AC63" s="496"/>
      <c r="AD63" s="515"/>
      <c r="AF63" s="84">
        <f>8*3000</f>
        <v>24000</v>
      </c>
    </row>
    <row r="64" spans="1:32" ht="27" customHeight="1" thickBot="1">
      <c r="A64" s="516"/>
      <c r="B64" s="517"/>
      <c r="C64" s="284"/>
      <c r="D64" s="285"/>
      <c r="E64" s="285"/>
      <c r="F64" s="518"/>
      <c r="G64" s="519"/>
      <c r="H64" s="519"/>
      <c r="I64" s="519"/>
      <c r="J64" s="519"/>
      <c r="K64" s="519"/>
      <c r="L64" s="519"/>
      <c r="M64" s="520"/>
      <c r="N64" s="112"/>
      <c r="O64" s="103"/>
      <c r="P64" s="521"/>
      <c r="Q64" s="521"/>
      <c r="R64" s="521"/>
      <c r="S64" s="521"/>
      <c r="T64" s="521"/>
      <c r="U64" s="521"/>
      <c r="V64" s="522"/>
      <c r="W64" s="522"/>
      <c r="X64" s="522"/>
      <c r="Y64" s="522"/>
      <c r="Z64" s="522"/>
      <c r="AA64" s="522"/>
      <c r="AB64" s="522"/>
      <c r="AC64" s="522"/>
      <c r="AD64" s="523"/>
      <c r="AF64" s="84">
        <f>16*3000</f>
        <v>48000</v>
      </c>
    </row>
    <row r="65" spans="1:32" ht="27.75" thickBot="1">
      <c r="A65" s="508" t="s">
        <v>454</v>
      </c>
      <c r="B65" s="508"/>
      <c r="C65" s="508"/>
      <c r="D65" s="508"/>
      <c r="E65" s="508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509" t="s">
        <v>111</v>
      </c>
      <c r="B66" s="503"/>
      <c r="C66" s="281" t="s">
        <v>2</v>
      </c>
      <c r="D66" s="281" t="s">
        <v>37</v>
      </c>
      <c r="E66" s="281" t="s">
        <v>3</v>
      </c>
      <c r="F66" s="503" t="s">
        <v>109</v>
      </c>
      <c r="G66" s="503"/>
      <c r="H66" s="503"/>
      <c r="I66" s="503"/>
      <c r="J66" s="503"/>
      <c r="K66" s="503" t="s">
        <v>39</v>
      </c>
      <c r="L66" s="503"/>
      <c r="M66" s="281" t="s">
        <v>40</v>
      </c>
      <c r="N66" s="503" t="s">
        <v>41</v>
      </c>
      <c r="O66" s="503"/>
      <c r="P66" s="500" t="s">
        <v>42</v>
      </c>
      <c r="Q66" s="502"/>
      <c r="R66" s="500" t="s">
        <v>43</v>
      </c>
      <c r="S66" s="501"/>
      <c r="T66" s="501"/>
      <c r="U66" s="501"/>
      <c r="V66" s="501"/>
      <c r="W66" s="501"/>
      <c r="X66" s="501"/>
      <c r="Y66" s="501"/>
      <c r="Z66" s="501"/>
      <c r="AA66" s="502"/>
      <c r="AB66" s="503" t="s">
        <v>44</v>
      </c>
      <c r="AC66" s="503"/>
      <c r="AD66" s="504"/>
      <c r="AF66" s="84">
        <f>SUM(AF63:AF65)</f>
        <v>96000</v>
      </c>
    </row>
    <row r="67" spans="1:32" ht="25.5" customHeight="1">
      <c r="A67" s="491">
        <v>1</v>
      </c>
      <c r="B67" s="492"/>
      <c r="C67" s="105" t="s">
        <v>120</v>
      </c>
      <c r="D67" s="276"/>
      <c r="E67" s="279" t="s">
        <v>115</v>
      </c>
      <c r="F67" s="497" t="s">
        <v>446</v>
      </c>
      <c r="G67" s="498"/>
      <c r="H67" s="498"/>
      <c r="I67" s="498"/>
      <c r="J67" s="499"/>
      <c r="K67" s="485">
        <v>7301</v>
      </c>
      <c r="L67" s="485"/>
      <c r="M67" s="51" t="s">
        <v>272</v>
      </c>
      <c r="N67" s="494" t="s">
        <v>197</v>
      </c>
      <c r="O67" s="494"/>
      <c r="P67" s="495">
        <v>50</v>
      </c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505"/>
      <c r="AC67" s="506"/>
      <c r="AD67" s="507"/>
      <c r="AF67" s="50"/>
    </row>
    <row r="68" spans="1:32" ht="25.5" customHeight="1">
      <c r="A68" s="491">
        <v>2</v>
      </c>
      <c r="B68" s="492"/>
      <c r="C68" s="105" t="s">
        <v>121</v>
      </c>
      <c r="D68" s="276"/>
      <c r="E68" s="279" t="s">
        <v>115</v>
      </c>
      <c r="F68" s="497" t="s">
        <v>417</v>
      </c>
      <c r="G68" s="498"/>
      <c r="H68" s="498"/>
      <c r="I68" s="498"/>
      <c r="J68" s="499"/>
      <c r="K68" s="485" t="s">
        <v>124</v>
      </c>
      <c r="L68" s="485"/>
      <c r="M68" s="51" t="s">
        <v>436</v>
      </c>
      <c r="N68" s="494" t="s">
        <v>201</v>
      </c>
      <c r="O68" s="494"/>
      <c r="P68" s="495"/>
      <c r="Q68" s="495"/>
      <c r="R68" s="496" t="s">
        <v>455</v>
      </c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3</v>
      </c>
      <c r="B69" s="492"/>
      <c r="C69" s="105"/>
      <c r="D69" s="276"/>
      <c r="E69" s="279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4</v>
      </c>
      <c r="B70" s="492"/>
      <c r="C70" s="105"/>
      <c r="D70" s="276"/>
      <c r="E70" s="279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5</v>
      </c>
      <c r="B71" s="492"/>
      <c r="C71" s="105"/>
      <c r="D71" s="276"/>
      <c r="E71" s="279"/>
      <c r="F71" s="497"/>
      <c r="G71" s="498"/>
      <c r="H71" s="498"/>
      <c r="I71" s="498"/>
      <c r="J71" s="499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6</v>
      </c>
      <c r="B72" s="492"/>
      <c r="C72" s="105"/>
      <c r="D72" s="276"/>
      <c r="E72" s="279"/>
      <c r="F72" s="497"/>
      <c r="G72" s="498"/>
      <c r="H72" s="498"/>
      <c r="I72" s="498"/>
      <c r="J72" s="499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7</v>
      </c>
      <c r="B73" s="492"/>
      <c r="C73" s="105"/>
      <c r="D73" s="276"/>
      <c r="E73" s="279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8</v>
      </c>
      <c r="B74" s="492"/>
      <c r="C74" s="105"/>
      <c r="D74" s="276"/>
      <c r="E74" s="279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5.5" customHeight="1">
      <c r="A75" s="491">
        <v>9</v>
      </c>
      <c r="B75" s="492"/>
      <c r="C75" s="105"/>
      <c r="D75" s="276"/>
      <c r="E75" s="279"/>
      <c r="F75" s="493"/>
      <c r="G75" s="485"/>
      <c r="H75" s="485"/>
      <c r="I75" s="485"/>
      <c r="J75" s="485"/>
      <c r="K75" s="485"/>
      <c r="L75" s="485"/>
      <c r="M75" s="51"/>
      <c r="N75" s="494"/>
      <c r="O75" s="494"/>
      <c r="P75" s="495"/>
      <c r="Q75" s="495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85"/>
      <c r="AC75" s="485"/>
      <c r="AD75" s="486"/>
      <c r="AF75" s="50"/>
    </row>
    <row r="76" spans="1:32" ht="25.5" customHeight="1">
      <c r="A76" s="491">
        <v>10</v>
      </c>
      <c r="B76" s="492"/>
      <c r="C76" s="105"/>
      <c r="D76" s="276"/>
      <c r="E76" s="279"/>
      <c r="F76" s="493"/>
      <c r="G76" s="485"/>
      <c r="H76" s="485"/>
      <c r="I76" s="485"/>
      <c r="J76" s="485"/>
      <c r="K76" s="485"/>
      <c r="L76" s="485"/>
      <c r="M76" s="51"/>
      <c r="N76" s="494"/>
      <c r="O76" s="494"/>
      <c r="P76" s="495"/>
      <c r="Q76" s="495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85"/>
      <c r="AC76" s="485"/>
      <c r="AD76" s="486"/>
      <c r="AF76" s="50"/>
    </row>
    <row r="77" spans="1:32" ht="26.25" customHeight="1" thickBot="1">
      <c r="A77" s="465" t="s">
        <v>456</v>
      </c>
      <c r="B77" s="465"/>
      <c r="C77" s="465"/>
      <c r="D77" s="465"/>
      <c r="E77" s="465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466" t="s">
        <v>111</v>
      </c>
      <c r="B78" s="467"/>
      <c r="C78" s="278" t="s">
        <v>2</v>
      </c>
      <c r="D78" s="278" t="s">
        <v>37</v>
      </c>
      <c r="E78" s="278" t="s">
        <v>273</v>
      </c>
      <c r="F78" s="467" t="s">
        <v>38</v>
      </c>
      <c r="G78" s="467"/>
      <c r="H78" s="467"/>
      <c r="I78" s="467"/>
      <c r="J78" s="467"/>
      <c r="K78" s="487" t="s">
        <v>58</v>
      </c>
      <c r="L78" s="488"/>
      <c r="M78" s="488"/>
      <c r="N78" s="488"/>
      <c r="O78" s="488"/>
      <c r="P78" s="488"/>
      <c r="Q78" s="488"/>
      <c r="R78" s="488"/>
      <c r="S78" s="489"/>
      <c r="T78" s="467" t="s">
        <v>49</v>
      </c>
      <c r="U78" s="467"/>
      <c r="V78" s="487" t="s">
        <v>50</v>
      </c>
      <c r="W78" s="489"/>
      <c r="X78" s="488" t="s">
        <v>51</v>
      </c>
      <c r="Y78" s="488"/>
      <c r="Z78" s="488"/>
      <c r="AA78" s="488"/>
      <c r="AB78" s="488"/>
      <c r="AC78" s="488"/>
      <c r="AD78" s="490"/>
      <c r="AF78" s="50"/>
    </row>
    <row r="79" spans="1:32" ht="33.75" customHeight="1">
      <c r="A79" s="459">
        <v>1</v>
      </c>
      <c r="B79" s="460"/>
      <c r="C79" s="277" t="s">
        <v>112</v>
      </c>
      <c r="D79" s="277"/>
      <c r="E79" s="65" t="s">
        <v>117</v>
      </c>
      <c r="F79" s="474" t="s">
        <v>116</v>
      </c>
      <c r="G79" s="475"/>
      <c r="H79" s="475"/>
      <c r="I79" s="475"/>
      <c r="J79" s="476"/>
      <c r="K79" s="477" t="s">
        <v>122</v>
      </c>
      <c r="L79" s="478"/>
      <c r="M79" s="478"/>
      <c r="N79" s="478"/>
      <c r="O79" s="478"/>
      <c r="P79" s="478"/>
      <c r="Q79" s="478"/>
      <c r="R79" s="478"/>
      <c r="S79" s="479"/>
      <c r="T79" s="480">
        <v>43675</v>
      </c>
      <c r="U79" s="481"/>
      <c r="V79" s="482"/>
      <c r="W79" s="482"/>
      <c r="X79" s="483"/>
      <c r="Y79" s="483"/>
      <c r="Z79" s="483"/>
      <c r="AA79" s="483"/>
      <c r="AB79" s="483"/>
      <c r="AC79" s="483"/>
      <c r="AD79" s="484"/>
      <c r="AF79" s="50"/>
    </row>
    <row r="80" spans="1:32" ht="30" customHeight="1">
      <c r="A80" s="452">
        <f>A79+1</f>
        <v>2</v>
      </c>
      <c r="B80" s="453"/>
      <c r="C80" s="276"/>
      <c r="D80" s="276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ref="A81:A85" si="28">A80+1</f>
        <v>3</v>
      </c>
      <c r="B81" s="453"/>
      <c r="C81" s="276"/>
      <c r="D81" s="276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8"/>
        <v>4</v>
      </c>
      <c r="B82" s="453"/>
      <c r="C82" s="276"/>
      <c r="D82" s="276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28"/>
        <v>5</v>
      </c>
      <c r="B83" s="453"/>
      <c r="C83" s="276"/>
      <c r="D83" s="276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0" customHeight="1">
      <c r="A84" s="452">
        <f t="shared" si="28"/>
        <v>6</v>
      </c>
      <c r="B84" s="453"/>
      <c r="C84" s="276"/>
      <c r="D84" s="276"/>
      <c r="E84" s="32"/>
      <c r="F84" s="453"/>
      <c r="G84" s="453"/>
      <c r="H84" s="453"/>
      <c r="I84" s="453"/>
      <c r="J84" s="453"/>
      <c r="K84" s="468"/>
      <c r="L84" s="469"/>
      <c r="M84" s="469"/>
      <c r="N84" s="469"/>
      <c r="O84" s="469"/>
      <c r="P84" s="469"/>
      <c r="Q84" s="469"/>
      <c r="R84" s="469"/>
      <c r="S84" s="470"/>
      <c r="T84" s="471"/>
      <c r="U84" s="471"/>
      <c r="V84" s="471"/>
      <c r="W84" s="471"/>
      <c r="X84" s="472"/>
      <c r="Y84" s="472"/>
      <c r="Z84" s="472"/>
      <c r="AA84" s="472"/>
      <c r="AB84" s="472"/>
      <c r="AC84" s="472"/>
      <c r="AD84" s="473"/>
      <c r="AF84" s="50"/>
    </row>
    <row r="85" spans="1:32" ht="30" customHeight="1">
      <c r="A85" s="452">
        <f t="shared" si="28"/>
        <v>7</v>
      </c>
      <c r="B85" s="453"/>
      <c r="C85" s="276"/>
      <c r="D85" s="276"/>
      <c r="E85" s="32"/>
      <c r="F85" s="453"/>
      <c r="G85" s="453"/>
      <c r="H85" s="453"/>
      <c r="I85" s="453"/>
      <c r="J85" s="453"/>
      <c r="K85" s="468"/>
      <c r="L85" s="469"/>
      <c r="M85" s="469"/>
      <c r="N85" s="469"/>
      <c r="O85" s="469"/>
      <c r="P85" s="469"/>
      <c r="Q85" s="469"/>
      <c r="R85" s="469"/>
      <c r="S85" s="470"/>
      <c r="T85" s="471"/>
      <c r="U85" s="471"/>
      <c r="V85" s="471"/>
      <c r="W85" s="471"/>
      <c r="X85" s="472"/>
      <c r="Y85" s="472"/>
      <c r="Z85" s="472"/>
      <c r="AA85" s="472"/>
      <c r="AB85" s="472"/>
      <c r="AC85" s="472"/>
      <c r="AD85" s="473"/>
      <c r="AF85" s="50"/>
    </row>
    <row r="86" spans="1:32" ht="36" thickBot="1">
      <c r="A86" s="465" t="s">
        <v>457</v>
      </c>
      <c r="B86" s="465"/>
      <c r="C86" s="465"/>
      <c r="D86" s="465"/>
      <c r="E86" s="465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466" t="s">
        <v>111</v>
      </c>
      <c r="B87" s="467"/>
      <c r="C87" s="457" t="s">
        <v>52</v>
      </c>
      <c r="D87" s="457"/>
      <c r="E87" s="457" t="s">
        <v>53</v>
      </c>
      <c r="F87" s="457"/>
      <c r="G87" s="457"/>
      <c r="H87" s="457"/>
      <c r="I87" s="457"/>
      <c r="J87" s="457"/>
      <c r="K87" s="457" t="s">
        <v>54</v>
      </c>
      <c r="L87" s="457"/>
      <c r="M87" s="457"/>
      <c r="N87" s="457"/>
      <c r="O87" s="457"/>
      <c r="P87" s="457"/>
      <c r="Q87" s="457"/>
      <c r="R87" s="457"/>
      <c r="S87" s="457"/>
      <c r="T87" s="457" t="s">
        <v>55</v>
      </c>
      <c r="U87" s="457"/>
      <c r="V87" s="457" t="s">
        <v>56</v>
      </c>
      <c r="W87" s="457"/>
      <c r="X87" s="457"/>
      <c r="Y87" s="457" t="s">
        <v>51</v>
      </c>
      <c r="Z87" s="457"/>
      <c r="AA87" s="457"/>
      <c r="AB87" s="457"/>
      <c r="AC87" s="457"/>
      <c r="AD87" s="458"/>
      <c r="AF87" s="50"/>
    </row>
    <row r="88" spans="1:32" ht="30.75" customHeight="1">
      <c r="A88" s="459">
        <v>1</v>
      </c>
      <c r="B88" s="460"/>
      <c r="C88" s="461">
        <v>11</v>
      </c>
      <c r="D88" s="461"/>
      <c r="E88" s="461" t="s">
        <v>295</v>
      </c>
      <c r="F88" s="461"/>
      <c r="G88" s="461"/>
      <c r="H88" s="461"/>
      <c r="I88" s="461"/>
      <c r="J88" s="461"/>
      <c r="K88" s="461" t="s">
        <v>297</v>
      </c>
      <c r="L88" s="461"/>
      <c r="M88" s="461"/>
      <c r="N88" s="461"/>
      <c r="O88" s="461"/>
      <c r="P88" s="461"/>
      <c r="Q88" s="461"/>
      <c r="R88" s="461"/>
      <c r="S88" s="461"/>
      <c r="T88" s="461" t="s">
        <v>296</v>
      </c>
      <c r="U88" s="461"/>
      <c r="V88" s="462"/>
      <c r="W88" s="462"/>
      <c r="X88" s="462"/>
      <c r="Y88" s="463" t="s">
        <v>298</v>
      </c>
      <c r="Z88" s="463"/>
      <c r="AA88" s="463"/>
      <c r="AB88" s="463"/>
      <c r="AC88" s="463"/>
      <c r="AD88" s="464"/>
      <c r="AF88" s="50"/>
    </row>
    <row r="89" spans="1:32" ht="30.75" customHeight="1">
      <c r="A89" s="452">
        <v>2</v>
      </c>
      <c r="B89" s="453"/>
      <c r="C89" s="454"/>
      <c r="D89" s="454"/>
      <c r="E89" s="454"/>
      <c r="F89" s="454"/>
      <c r="G89" s="454"/>
      <c r="H89" s="454"/>
      <c r="I89" s="454"/>
      <c r="J89" s="454"/>
      <c r="K89" s="454"/>
      <c r="L89" s="454"/>
      <c r="M89" s="454"/>
      <c r="N89" s="454"/>
      <c r="O89" s="454"/>
      <c r="P89" s="454"/>
      <c r="Q89" s="454"/>
      <c r="R89" s="454"/>
      <c r="S89" s="454"/>
      <c r="T89" s="455"/>
      <c r="U89" s="455"/>
      <c r="V89" s="456"/>
      <c r="W89" s="456"/>
      <c r="X89" s="456"/>
      <c r="Y89" s="445"/>
      <c r="Z89" s="445"/>
      <c r="AA89" s="445"/>
      <c r="AB89" s="445"/>
      <c r="AC89" s="445"/>
      <c r="AD89" s="446"/>
      <c r="AF89" s="50"/>
    </row>
    <row r="90" spans="1:32" ht="30.75" customHeight="1" thickBot="1">
      <c r="A90" s="447">
        <v>3</v>
      </c>
      <c r="B90" s="448"/>
      <c r="C90" s="449"/>
      <c r="D90" s="449"/>
      <c r="E90" s="449"/>
      <c r="F90" s="449"/>
      <c r="G90" s="449"/>
      <c r="H90" s="449"/>
      <c r="I90" s="449"/>
      <c r="J90" s="449"/>
      <c r="K90" s="449"/>
      <c r="L90" s="449"/>
      <c r="M90" s="449"/>
      <c r="N90" s="449"/>
      <c r="O90" s="449"/>
      <c r="P90" s="449"/>
      <c r="Q90" s="449"/>
      <c r="R90" s="449"/>
      <c r="S90" s="449"/>
      <c r="T90" s="449"/>
      <c r="U90" s="449"/>
      <c r="V90" s="449"/>
      <c r="W90" s="449"/>
      <c r="X90" s="449"/>
      <c r="Y90" s="450"/>
      <c r="Z90" s="450"/>
      <c r="AA90" s="450"/>
      <c r="AB90" s="450"/>
      <c r="AC90" s="450"/>
      <c r="AD90" s="451"/>
      <c r="AF90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0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584-58AE-4D96-A6C5-43595A1949C1}">
  <sheetPr codeName="Sheet17"/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458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289" t="s">
        <v>17</v>
      </c>
      <c r="L5" s="289" t="s">
        <v>18</v>
      </c>
      <c r="M5" s="289" t="s">
        <v>19</v>
      </c>
      <c r="N5" s="28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120</v>
      </c>
      <c r="D6" s="52" t="s">
        <v>130</v>
      </c>
      <c r="E6" s="53" t="s">
        <v>425</v>
      </c>
      <c r="F6" s="30" t="s">
        <v>128</v>
      </c>
      <c r="G6" s="12">
        <v>1</v>
      </c>
      <c r="H6" s="13">
        <v>24</v>
      </c>
      <c r="I6" s="31">
        <v>5000</v>
      </c>
      <c r="J6" s="5">
        <v>1500</v>
      </c>
      <c r="K6" s="15">
        <f>L6+4718+3528</f>
        <v>9746</v>
      </c>
      <c r="L6" s="15">
        <v>1500</v>
      </c>
      <c r="M6" s="15">
        <f t="shared" ref="M6:M22" si="0">L6-N6</f>
        <v>1500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7</v>
      </c>
      <c r="Q6" s="40">
        <f t="shared" ref="Q6:Q22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0.29166666666666669</v>
      </c>
      <c r="AD6" s="10">
        <f t="shared" ref="AD6:AD22" si="6">AC6*AB6*(1-O6)</f>
        <v>0.29166666666666669</v>
      </c>
      <c r="AE6" s="36">
        <f t="shared" ref="AE6:AE22" si="7">$AD$23</f>
        <v>0.41176470588235298</v>
      </c>
      <c r="AF6" s="84">
        <f t="shared" ref="AF6:AF22" si="8">A6</f>
        <v>1</v>
      </c>
    </row>
    <row r="7" spans="1:32" ht="27" customHeight="1">
      <c r="A7" s="113">
        <v>1</v>
      </c>
      <c r="B7" s="11" t="s">
        <v>57</v>
      </c>
      <c r="C7" s="34" t="s">
        <v>112</v>
      </c>
      <c r="D7" s="52" t="s">
        <v>407</v>
      </c>
      <c r="E7" s="53" t="s">
        <v>421</v>
      </c>
      <c r="F7" s="12" t="s">
        <v>128</v>
      </c>
      <c r="G7" s="12">
        <v>4</v>
      </c>
      <c r="H7" s="13">
        <v>24</v>
      </c>
      <c r="I7" s="31">
        <v>3000</v>
      </c>
      <c r="J7" s="14">
        <v>3238</v>
      </c>
      <c r="K7" s="15">
        <f>L7</f>
        <v>3238</v>
      </c>
      <c r="L7" s="15">
        <f>1906+1332</f>
        <v>3238</v>
      </c>
      <c r="M7" s="15">
        <f t="shared" si="0"/>
        <v>3238</v>
      </c>
      <c r="N7" s="15">
        <v>0</v>
      </c>
      <c r="O7" s="58">
        <f t="shared" si="1"/>
        <v>0</v>
      </c>
      <c r="P7" s="39">
        <f t="shared" si="2"/>
        <v>15</v>
      </c>
      <c r="Q7" s="40">
        <f t="shared" si="3"/>
        <v>9</v>
      </c>
      <c r="R7" s="7"/>
      <c r="S7" s="6"/>
      <c r="T7" s="16"/>
      <c r="U7" s="16">
        <v>9</v>
      </c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0.625</v>
      </c>
      <c r="AD7" s="10">
        <f t="shared" si="6"/>
        <v>0.625</v>
      </c>
      <c r="AE7" s="36">
        <f t="shared" si="7"/>
        <v>0.41176470588235298</v>
      </c>
      <c r="AF7" s="84">
        <f t="shared" si="8"/>
        <v>1</v>
      </c>
    </row>
    <row r="8" spans="1:32" ht="27" customHeight="1">
      <c r="A8" s="113">
        <v>2</v>
      </c>
      <c r="B8" s="11" t="s">
        <v>57</v>
      </c>
      <c r="C8" s="34" t="s">
        <v>112</v>
      </c>
      <c r="D8" s="52" t="s">
        <v>130</v>
      </c>
      <c r="E8" s="53" t="s">
        <v>161</v>
      </c>
      <c r="F8" s="12">
        <v>8301</v>
      </c>
      <c r="G8" s="12">
        <v>1</v>
      </c>
      <c r="H8" s="13">
        <v>24</v>
      </c>
      <c r="I8" s="31">
        <v>73000</v>
      </c>
      <c r="J8" s="14">
        <v>2392</v>
      </c>
      <c r="K8" s="15">
        <f>L8+2422+7588+11556+11672+6148+11316+11020+8920+6772</f>
        <v>79806</v>
      </c>
      <c r="L8" s="15">
        <f>1196*2</f>
        <v>2392</v>
      </c>
      <c r="M8" s="15">
        <f t="shared" si="0"/>
        <v>2392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0.41176470588235298</v>
      </c>
      <c r="AF8" s="84">
        <f t="shared" si="8"/>
        <v>2</v>
      </c>
    </row>
    <row r="9" spans="1:32" ht="27" customHeight="1">
      <c r="A9" s="95">
        <v>3</v>
      </c>
      <c r="B9" s="11" t="s">
        <v>57</v>
      </c>
      <c r="C9" s="11" t="s">
        <v>121</v>
      </c>
      <c r="D9" s="52" t="s">
        <v>141</v>
      </c>
      <c r="E9" s="53" t="s">
        <v>202</v>
      </c>
      <c r="F9" s="30" t="s">
        <v>124</v>
      </c>
      <c r="G9" s="33">
        <v>4</v>
      </c>
      <c r="H9" s="35">
        <v>24</v>
      </c>
      <c r="I9" s="7">
        <v>720000</v>
      </c>
      <c r="J9" s="14">
        <v>24328</v>
      </c>
      <c r="K9" s="15">
        <f>L9+8404+12360+9142+12426+5790+11544+12480+12502+12376+12380+22896+24720</f>
        <v>181348</v>
      </c>
      <c r="L9" s="15">
        <f>2956*4+3126*4</f>
        <v>24328</v>
      </c>
      <c r="M9" s="15">
        <f t="shared" si="0"/>
        <v>24328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0.41176470588235298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11" t="s">
        <v>120</v>
      </c>
      <c r="D10" s="52" t="s">
        <v>141</v>
      </c>
      <c r="E10" s="53" t="s">
        <v>452</v>
      </c>
      <c r="F10" s="30" t="s">
        <v>225</v>
      </c>
      <c r="G10" s="33">
        <v>4</v>
      </c>
      <c r="H10" s="35">
        <v>24</v>
      </c>
      <c r="I10" s="7">
        <v>1000</v>
      </c>
      <c r="J10" s="14">
        <v>1140</v>
      </c>
      <c r="K10" s="15">
        <f>L10</f>
        <v>1140</v>
      </c>
      <c r="L10" s="15">
        <f>285*4</f>
        <v>1140</v>
      </c>
      <c r="M10" s="15">
        <f t="shared" si="0"/>
        <v>1140</v>
      </c>
      <c r="N10" s="15">
        <v>0</v>
      </c>
      <c r="O10" s="58">
        <f t="shared" si="1"/>
        <v>0</v>
      </c>
      <c r="P10" s="39">
        <f t="shared" si="2"/>
        <v>3</v>
      </c>
      <c r="Q10" s="40">
        <f t="shared" si="3"/>
        <v>21</v>
      </c>
      <c r="R10" s="7"/>
      <c r="S10" s="6"/>
      <c r="T10" s="16"/>
      <c r="U10" s="16"/>
      <c r="V10" s="17"/>
      <c r="W10" s="5">
        <v>21</v>
      </c>
      <c r="X10" s="16"/>
      <c r="Y10" s="16"/>
      <c r="Z10" s="16"/>
      <c r="AA10" s="18"/>
      <c r="AB10" s="8">
        <f t="shared" si="4"/>
        <v>1</v>
      </c>
      <c r="AC10" s="9">
        <f t="shared" si="5"/>
        <v>0.125</v>
      </c>
      <c r="AD10" s="10">
        <f t="shared" si="6"/>
        <v>0.125</v>
      </c>
      <c r="AE10" s="36">
        <f t="shared" si="7"/>
        <v>0.41176470588235298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34" t="s">
        <v>121</v>
      </c>
      <c r="D11" s="52" t="s">
        <v>150</v>
      </c>
      <c r="E11" s="53" t="s">
        <v>190</v>
      </c>
      <c r="F11" s="30" t="s">
        <v>124</v>
      </c>
      <c r="G11" s="33">
        <v>2</v>
      </c>
      <c r="H11" s="35">
        <v>24</v>
      </c>
      <c r="I11" s="7">
        <v>720000</v>
      </c>
      <c r="J11" s="5">
        <v>11760</v>
      </c>
      <c r="K11" s="15">
        <f>L11+5588+11272+12940+13030+13250+11902+13058+13134+13002+13260+12430+11760</f>
        <v>144626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>AC11*AB11*(1-O11)</f>
        <v>0</v>
      </c>
      <c r="AE11" s="36">
        <f t="shared" si="7"/>
        <v>0.41176470588235298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120</v>
      </c>
      <c r="D12" s="52" t="s">
        <v>115</v>
      </c>
      <c r="E12" s="53" t="s">
        <v>443</v>
      </c>
      <c r="F12" s="30" t="s">
        <v>444</v>
      </c>
      <c r="G12" s="33">
        <v>1</v>
      </c>
      <c r="H12" s="35">
        <v>24</v>
      </c>
      <c r="I12" s="7">
        <v>3000</v>
      </c>
      <c r="J12" s="14">
        <v>2306</v>
      </c>
      <c r="K12" s="15">
        <f>L12+1035</f>
        <v>3341</v>
      </c>
      <c r="L12" s="15">
        <f>2306</f>
        <v>2306</v>
      </c>
      <c r="M12" s="15">
        <f t="shared" si="0"/>
        <v>2306</v>
      </c>
      <c r="N12" s="15">
        <v>0</v>
      </c>
      <c r="O12" s="58">
        <f t="shared" si="1"/>
        <v>0</v>
      </c>
      <c r="P12" s="39">
        <f t="shared" si="2"/>
        <v>14</v>
      </c>
      <c r="Q12" s="40">
        <f t="shared" si="3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0.58333333333333337</v>
      </c>
      <c r="AD12" s="10">
        <f t="shared" ref="AD12:AD15" si="9">AC12*AB12*(1-O12)</f>
        <v>0.58333333333333337</v>
      </c>
      <c r="AE12" s="36">
        <f t="shared" si="7"/>
        <v>0.41176470588235298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11" t="s">
        <v>112</v>
      </c>
      <c r="D13" s="52" t="s">
        <v>133</v>
      </c>
      <c r="E13" s="53" t="s">
        <v>151</v>
      </c>
      <c r="F13" s="30" t="s">
        <v>131</v>
      </c>
      <c r="G13" s="33">
        <v>2</v>
      </c>
      <c r="H13" s="35">
        <v>24</v>
      </c>
      <c r="I13" s="7">
        <v>73000</v>
      </c>
      <c r="J13" s="14">
        <v>10360</v>
      </c>
      <c r="K13" s="15">
        <f>L13+4200+2432+5144+6184+11076+3614+6628+6254+3106+5170+3731</f>
        <v>67899</v>
      </c>
      <c r="L13" s="15">
        <f>2486*2+2694*2</f>
        <v>10360</v>
      </c>
      <c r="M13" s="15">
        <f t="shared" si="0"/>
        <v>10360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0.41176470588235298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160</v>
      </c>
      <c r="F14" s="30" t="s">
        <v>124</v>
      </c>
      <c r="G14" s="33">
        <v>2</v>
      </c>
      <c r="H14" s="35">
        <v>24</v>
      </c>
      <c r="I14" s="7">
        <v>120000</v>
      </c>
      <c r="J14" s="5">
        <v>3412</v>
      </c>
      <c r="K14" s="15">
        <f>L14+10230+8758+7458+4298+5694+7524+3000+9774+6592+11326+12144+11050+10802+10910+9796</f>
        <v>132768</v>
      </c>
      <c r="L14" s="15">
        <f>502*2+1204*2</f>
        <v>3412</v>
      </c>
      <c r="M14" s="15">
        <f t="shared" si="0"/>
        <v>3412</v>
      </c>
      <c r="N14" s="15">
        <v>0</v>
      </c>
      <c r="O14" s="58">
        <f t="shared" si="1"/>
        <v>0</v>
      </c>
      <c r="P14" s="39">
        <f t="shared" si="2"/>
        <v>8</v>
      </c>
      <c r="Q14" s="40">
        <f t="shared" si="3"/>
        <v>16</v>
      </c>
      <c r="R14" s="7"/>
      <c r="S14" s="6">
        <v>16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0.33333333333333331</v>
      </c>
      <c r="AD14" s="10">
        <f>AC14*AB14*(1-O14)</f>
        <v>0.33333333333333331</v>
      </c>
      <c r="AE14" s="36">
        <f t="shared" si="7"/>
        <v>0.41176470588235298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236</v>
      </c>
      <c r="F15" s="30" t="s">
        <v>249</v>
      </c>
      <c r="G15" s="33">
        <v>1</v>
      </c>
      <c r="H15" s="35">
        <v>24</v>
      </c>
      <c r="I15" s="7">
        <v>300</v>
      </c>
      <c r="J15" s="5">
        <v>329</v>
      </c>
      <c r="K15" s="15">
        <f>L15+242+329</f>
        <v>571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0.41176470588235298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429</v>
      </c>
      <c r="D16" s="52" t="s">
        <v>117</v>
      </c>
      <c r="E16" s="53" t="s">
        <v>441</v>
      </c>
      <c r="F16" s="12" t="s">
        <v>445</v>
      </c>
      <c r="G16" s="12">
        <v>2</v>
      </c>
      <c r="H16" s="13">
        <v>24</v>
      </c>
      <c r="I16" s="31">
        <v>10000</v>
      </c>
      <c r="J16" s="14">
        <v>6418</v>
      </c>
      <c r="K16" s="15">
        <f>L16+1868</f>
        <v>8286</v>
      </c>
      <c r="L16" s="15">
        <f>217*2+2992*2</f>
        <v>6418</v>
      </c>
      <c r="M16" s="15">
        <f t="shared" si="0"/>
        <v>6418</v>
      </c>
      <c r="N16" s="15">
        <v>0</v>
      </c>
      <c r="O16" s="58">
        <f t="shared" si="1"/>
        <v>0</v>
      </c>
      <c r="P16" s="39">
        <f t="shared" si="2"/>
        <v>13</v>
      </c>
      <c r="Q16" s="40">
        <f t="shared" si="3"/>
        <v>11</v>
      </c>
      <c r="R16" s="7"/>
      <c r="S16" s="6">
        <v>11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0.54166666666666663</v>
      </c>
      <c r="AD16" s="10">
        <f t="shared" si="6"/>
        <v>0.54166666666666663</v>
      </c>
      <c r="AE16" s="36">
        <f t="shared" si="7"/>
        <v>0.41176470588235298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215</v>
      </c>
      <c r="E17" s="53" t="s">
        <v>216</v>
      </c>
      <c r="F17" s="30" t="s">
        <v>225</v>
      </c>
      <c r="G17" s="12">
        <v>1</v>
      </c>
      <c r="H17" s="13">
        <v>24</v>
      </c>
      <c r="I17" s="7">
        <v>500</v>
      </c>
      <c r="J17" s="14">
        <v>495</v>
      </c>
      <c r="K17" s="15">
        <f>L17+495</f>
        <v>495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0.41176470588235298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130</v>
      </c>
      <c r="E18" s="53" t="s">
        <v>271</v>
      </c>
      <c r="F18" s="30" t="s">
        <v>187</v>
      </c>
      <c r="G18" s="12">
        <v>1</v>
      </c>
      <c r="H18" s="13">
        <v>24</v>
      </c>
      <c r="I18" s="7">
        <v>38000</v>
      </c>
      <c r="J18" s="14">
        <v>6218</v>
      </c>
      <c r="K18" s="15">
        <f>L18+3089+6204</f>
        <v>15511</v>
      </c>
      <c r="L18" s="15">
        <f>2984+3234</f>
        <v>6218</v>
      </c>
      <c r="M18" s="15">
        <f t="shared" si="0"/>
        <v>6218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0.41176470588235298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 t="s">
        <v>115</v>
      </c>
      <c r="E19" s="53" t="s">
        <v>446</v>
      </c>
      <c r="F19" s="30" t="s">
        <v>132</v>
      </c>
      <c r="G19" s="33">
        <v>1</v>
      </c>
      <c r="H19" s="35">
        <v>24</v>
      </c>
      <c r="I19" s="7">
        <v>1500</v>
      </c>
      <c r="J19" s="14">
        <v>2050</v>
      </c>
      <c r="K19" s="15">
        <f>L19+2050</f>
        <v>2050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0.41176470588235298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120</v>
      </c>
      <c r="D20" s="52" t="s">
        <v>115</v>
      </c>
      <c r="E20" s="53" t="s">
        <v>459</v>
      </c>
      <c r="F20" s="30" t="s">
        <v>444</v>
      </c>
      <c r="G20" s="33">
        <v>4</v>
      </c>
      <c r="H20" s="35">
        <v>24</v>
      </c>
      <c r="I20" s="7">
        <v>1000</v>
      </c>
      <c r="J20" s="14">
        <v>3040</v>
      </c>
      <c r="K20" s="15">
        <f>L20</f>
        <v>0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0.41176470588235298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200</v>
      </c>
      <c r="F21" s="30" t="s">
        <v>124</v>
      </c>
      <c r="G21" s="12">
        <v>2</v>
      </c>
      <c r="H21" s="13">
        <v>28</v>
      </c>
      <c r="I21" s="31">
        <v>400000</v>
      </c>
      <c r="J21" s="5">
        <v>6546</v>
      </c>
      <c r="K21" s="15">
        <f>L21+6852+6648+9128+6400+11510+3498+11566+8822+12584+12228+12656+7910</f>
        <v>116348</v>
      </c>
      <c r="L21" s="15">
        <f>2965*2+308*2</f>
        <v>6546</v>
      </c>
      <c r="M21" s="15">
        <f t="shared" si="0"/>
        <v>6546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6"/>
        <v>0.66666666666666663</v>
      </c>
      <c r="AE21" s="36">
        <f t="shared" si="7"/>
        <v>0.41176470588235298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134</v>
      </c>
      <c r="F22" s="12" t="s">
        <v>114</v>
      </c>
      <c r="G22" s="12">
        <v>4</v>
      </c>
      <c r="H22" s="35">
        <v>20</v>
      </c>
      <c r="I22" s="7">
        <v>500000</v>
      </c>
      <c r="J22" s="14">
        <v>37988</v>
      </c>
      <c r="K22" s="15">
        <f>L22+31044</f>
        <v>69032</v>
      </c>
      <c r="L22" s="15">
        <f>8037*4+1460*4</f>
        <v>37988</v>
      </c>
      <c r="M22" s="15">
        <f t="shared" si="0"/>
        <v>37988</v>
      </c>
      <c r="N22" s="15">
        <v>0</v>
      </c>
      <c r="O22" s="58">
        <f t="shared" si="1"/>
        <v>0</v>
      </c>
      <c r="P22" s="39">
        <f t="shared" si="2"/>
        <v>15</v>
      </c>
      <c r="Q22" s="40">
        <f t="shared" si="3"/>
        <v>9</v>
      </c>
      <c r="R22" s="7"/>
      <c r="S22" s="6"/>
      <c r="T22" s="16"/>
      <c r="U22" s="16"/>
      <c r="V22" s="17">
        <v>9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0.625</v>
      </c>
      <c r="AD22" s="10">
        <f t="shared" si="6"/>
        <v>0.625</v>
      </c>
      <c r="AE22" s="36">
        <f t="shared" si="7"/>
        <v>0.41176470588235298</v>
      </c>
      <c r="AF22" s="84">
        <f t="shared" si="8"/>
        <v>16</v>
      </c>
    </row>
    <row r="23" spans="1:32" ht="31.5" customHeight="1" thickBot="1">
      <c r="A23" s="529" t="s">
        <v>34</v>
      </c>
      <c r="B23" s="530"/>
      <c r="C23" s="530"/>
      <c r="D23" s="530"/>
      <c r="E23" s="530"/>
      <c r="F23" s="530"/>
      <c r="G23" s="530"/>
      <c r="H23" s="531"/>
      <c r="I23" s="22">
        <f t="shared" ref="I23:N23" si="10">SUM(I6:I22)</f>
        <v>2669300</v>
      </c>
      <c r="J23" s="19">
        <f t="shared" si="10"/>
        <v>123520</v>
      </c>
      <c r="K23" s="20">
        <f t="shared" si="10"/>
        <v>836205</v>
      </c>
      <c r="L23" s="21">
        <f t="shared" si="10"/>
        <v>105846</v>
      </c>
      <c r="M23" s="20">
        <f t="shared" si="10"/>
        <v>105846</v>
      </c>
      <c r="N23" s="21">
        <f t="shared" si="10"/>
        <v>0</v>
      </c>
      <c r="O23" s="41">
        <f t="shared" si="1"/>
        <v>0</v>
      </c>
      <c r="P23" s="42">
        <f t="shared" ref="P23:AA23" si="11">SUM(P6:P22)</f>
        <v>168</v>
      </c>
      <c r="Q23" s="43">
        <f t="shared" si="11"/>
        <v>240</v>
      </c>
      <c r="R23" s="23">
        <f t="shared" si="11"/>
        <v>24</v>
      </c>
      <c r="S23" s="24">
        <f t="shared" si="11"/>
        <v>93</v>
      </c>
      <c r="T23" s="24">
        <f t="shared" si="11"/>
        <v>0</v>
      </c>
      <c r="U23" s="24">
        <f t="shared" si="11"/>
        <v>9</v>
      </c>
      <c r="V23" s="25">
        <f t="shared" si="11"/>
        <v>9</v>
      </c>
      <c r="W23" s="26">
        <f t="shared" si="11"/>
        <v>81</v>
      </c>
      <c r="X23" s="27">
        <f t="shared" si="11"/>
        <v>0</v>
      </c>
      <c r="Y23" s="27">
        <f t="shared" si="11"/>
        <v>0</v>
      </c>
      <c r="Z23" s="27">
        <f t="shared" si="11"/>
        <v>0</v>
      </c>
      <c r="AA23" s="27">
        <f t="shared" si="11"/>
        <v>24</v>
      </c>
      <c r="AB23" s="28">
        <f>AVERAGE(AB6:AB22)</f>
        <v>0.70588235294117652</v>
      </c>
      <c r="AC23" s="4">
        <f>AVERAGE(AC6:AC22)</f>
        <v>0.41176470588235298</v>
      </c>
      <c r="AD23" s="4">
        <f>AVERAGE(AD6:AD22)</f>
        <v>0.41176470588235298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32" t="s">
        <v>45</v>
      </c>
      <c r="B50" s="532"/>
      <c r="C50" s="532"/>
      <c r="D50" s="532"/>
      <c r="E50" s="53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33" t="s">
        <v>460</v>
      </c>
      <c r="B51" s="534"/>
      <c r="C51" s="534"/>
      <c r="D51" s="534"/>
      <c r="E51" s="534"/>
      <c r="F51" s="534"/>
      <c r="G51" s="534"/>
      <c r="H51" s="534"/>
      <c r="I51" s="534"/>
      <c r="J51" s="534"/>
      <c r="K51" s="534"/>
      <c r="L51" s="534"/>
      <c r="M51" s="535"/>
      <c r="N51" s="536" t="s">
        <v>463</v>
      </c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8"/>
    </row>
    <row r="52" spans="1:32" ht="27" customHeight="1">
      <c r="A52" s="539" t="s">
        <v>2</v>
      </c>
      <c r="B52" s="540"/>
      <c r="C52" s="290" t="s">
        <v>46</v>
      </c>
      <c r="D52" s="290" t="s">
        <v>47</v>
      </c>
      <c r="E52" s="290" t="s">
        <v>107</v>
      </c>
      <c r="F52" s="541" t="s">
        <v>106</v>
      </c>
      <c r="G52" s="542"/>
      <c r="H52" s="542"/>
      <c r="I52" s="542"/>
      <c r="J52" s="542"/>
      <c r="K52" s="542"/>
      <c r="L52" s="542"/>
      <c r="M52" s="543"/>
      <c r="N52" s="67" t="s">
        <v>110</v>
      </c>
      <c r="O52" s="290" t="s">
        <v>46</v>
      </c>
      <c r="P52" s="541" t="s">
        <v>47</v>
      </c>
      <c r="Q52" s="544"/>
      <c r="R52" s="541" t="s">
        <v>38</v>
      </c>
      <c r="S52" s="542"/>
      <c r="T52" s="542"/>
      <c r="U52" s="544"/>
      <c r="V52" s="541" t="s">
        <v>48</v>
      </c>
      <c r="W52" s="542"/>
      <c r="X52" s="542"/>
      <c r="Y52" s="542"/>
      <c r="Z52" s="542"/>
      <c r="AA52" s="542"/>
      <c r="AB52" s="542"/>
      <c r="AC52" s="542"/>
      <c r="AD52" s="543"/>
    </row>
    <row r="53" spans="1:32" ht="27" customHeight="1">
      <c r="A53" s="510" t="s">
        <v>121</v>
      </c>
      <c r="B53" s="511"/>
      <c r="C53" s="292" t="s">
        <v>144</v>
      </c>
      <c r="D53" s="292" t="s">
        <v>115</v>
      </c>
      <c r="E53" s="292" t="s">
        <v>160</v>
      </c>
      <c r="F53" s="512" t="s">
        <v>461</v>
      </c>
      <c r="G53" s="513"/>
      <c r="H53" s="513"/>
      <c r="I53" s="513"/>
      <c r="J53" s="513"/>
      <c r="K53" s="513"/>
      <c r="L53" s="513"/>
      <c r="M53" s="514"/>
      <c r="N53" s="291" t="s">
        <v>120</v>
      </c>
      <c r="O53" s="297" t="s">
        <v>201</v>
      </c>
      <c r="P53" s="524" t="s">
        <v>115</v>
      </c>
      <c r="Q53" s="525"/>
      <c r="R53" s="524" t="s">
        <v>459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112</v>
      </c>
      <c r="B54" s="511"/>
      <c r="C54" s="292" t="s">
        <v>239</v>
      </c>
      <c r="D54" s="292" t="s">
        <v>407</v>
      </c>
      <c r="E54" s="292" t="s">
        <v>421</v>
      </c>
      <c r="F54" s="512" t="s">
        <v>320</v>
      </c>
      <c r="G54" s="513"/>
      <c r="H54" s="513"/>
      <c r="I54" s="513"/>
      <c r="J54" s="513"/>
      <c r="K54" s="513"/>
      <c r="L54" s="513"/>
      <c r="M54" s="514"/>
      <c r="N54" s="291" t="s">
        <v>121</v>
      </c>
      <c r="O54" s="297" t="s">
        <v>284</v>
      </c>
      <c r="P54" s="524"/>
      <c r="Q54" s="525"/>
      <c r="R54" s="524" t="s">
        <v>453</v>
      </c>
      <c r="S54" s="526"/>
      <c r="T54" s="526"/>
      <c r="U54" s="525"/>
      <c r="V54" s="496" t="s">
        <v>118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72" t="s">
        <v>120</v>
      </c>
      <c r="B55" s="525"/>
      <c r="C55" s="292" t="s">
        <v>284</v>
      </c>
      <c r="D55" s="292" t="s">
        <v>141</v>
      </c>
      <c r="E55" s="292" t="s">
        <v>452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291" t="s">
        <v>121</v>
      </c>
      <c r="O55" s="297" t="s">
        <v>144</v>
      </c>
      <c r="P55" s="524" t="s">
        <v>115</v>
      </c>
      <c r="Q55" s="525"/>
      <c r="R55" s="524" t="s">
        <v>160</v>
      </c>
      <c r="S55" s="526"/>
      <c r="T55" s="526"/>
      <c r="U55" s="525"/>
      <c r="V55" s="496" t="s">
        <v>180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67" t="s">
        <v>429</v>
      </c>
      <c r="B56" s="568"/>
      <c r="C56" s="301" t="s">
        <v>174</v>
      </c>
      <c r="D56" s="301"/>
      <c r="E56" s="292" t="s">
        <v>449</v>
      </c>
      <c r="F56" s="512" t="s">
        <v>180</v>
      </c>
      <c r="G56" s="513"/>
      <c r="H56" s="513"/>
      <c r="I56" s="513"/>
      <c r="J56" s="513"/>
      <c r="K56" s="513"/>
      <c r="L56" s="513"/>
      <c r="M56" s="514"/>
      <c r="N56" s="291" t="s">
        <v>123</v>
      </c>
      <c r="O56" s="297" t="s">
        <v>169</v>
      </c>
      <c r="P56" s="524"/>
      <c r="Q56" s="525"/>
      <c r="R56" s="524" t="s">
        <v>466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120</v>
      </c>
      <c r="B57" s="511"/>
      <c r="C57" s="292" t="s">
        <v>169</v>
      </c>
      <c r="D57" s="292" t="s">
        <v>115</v>
      </c>
      <c r="E57" s="292" t="s">
        <v>443</v>
      </c>
      <c r="F57" s="512" t="s">
        <v>462</v>
      </c>
      <c r="G57" s="513"/>
      <c r="H57" s="513"/>
      <c r="I57" s="513"/>
      <c r="J57" s="513"/>
      <c r="K57" s="513"/>
      <c r="L57" s="513"/>
      <c r="M57" s="514"/>
      <c r="N57" s="291" t="s">
        <v>123</v>
      </c>
      <c r="O57" s="297" t="s">
        <v>197</v>
      </c>
      <c r="P57" s="524"/>
      <c r="Q57" s="525"/>
      <c r="R57" s="524" t="s">
        <v>465</v>
      </c>
      <c r="S57" s="526"/>
      <c r="T57" s="526"/>
      <c r="U57" s="525"/>
      <c r="V57" s="496" t="s">
        <v>118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120</v>
      </c>
      <c r="B58" s="511"/>
      <c r="C58" s="292" t="s">
        <v>201</v>
      </c>
      <c r="D58" s="292" t="s">
        <v>115</v>
      </c>
      <c r="E58" s="292" t="s">
        <v>459</v>
      </c>
      <c r="F58" s="512" t="s">
        <v>464</v>
      </c>
      <c r="G58" s="513"/>
      <c r="H58" s="513"/>
      <c r="I58" s="513"/>
      <c r="J58" s="513"/>
      <c r="K58" s="513"/>
      <c r="L58" s="513"/>
      <c r="M58" s="514"/>
      <c r="N58" s="291"/>
      <c r="O58" s="297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301"/>
      <c r="D59" s="301"/>
      <c r="E59" s="292"/>
      <c r="F59" s="512"/>
      <c r="G59" s="513"/>
      <c r="H59" s="513"/>
      <c r="I59" s="513"/>
      <c r="J59" s="513"/>
      <c r="K59" s="513"/>
      <c r="L59" s="513"/>
      <c r="M59" s="514"/>
      <c r="N59" s="291"/>
      <c r="O59" s="297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/>
      <c r="B60" s="568"/>
      <c r="C60" s="301"/>
      <c r="D60" s="301"/>
      <c r="E60" s="292"/>
      <c r="F60" s="512"/>
      <c r="G60" s="513"/>
      <c r="H60" s="513"/>
      <c r="I60" s="513"/>
      <c r="J60" s="513"/>
      <c r="K60" s="513"/>
      <c r="L60" s="513"/>
      <c r="M60" s="514"/>
      <c r="N60" s="291"/>
      <c r="O60" s="297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292"/>
      <c r="D61" s="292"/>
      <c r="E61" s="292"/>
      <c r="F61" s="512"/>
      <c r="G61" s="513"/>
      <c r="H61" s="513"/>
      <c r="I61" s="513"/>
      <c r="J61" s="513"/>
      <c r="K61" s="513"/>
      <c r="L61" s="513"/>
      <c r="M61" s="514"/>
      <c r="N61" s="291"/>
      <c r="O61" s="297"/>
      <c r="P61" s="511"/>
      <c r="Q61" s="511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  <c r="AF61" s="84">
        <f>8*3000</f>
        <v>24000</v>
      </c>
    </row>
    <row r="62" spans="1:32" ht="27" customHeight="1" thickBot="1">
      <c r="A62" s="516"/>
      <c r="B62" s="517"/>
      <c r="C62" s="293"/>
      <c r="D62" s="294"/>
      <c r="E62" s="294"/>
      <c r="F62" s="518"/>
      <c r="G62" s="519"/>
      <c r="H62" s="519"/>
      <c r="I62" s="519"/>
      <c r="J62" s="519"/>
      <c r="K62" s="519"/>
      <c r="L62" s="519"/>
      <c r="M62" s="520"/>
      <c r="N62" s="112"/>
      <c r="O62" s="103"/>
      <c r="P62" s="521"/>
      <c r="Q62" s="521"/>
      <c r="R62" s="521"/>
      <c r="S62" s="521"/>
      <c r="T62" s="521"/>
      <c r="U62" s="521"/>
      <c r="V62" s="522"/>
      <c r="W62" s="522"/>
      <c r="X62" s="522"/>
      <c r="Y62" s="522"/>
      <c r="Z62" s="522"/>
      <c r="AA62" s="522"/>
      <c r="AB62" s="522"/>
      <c r="AC62" s="522"/>
      <c r="AD62" s="523"/>
      <c r="AF62" s="84">
        <f>16*3000</f>
        <v>48000</v>
      </c>
    </row>
    <row r="63" spans="1:32" ht="27.75" thickBot="1">
      <c r="A63" s="508" t="s">
        <v>467</v>
      </c>
      <c r="B63" s="508"/>
      <c r="C63" s="508"/>
      <c r="D63" s="508"/>
      <c r="E63" s="50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09" t="s">
        <v>111</v>
      </c>
      <c r="B64" s="503"/>
      <c r="C64" s="295" t="s">
        <v>2</v>
      </c>
      <c r="D64" s="295" t="s">
        <v>37</v>
      </c>
      <c r="E64" s="295" t="s">
        <v>3</v>
      </c>
      <c r="F64" s="503" t="s">
        <v>109</v>
      </c>
      <c r="G64" s="503"/>
      <c r="H64" s="503"/>
      <c r="I64" s="503"/>
      <c r="J64" s="503"/>
      <c r="K64" s="503" t="s">
        <v>39</v>
      </c>
      <c r="L64" s="503"/>
      <c r="M64" s="295" t="s">
        <v>40</v>
      </c>
      <c r="N64" s="503" t="s">
        <v>41</v>
      </c>
      <c r="O64" s="503"/>
      <c r="P64" s="500" t="s">
        <v>42</v>
      </c>
      <c r="Q64" s="502"/>
      <c r="R64" s="500" t="s">
        <v>43</v>
      </c>
      <c r="S64" s="501"/>
      <c r="T64" s="501"/>
      <c r="U64" s="501"/>
      <c r="V64" s="501"/>
      <c r="W64" s="501"/>
      <c r="X64" s="501"/>
      <c r="Y64" s="501"/>
      <c r="Z64" s="501"/>
      <c r="AA64" s="502"/>
      <c r="AB64" s="503" t="s">
        <v>44</v>
      </c>
      <c r="AC64" s="503"/>
      <c r="AD64" s="504"/>
      <c r="AF64" s="84">
        <f>SUM(AF61:AF63)</f>
        <v>96000</v>
      </c>
    </row>
    <row r="65" spans="1:32" ht="25.5" customHeight="1">
      <c r="A65" s="491">
        <v>1</v>
      </c>
      <c r="B65" s="492"/>
      <c r="C65" s="105" t="s">
        <v>120</v>
      </c>
      <c r="D65" s="299"/>
      <c r="E65" s="296" t="s">
        <v>130</v>
      </c>
      <c r="F65" s="497" t="s">
        <v>468</v>
      </c>
      <c r="G65" s="498"/>
      <c r="H65" s="498"/>
      <c r="I65" s="498"/>
      <c r="J65" s="499"/>
      <c r="K65" s="485">
        <v>8301</v>
      </c>
      <c r="L65" s="485"/>
      <c r="M65" s="51" t="s">
        <v>272</v>
      </c>
      <c r="N65" s="494" t="s">
        <v>197</v>
      </c>
      <c r="O65" s="494"/>
      <c r="P65" s="495">
        <v>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505"/>
      <c r="AC65" s="506"/>
      <c r="AD65" s="507"/>
      <c r="AF65" s="50"/>
    </row>
    <row r="66" spans="1:32" ht="25.5" customHeight="1">
      <c r="A66" s="491">
        <v>2</v>
      </c>
      <c r="B66" s="492"/>
      <c r="C66" s="105" t="s">
        <v>120</v>
      </c>
      <c r="D66" s="299"/>
      <c r="E66" s="296" t="s">
        <v>130</v>
      </c>
      <c r="F66" s="497" t="s">
        <v>469</v>
      </c>
      <c r="G66" s="498"/>
      <c r="H66" s="498"/>
      <c r="I66" s="498"/>
      <c r="J66" s="499"/>
      <c r="K66" s="485">
        <v>8301</v>
      </c>
      <c r="L66" s="485"/>
      <c r="M66" s="51" t="s">
        <v>272</v>
      </c>
      <c r="N66" s="494" t="s">
        <v>197</v>
      </c>
      <c r="O66" s="494"/>
      <c r="P66" s="495">
        <v>50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3</v>
      </c>
      <c r="B67" s="492"/>
      <c r="C67" s="105" t="s">
        <v>120</v>
      </c>
      <c r="D67" s="299"/>
      <c r="E67" s="296" t="s">
        <v>130</v>
      </c>
      <c r="F67" s="497" t="s">
        <v>470</v>
      </c>
      <c r="G67" s="498"/>
      <c r="H67" s="498"/>
      <c r="I67" s="498"/>
      <c r="J67" s="499"/>
      <c r="K67" s="485" t="s">
        <v>128</v>
      </c>
      <c r="L67" s="485"/>
      <c r="M67" s="51" t="s">
        <v>188</v>
      </c>
      <c r="N67" s="494" t="s">
        <v>197</v>
      </c>
      <c r="O67" s="494"/>
      <c r="P67" s="495"/>
      <c r="Q67" s="495"/>
      <c r="R67" s="496" t="s">
        <v>471</v>
      </c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4</v>
      </c>
      <c r="B68" s="492"/>
      <c r="C68" s="105" t="s">
        <v>121</v>
      </c>
      <c r="D68" s="299"/>
      <c r="E68" s="296" t="s">
        <v>115</v>
      </c>
      <c r="F68" s="497" t="s">
        <v>417</v>
      </c>
      <c r="G68" s="498"/>
      <c r="H68" s="498"/>
      <c r="I68" s="498"/>
      <c r="J68" s="499"/>
      <c r="K68" s="485" t="s">
        <v>124</v>
      </c>
      <c r="L68" s="485"/>
      <c r="M68" s="51" t="s">
        <v>188</v>
      </c>
      <c r="N68" s="494" t="s">
        <v>184</v>
      </c>
      <c r="O68" s="494"/>
      <c r="P68" s="495">
        <v>200</v>
      </c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5</v>
      </c>
      <c r="B69" s="492"/>
      <c r="C69" s="105"/>
      <c r="D69" s="299"/>
      <c r="E69" s="296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6</v>
      </c>
      <c r="B70" s="492"/>
      <c r="C70" s="105"/>
      <c r="D70" s="299"/>
      <c r="E70" s="296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7</v>
      </c>
      <c r="B71" s="492"/>
      <c r="C71" s="105"/>
      <c r="D71" s="299"/>
      <c r="E71" s="296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8</v>
      </c>
      <c r="B72" s="492"/>
      <c r="C72" s="105"/>
      <c r="D72" s="299"/>
      <c r="E72" s="296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9</v>
      </c>
      <c r="B73" s="492"/>
      <c r="C73" s="105"/>
      <c r="D73" s="299"/>
      <c r="E73" s="296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10</v>
      </c>
      <c r="B74" s="492"/>
      <c r="C74" s="105"/>
      <c r="D74" s="299"/>
      <c r="E74" s="296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6.25" customHeight="1" thickBot="1">
      <c r="A75" s="465" t="s">
        <v>472</v>
      </c>
      <c r="B75" s="465"/>
      <c r="C75" s="465"/>
      <c r="D75" s="465"/>
      <c r="E75" s="46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66" t="s">
        <v>111</v>
      </c>
      <c r="B76" s="467"/>
      <c r="C76" s="298" t="s">
        <v>2</v>
      </c>
      <c r="D76" s="298" t="s">
        <v>37</v>
      </c>
      <c r="E76" s="298" t="s">
        <v>273</v>
      </c>
      <c r="F76" s="467" t="s">
        <v>38</v>
      </c>
      <c r="G76" s="467"/>
      <c r="H76" s="467"/>
      <c r="I76" s="467"/>
      <c r="J76" s="467"/>
      <c r="K76" s="487" t="s">
        <v>58</v>
      </c>
      <c r="L76" s="488"/>
      <c r="M76" s="488"/>
      <c r="N76" s="488"/>
      <c r="O76" s="488"/>
      <c r="P76" s="488"/>
      <c r="Q76" s="488"/>
      <c r="R76" s="488"/>
      <c r="S76" s="489"/>
      <c r="T76" s="467" t="s">
        <v>49</v>
      </c>
      <c r="U76" s="467"/>
      <c r="V76" s="487" t="s">
        <v>50</v>
      </c>
      <c r="W76" s="489"/>
      <c r="X76" s="488" t="s">
        <v>51</v>
      </c>
      <c r="Y76" s="488"/>
      <c r="Z76" s="488"/>
      <c r="AA76" s="488"/>
      <c r="AB76" s="488"/>
      <c r="AC76" s="488"/>
      <c r="AD76" s="490"/>
      <c r="AF76" s="50"/>
    </row>
    <row r="77" spans="1:32" ht="33.75" customHeight="1">
      <c r="A77" s="459">
        <v>1</v>
      </c>
      <c r="B77" s="460"/>
      <c r="C77" s="300" t="s">
        <v>112</v>
      </c>
      <c r="D77" s="300"/>
      <c r="E77" s="65" t="s">
        <v>117</v>
      </c>
      <c r="F77" s="474" t="s">
        <v>116</v>
      </c>
      <c r="G77" s="475"/>
      <c r="H77" s="475"/>
      <c r="I77" s="475"/>
      <c r="J77" s="476"/>
      <c r="K77" s="477" t="s">
        <v>122</v>
      </c>
      <c r="L77" s="478"/>
      <c r="M77" s="478"/>
      <c r="N77" s="478"/>
      <c r="O77" s="478"/>
      <c r="P77" s="478"/>
      <c r="Q77" s="478"/>
      <c r="R77" s="478"/>
      <c r="S77" s="479"/>
      <c r="T77" s="480">
        <v>43675</v>
      </c>
      <c r="U77" s="481"/>
      <c r="V77" s="482"/>
      <c r="W77" s="482"/>
      <c r="X77" s="483"/>
      <c r="Y77" s="483"/>
      <c r="Z77" s="483"/>
      <c r="AA77" s="483"/>
      <c r="AB77" s="483"/>
      <c r="AC77" s="483"/>
      <c r="AD77" s="484"/>
      <c r="AF77" s="50"/>
    </row>
    <row r="78" spans="1:32" ht="30" customHeight="1">
      <c r="A78" s="452">
        <f>A77+1</f>
        <v>2</v>
      </c>
      <c r="B78" s="453"/>
      <c r="C78" s="299"/>
      <c r="D78" s="299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ref="A79:A83" si="12">A78+1</f>
        <v>3</v>
      </c>
      <c r="B79" s="453"/>
      <c r="C79" s="299"/>
      <c r="D79" s="299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4</v>
      </c>
      <c r="B80" s="453"/>
      <c r="C80" s="299"/>
      <c r="D80" s="299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5</v>
      </c>
      <c r="B81" s="453"/>
      <c r="C81" s="299"/>
      <c r="D81" s="299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6</v>
      </c>
      <c r="B82" s="453"/>
      <c r="C82" s="299"/>
      <c r="D82" s="299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12"/>
        <v>7</v>
      </c>
      <c r="B83" s="453"/>
      <c r="C83" s="299"/>
      <c r="D83" s="299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6" thickBot="1">
      <c r="A84" s="465" t="s">
        <v>473</v>
      </c>
      <c r="B84" s="465"/>
      <c r="C84" s="465"/>
      <c r="D84" s="465"/>
      <c r="E84" s="46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66" t="s">
        <v>111</v>
      </c>
      <c r="B85" s="467"/>
      <c r="C85" s="457" t="s">
        <v>52</v>
      </c>
      <c r="D85" s="457"/>
      <c r="E85" s="457" t="s">
        <v>53</v>
      </c>
      <c r="F85" s="457"/>
      <c r="G85" s="457"/>
      <c r="H85" s="457"/>
      <c r="I85" s="457"/>
      <c r="J85" s="457"/>
      <c r="K85" s="457" t="s">
        <v>54</v>
      </c>
      <c r="L85" s="457"/>
      <c r="M85" s="457"/>
      <c r="N85" s="457"/>
      <c r="O85" s="457"/>
      <c r="P85" s="457"/>
      <c r="Q85" s="457"/>
      <c r="R85" s="457"/>
      <c r="S85" s="457"/>
      <c r="T85" s="457" t="s">
        <v>55</v>
      </c>
      <c r="U85" s="457"/>
      <c r="V85" s="457" t="s">
        <v>56</v>
      </c>
      <c r="W85" s="457"/>
      <c r="X85" s="457"/>
      <c r="Y85" s="457" t="s">
        <v>51</v>
      </c>
      <c r="Z85" s="457"/>
      <c r="AA85" s="457"/>
      <c r="AB85" s="457"/>
      <c r="AC85" s="457"/>
      <c r="AD85" s="458"/>
      <c r="AF85" s="50"/>
    </row>
    <row r="86" spans="1:32" ht="30.75" customHeight="1">
      <c r="A86" s="459">
        <v>1</v>
      </c>
      <c r="B86" s="460"/>
      <c r="C86" s="461">
        <v>11</v>
      </c>
      <c r="D86" s="461"/>
      <c r="E86" s="461" t="s">
        <v>295</v>
      </c>
      <c r="F86" s="461"/>
      <c r="G86" s="461"/>
      <c r="H86" s="461"/>
      <c r="I86" s="461"/>
      <c r="J86" s="461"/>
      <c r="K86" s="461" t="s">
        <v>297</v>
      </c>
      <c r="L86" s="461"/>
      <c r="M86" s="461"/>
      <c r="N86" s="461"/>
      <c r="O86" s="461"/>
      <c r="P86" s="461"/>
      <c r="Q86" s="461"/>
      <c r="R86" s="461"/>
      <c r="S86" s="461"/>
      <c r="T86" s="461" t="s">
        <v>296</v>
      </c>
      <c r="U86" s="461"/>
      <c r="V86" s="462"/>
      <c r="W86" s="462"/>
      <c r="X86" s="462"/>
      <c r="Y86" s="463" t="s">
        <v>298</v>
      </c>
      <c r="Z86" s="463"/>
      <c r="AA86" s="463"/>
      <c r="AB86" s="463"/>
      <c r="AC86" s="463"/>
      <c r="AD86" s="464"/>
      <c r="AF86" s="50"/>
    </row>
    <row r="87" spans="1:32" ht="30.75" customHeight="1">
      <c r="A87" s="452">
        <v>2</v>
      </c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5"/>
      <c r="U87" s="455"/>
      <c r="V87" s="456"/>
      <c r="W87" s="456"/>
      <c r="X87" s="456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3344-E844-4BA8-A3ED-F842AE21C26A}">
  <sheetPr codeName="Sheet18"/>
  <dimension ref="A1:AF88"/>
  <sheetViews>
    <sheetView view="pageBreakPreview" zoomScale="70" zoomScaleNormal="72" zoomScaleSheetLayoutView="70" workbookViewId="0">
      <selection activeCell="I84" sqref="I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474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13" t="s">
        <v>17</v>
      </c>
      <c r="L5" s="313" t="s">
        <v>18</v>
      </c>
      <c r="M5" s="313" t="s">
        <v>19</v>
      </c>
      <c r="N5" s="3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407</v>
      </c>
      <c r="E6" s="53" t="s">
        <v>421</v>
      </c>
      <c r="F6" s="12" t="s">
        <v>128</v>
      </c>
      <c r="G6" s="12">
        <v>4</v>
      </c>
      <c r="H6" s="13">
        <v>24</v>
      </c>
      <c r="I6" s="31">
        <v>3000</v>
      </c>
      <c r="J6" s="14">
        <v>3238</v>
      </c>
      <c r="K6" s="15">
        <f>L6+3238</f>
        <v>3238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0.56127450980392168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112</v>
      </c>
      <c r="D7" s="52" t="s">
        <v>130</v>
      </c>
      <c r="E7" s="53" t="s">
        <v>161</v>
      </c>
      <c r="F7" s="12">
        <v>8301</v>
      </c>
      <c r="G7" s="12">
        <v>1</v>
      </c>
      <c r="H7" s="13">
        <v>24</v>
      </c>
      <c r="I7" s="31">
        <v>73000</v>
      </c>
      <c r="J7" s="14">
        <v>2392</v>
      </c>
      <c r="K7" s="15">
        <f>L7+2422+7588+11556+11672+6148+11316+11020+8920+6772+2392</f>
        <v>79806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0.56127450980392168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24256</v>
      </c>
      <c r="K8" s="15">
        <f>L8+8404+12360+9142+12426+5790+11544+12480+12502+12376+12380+22896+24720+24328</f>
        <v>205604</v>
      </c>
      <c r="L8" s="15">
        <f>3175*4+2889*4</f>
        <v>24256</v>
      </c>
      <c r="M8" s="15">
        <f t="shared" si="0"/>
        <v>24256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0.56127450980392168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/>
      <c r="E9" s="53" t="s">
        <v>475</v>
      </c>
      <c r="F9" s="30" t="s">
        <v>476</v>
      </c>
      <c r="G9" s="33">
        <v>4</v>
      </c>
      <c r="H9" s="35">
        <v>24</v>
      </c>
      <c r="I9" s="7">
        <v>100000</v>
      </c>
      <c r="J9" s="14">
        <v>30616</v>
      </c>
      <c r="K9" s="15">
        <f>L9</f>
        <v>30616</v>
      </c>
      <c r="L9" s="15">
        <f>3332*4+4322*4</f>
        <v>30616</v>
      </c>
      <c r="M9" s="15">
        <f t="shared" si="0"/>
        <v>30616</v>
      </c>
      <c r="N9" s="15">
        <v>0</v>
      </c>
      <c r="O9" s="58">
        <f t="shared" si="1"/>
        <v>0</v>
      </c>
      <c r="P9" s="39">
        <f t="shared" si="2"/>
        <v>3</v>
      </c>
      <c r="Q9" s="40">
        <f t="shared" si="3"/>
        <v>21</v>
      </c>
      <c r="R9" s="7"/>
      <c r="S9" s="6"/>
      <c r="T9" s="16"/>
      <c r="U9" s="16"/>
      <c r="V9" s="17"/>
      <c r="W9" s="5">
        <v>21</v>
      </c>
      <c r="X9" s="16"/>
      <c r="Y9" s="16"/>
      <c r="Z9" s="16"/>
      <c r="AA9" s="18"/>
      <c r="AB9" s="8">
        <f t="shared" si="4"/>
        <v>1</v>
      </c>
      <c r="AC9" s="9">
        <f t="shared" si="5"/>
        <v>0.125</v>
      </c>
      <c r="AD9" s="10">
        <f t="shared" si="6"/>
        <v>0.125</v>
      </c>
      <c r="AE9" s="36">
        <f t="shared" si="7"/>
        <v>0.56127450980392168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10656</v>
      </c>
      <c r="K10" s="15">
        <f>L10+5588+11272+12940+13030+13250+11902+13058+13134+13002+13260+12430+11760</f>
        <v>155282</v>
      </c>
      <c r="L10" s="15">
        <f>3318*2+2010*2</f>
        <v>10656</v>
      </c>
      <c r="M10" s="15">
        <f t="shared" si="0"/>
        <v>10656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</v>
      </c>
      <c r="AB10" s="8">
        <f t="shared" si="4"/>
        <v>1</v>
      </c>
      <c r="AC10" s="9">
        <f t="shared" si="5"/>
        <v>0.91666666666666663</v>
      </c>
      <c r="AD10" s="10">
        <f>AC10*AB10*(1-O10)</f>
        <v>0.91666666666666663</v>
      </c>
      <c r="AE10" s="36">
        <f t="shared" si="7"/>
        <v>0.56127450980392168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 t="s">
        <v>115</v>
      </c>
      <c r="E11" s="53" t="s">
        <v>443</v>
      </c>
      <c r="F11" s="30" t="s">
        <v>444</v>
      </c>
      <c r="G11" s="33">
        <v>1</v>
      </c>
      <c r="H11" s="35">
        <v>24</v>
      </c>
      <c r="I11" s="7">
        <v>3000</v>
      </c>
      <c r="J11" s="14">
        <v>1050</v>
      </c>
      <c r="K11" s="15">
        <f>L11+1035+2306</f>
        <v>4391</v>
      </c>
      <c r="L11" s="15">
        <v>1050</v>
      </c>
      <c r="M11" s="15">
        <f t="shared" si="0"/>
        <v>1050</v>
      </c>
      <c r="N11" s="15">
        <v>0</v>
      </c>
      <c r="O11" s="58">
        <f t="shared" si="1"/>
        <v>0</v>
      </c>
      <c r="P11" s="39">
        <f t="shared" si="2"/>
        <v>5</v>
      </c>
      <c r="Q11" s="40">
        <f t="shared" si="3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4"/>
        <v>1</v>
      </c>
      <c r="AC11" s="9">
        <f t="shared" si="5"/>
        <v>0.20833333333333334</v>
      </c>
      <c r="AD11" s="10">
        <f t="shared" ref="AD11:AD15" si="9">AC11*AB11*(1-O11)</f>
        <v>0.20833333333333334</v>
      </c>
      <c r="AE11" s="36">
        <f t="shared" si="7"/>
        <v>0.56127450980392168</v>
      </c>
      <c r="AF11" s="84">
        <f t="shared" si="8"/>
        <v>6</v>
      </c>
    </row>
    <row r="12" spans="1:32" ht="27" customHeight="1">
      <c r="A12" s="96">
        <v>6</v>
      </c>
      <c r="B12" s="11" t="s">
        <v>57</v>
      </c>
      <c r="C12" s="11" t="s">
        <v>123</v>
      </c>
      <c r="D12" s="52"/>
      <c r="E12" s="53" t="s">
        <v>466</v>
      </c>
      <c r="F12" s="30" t="s">
        <v>444</v>
      </c>
      <c r="G12" s="33">
        <v>1</v>
      </c>
      <c r="H12" s="35">
        <v>24</v>
      </c>
      <c r="I12" s="7">
        <v>12000</v>
      </c>
      <c r="J12" s="14">
        <v>3718</v>
      </c>
      <c r="K12" s="15">
        <f>L12</f>
        <v>3718</v>
      </c>
      <c r="L12" s="15">
        <f>2625+1093</f>
        <v>3718</v>
      </c>
      <c r="M12" s="15">
        <f t="shared" ref="M12" si="10">L12-N12</f>
        <v>3718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17</v>
      </c>
      <c r="Q12" s="40">
        <f t="shared" ref="Q12" si="13">SUM(R12:AA12)</f>
        <v>7</v>
      </c>
      <c r="R12" s="7"/>
      <c r="S12" s="6"/>
      <c r="T12" s="16">
        <v>7</v>
      </c>
      <c r="U12" s="16"/>
      <c r="V12" s="17"/>
      <c r="W12" s="5"/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0.70833333333333337</v>
      </c>
      <c r="AD12" s="10">
        <f t="shared" ref="AD12" si="16">AC12*AB12*(1-O12)</f>
        <v>0.70833333333333337</v>
      </c>
      <c r="AE12" s="36">
        <f t="shared" si="7"/>
        <v>0.56127450980392168</v>
      </c>
      <c r="AF12" s="84">
        <f t="shared" ref="AF12" si="17">A12</f>
        <v>6</v>
      </c>
    </row>
    <row r="13" spans="1:32" ht="27" customHeight="1">
      <c r="A13" s="96">
        <v>7</v>
      </c>
      <c r="B13" s="11" t="s">
        <v>57</v>
      </c>
      <c r="C13" s="11" t="s">
        <v>112</v>
      </c>
      <c r="D13" s="52" t="s">
        <v>133</v>
      </c>
      <c r="E13" s="53" t="s">
        <v>151</v>
      </c>
      <c r="F13" s="30" t="s">
        <v>131</v>
      </c>
      <c r="G13" s="33">
        <v>2</v>
      </c>
      <c r="H13" s="35">
        <v>24</v>
      </c>
      <c r="I13" s="7">
        <v>73000</v>
      </c>
      <c r="J13" s="14">
        <v>10382</v>
      </c>
      <c r="K13" s="15">
        <f>L13+4200+2432+5144+6184+11076+3614+6628+6254+3106+5170+3731+10360</f>
        <v>78281</v>
      </c>
      <c r="L13" s="15">
        <f>2699*2+2492*2</f>
        <v>10382</v>
      </c>
      <c r="M13" s="15">
        <f t="shared" si="0"/>
        <v>10382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9"/>
        <v>1</v>
      </c>
      <c r="AE13" s="36">
        <f t="shared" si="7"/>
        <v>0.56127450980392168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34" t="s">
        <v>121</v>
      </c>
      <c r="D14" s="52" t="s">
        <v>115</v>
      </c>
      <c r="E14" s="53" t="s">
        <v>160</v>
      </c>
      <c r="F14" s="30" t="s">
        <v>124</v>
      </c>
      <c r="G14" s="33">
        <v>2</v>
      </c>
      <c r="H14" s="35">
        <v>24</v>
      </c>
      <c r="I14" s="7">
        <v>120000</v>
      </c>
      <c r="J14" s="5">
        <v>4942</v>
      </c>
      <c r="K14" s="15">
        <f>L14+10230+8758+7458+4298+5694+7524+3000+9774+6592+11326+12144+11050+10802+10910+9796+3412</f>
        <v>137710</v>
      </c>
      <c r="L14" s="15">
        <f>1948*2+523*2</f>
        <v>4942</v>
      </c>
      <c r="M14" s="15">
        <f t="shared" si="0"/>
        <v>4942</v>
      </c>
      <c r="N14" s="15">
        <v>0</v>
      </c>
      <c r="O14" s="58">
        <f t="shared" si="1"/>
        <v>0</v>
      </c>
      <c r="P14" s="39">
        <f t="shared" si="2"/>
        <v>14</v>
      </c>
      <c r="Q14" s="40">
        <f t="shared" si="3"/>
        <v>10</v>
      </c>
      <c r="R14" s="7"/>
      <c r="S14" s="6">
        <v>10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0.58333333333333337</v>
      </c>
      <c r="AD14" s="10">
        <f>AC14*AB14*(1-O14)</f>
        <v>0.58333333333333337</v>
      </c>
      <c r="AE14" s="36">
        <f t="shared" si="7"/>
        <v>0.56127450980392168</v>
      </c>
      <c r="AF14" s="84">
        <f t="shared" si="8"/>
        <v>8</v>
      </c>
    </row>
    <row r="15" spans="1:32" ht="27" customHeight="1">
      <c r="A15" s="106">
        <v>9</v>
      </c>
      <c r="B15" s="11" t="s">
        <v>57</v>
      </c>
      <c r="C15" s="34" t="s">
        <v>112</v>
      </c>
      <c r="D15" s="52" t="s">
        <v>115</v>
      </c>
      <c r="E15" s="53" t="s">
        <v>236</v>
      </c>
      <c r="F15" s="30" t="s">
        <v>249</v>
      </c>
      <c r="G15" s="33">
        <v>1</v>
      </c>
      <c r="H15" s="35">
        <v>24</v>
      </c>
      <c r="I15" s="7">
        <v>300</v>
      </c>
      <c r="J15" s="5">
        <v>329</v>
      </c>
      <c r="K15" s="15">
        <f>L15+242+329</f>
        <v>571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9"/>
        <v>0</v>
      </c>
      <c r="AE15" s="36">
        <f t="shared" si="7"/>
        <v>0.56127450980392168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429</v>
      </c>
      <c r="D16" s="52" t="s">
        <v>117</v>
      </c>
      <c r="E16" s="53" t="s">
        <v>441</v>
      </c>
      <c r="F16" s="12" t="s">
        <v>445</v>
      </c>
      <c r="G16" s="12">
        <v>2</v>
      </c>
      <c r="H16" s="13">
        <v>24</v>
      </c>
      <c r="I16" s="31">
        <v>10000</v>
      </c>
      <c r="J16" s="14">
        <v>13572</v>
      </c>
      <c r="K16" s="15">
        <f>L16+1868+6418</f>
        <v>21858</v>
      </c>
      <c r="L16" s="15">
        <f>3329*2+3457*2</f>
        <v>13572</v>
      </c>
      <c r="M16" s="15">
        <f t="shared" si="0"/>
        <v>13572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0.56127450980392168</v>
      </c>
      <c r="AF16" s="84">
        <f t="shared" si="8"/>
        <v>10</v>
      </c>
    </row>
    <row r="17" spans="1:32" ht="30" customHeight="1">
      <c r="A17" s="95">
        <v>11</v>
      </c>
      <c r="B17" s="11" t="s">
        <v>57</v>
      </c>
      <c r="C17" s="34" t="s">
        <v>120</v>
      </c>
      <c r="D17" s="52" t="s">
        <v>215</v>
      </c>
      <c r="E17" s="53" t="s">
        <v>216</v>
      </c>
      <c r="F17" s="30" t="s">
        <v>225</v>
      </c>
      <c r="G17" s="12">
        <v>1</v>
      </c>
      <c r="H17" s="13">
        <v>24</v>
      </c>
      <c r="I17" s="7">
        <v>500</v>
      </c>
      <c r="J17" s="14">
        <v>495</v>
      </c>
      <c r="K17" s="15">
        <f>L17+495</f>
        <v>495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>
        <v>24</v>
      </c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0.56127450980392168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120</v>
      </c>
      <c r="D18" s="52" t="s">
        <v>130</v>
      </c>
      <c r="E18" s="53" t="s">
        <v>271</v>
      </c>
      <c r="F18" s="30" t="s">
        <v>187</v>
      </c>
      <c r="G18" s="12">
        <v>1</v>
      </c>
      <c r="H18" s="13">
        <v>24</v>
      </c>
      <c r="I18" s="7">
        <v>38000</v>
      </c>
      <c r="J18" s="14">
        <v>6271</v>
      </c>
      <c r="K18" s="15">
        <f>L18+3089+6204+6218</f>
        <v>21782</v>
      </c>
      <c r="L18" s="15">
        <f>3254+3017</f>
        <v>6271</v>
      </c>
      <c r="M18" s="15">
        <f t="shared" si="0"/>
        <v>6271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0.56127450980392168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123</v>
      </c>
      <c r="D19" s="52"/>
      <c r="E19" s="53" t="s">
        <v>465</v>
      </c>
      <c r="F19" s="30" t="s">
        <v>477</v>
      </c>
      <c r="G19" s="33">
        <v>1</v>
      </c>
      <c r="H19" s="35">
        <v>24</v>
      </c>
      <c r="I19" s="7">
        <v>12000</v>
      </c>
      <c r="J19" s="14">
        <v>5350</v>
      </c>
      <c r="K19" s="15">
        <f>L19</f>
        <v>5350</v>
      </c>
      <c r="L19" s="15">
        <f>2314+3036</f>
        <v>5350</v>
      </c>
      <c r="M19" s="15">
        <f t="shared" si="0"/>
        <v>5350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0.56127450980392168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121</v>
      </c>
      <c r="D20" s="52" t="s">
        <v>375</v>
      </c>
      <c r="E20" s="53" t="s">
        <v>291</v>
      </c>
      <c r="F20" s="30" t="s">
        <v>124</v>
      </c>
      <c r="G20" s="33">
        <v>1</v>
      </c>
      <c r="H20" s="35">
        <v>24</v>
      </c>
      <c r="I20" s="7">
        <v>2000</v>
      </c>
      <c r="J20" s="14">
        <v>2190</v>
      </c>
      <c r="K20" s="15">
        <f>L20</f>
        <v>2190</v>
      </c>
      <c r="L20" s="15">
        <v>2190</v>
      </c>
      <c r="M20" s="15">
        <f t="shared" si="0"/>
        <v>2190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/>
      <c r="T20" s="16"/>
      <c r="U20" s="16"/>
      <c r="V20" s="17"/>
      <c r="W20" s="5">
        <v>14</v>
      </c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0.56127450980392168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200</v>
      </c>
      <c r="F21" s="30" t="s">
        <v>124</v>
      </c>
      <c r="G21" s="12">
        <v>2</v>
      </c>
      <c r="H21" s="13">
        <v>28</v>
      </c>
      <c r="I21" s="31">
        <v>400000</v>
      </c>
      <c r="J21" s="5">
        <v>12588</v>
      </c>
      <c r="K21" s="15">
        <f>L21+6852+6648+9128+6400+11510+3498+11566+8822+12584+12228+12656+7910+6546</f>
        <v>128936</v>
      </c>
      <c r="L21" s="15">
        <f>3263*2+3031*2</f>
        <v>12588</v>
      </c>
      <c r="M21" s="15">
        <f t="shared" si="0"/>
        <v>12588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0.56127450980392168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134</v>
      </c>
      <c r="F22" s="12" t="s">
        <v>114</v>
      </c>
      <c r="G22" s="12">
        <v>4</v>
      </c>
      <c r="H22" s="35">
        <v>20</v>
      </c>
      <c r="I22" s="7">
        <v>500000</v>
      </c>
      <c r="J22" s="14">
        <v>37244</v>
      </c>
      <c r="K22" s="15">
        <f>L22+31044+37988</f>
        <v>106276</v>
      </c>
      <c r="L22" s="15">
        <f>9311*4</f>
        <v>37244</v>
      </c>
      <c r="M22" s="15">
        <f t="shared" si="0"/>
        <v>37244</v>
      </c>
      <c r="N22" s="15">
        <v>0</v>
      </c>
      <c r="O22" s="58">
        <f t="shared" si="1"/>
        <v>0</v>
      </c>
      <c r="P22" s="39">
        <f t="shared" si="2"/>
        <v>15</v>
      </c>
      <c r="Q22" s="40">
        <f t="shared" si="3"/>
        <v>9</v>
      </c>
      <c r="R22" s="7"/>
      <c r="S22" s="6"/>
      <c r="T22" s="16"/>
      <c r="U22" s="16"/>
      <c r="V22" s="17">
        <v>9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0.625</v>
      </c>
      <c r="AD22" s="10">
        <f t="shared" si="6"/>
        <v>0.625</v>
      </c>
      <c r="AE22" s="36">
        <f t="shared" si="7"/>
        <v>0.56127450980392168</v>
      </c>
      <c r="AF22" s="84">
        <f t="shared" si="8"/>
        <v>16</v>
      </c>
    </row>
    <row r="23" spans="1:32" ht="31.5" customHeight="1" thickBot="1">
      <c r="A23" s="529" t="s">
        <v>34</v>
      </c>
      <c r="B23" s="530"/>
      <c r="C23" s="530"/>
      <c r="D23" s="530"/>
      <c r="E23" s="530"/>
      <c r="F23" s="530"/>
      <c r="G23" s="530"/>
      <c r="H23" s="531"/>
      <c r="I23" s="22">
        <f t="shared" ref="I23:N23" si="18">SUM(I6:I22)</f>
        <v>2786800</v>
      </c>
      <c r="J23" s="19">
        <f t="shared" si="18"/>
        <v>169289</v>
      </c>
      <c r="K23" s="20">
        <f t="shared" si="18"/>
        <v>986104</v>
      </c>
      <c r="L23" s="21">
        <f t="shared" si="18"/>
        <v>162835</v>
      </c>
      <c r="M23" s="20">
        <f t="shared" si="18"/>
        <v>162835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229</v>
      </c>
      <c r="Q23" s="43">
        <f t="shared" si="19"/>
        <v>179</v>
      </c>
      <c r="R23" s="23">
        <f t="shared" si="19"/>
        <v>24</v>
      </c>
      <c r="S23" s="24">
        <f t="shared" si="19"/>
        <v>10</v>
      </c>
      <c r="T23" s="24">
        <f t="shared" si="19"/>
        <v>8</v>
      </c>
      <c r="U23" s="24">
        <f t="shared" si="19"/>
        <v>0</v>
      </c>
      <c r="V23" s="25">
        <f t="shared" si="19"/>
        <v>33</v>
      </c>
      <c r="W23" s="26">
        <f t="shared" si="19"/>
        <v>102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</v>
      </c>
      <c r="AB23" s="28">
        <f>AVERAGE(AB6:AB22)</f>
        <v>0.76470588235294112</v>
      </c>
      <c r="AC23" s="4">
        <f>AVERAGE(AC6:AC22)</f>
        <v>0.56127450980392168</v>
      </c>
      <c r="AD23" s="4">
        <f>AVERAGE(AD6:AD22)</f>
        <v>0.56127450980392168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32" t="s">
        <v>45</v>
      </c>
      <c r="B50" s="532"/>
      <c r="C50" s="532"/>
      <c r="D50" s="532"/>
      <c r="E50" s="53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33" t="s">
        <v>478</v>
      </c>
      <c r="B51" s="534"/>
      <c r="C51" s="534"/>
      <c r="D51" s="534"/>
      <c r="E51" s="534"/>
      <c r="F51" s="534"/>
      <c r="G51" s="534"/>
      <c r="H51" s="534"/>
      <c r="I51" s="534"/>
      <c r="J51" s="534"/>
      <c r="K51" s="534"/>
      <c r="L51" s="534"/>
      <c r="M51" s="535"/>
      <c r="N51" s="536" t="s">
        <v>481</v>
      </c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8"/>
    </row>
    <row r="52" spans="1:32" ht="27" customHeight="1">
      <c r="A52" s="539" t="s">
        <v>2</v>
      </c>
      <c r="B52" s="540"/>
      <c r="C52" s="312" t="s">
        <v>46</v>
      </c>
      <c r="D52" s="312" t="s">
        <v>47</v>
      </c>
      <c r="E52" s="312" t="s">
        <v>107</v>
      </c>
      <c r="F52" s="541" t="s">
        <v>106</v>
      </c>
      <c r="G52" s="542"/>
      <c r="H52" s="542"/>
      <c r="I52" s="542"/>
      <c r="J52" s="542"/>
      <c r="K52" s="542"/>
      <c r="L52" s="542"/>
      <c r="M52" s="543"/>
      <c r="N52" s="67" t="s">
        <v>110</v>
      </c>
      <c r="O52" s="312" t="s">
        <v>46</v>
      </c>
      <c r="P52" s="541" t="s">
        <v>47</v>
      </c>
      <c r="Q52" s="544"/>
      <c r="R52" s="541" t="s">
        <v>38</v>
      </c>
      <c r="S52" s="542"/>
      <c r="T52" s="542"/>
      <c r="U52" s="544"/>
      <c r="V52" s="541" t="s">
        <v>48</v>
      </c>
      <c r="W52" s="542"/>
      <c r="X52" s="542"/>
      <c r="Y52" s="542"/>
      <c r="Z52" s="542"/>
      <c r="AA52" s="542"/>
      <c r="AB52" s="542"/>
      <c r="AC52" s="542"/>
      <c r="AD52" s="543"/>
    </row>
    <row r="53" spans="1:32" ht="27" customHeight="1">
      <c r="A53" s="510" t="s">
        <v>121</v>
      </c>
      <c r="B53" s="511"/>
      <c r="C53" s="309" t="s">
        <v>144</v>
      </c>
      <c r="D53" s="309" t="s">
        <v>115</v>
      </c>
      <c r="E53" s="309" t="s">
        <v>160</v>
      </c>
      <c r="F53" s="512" t="s">
        <v>479</v>
      </c>
      <c r="G53" s="513"/>
      <c r="H53" s="513"/>
      <c r="I53" s="513"/>
      <c r="J53" s="513"/>
      <c r="K53" s="513"/>
      <c r="L53" s="513"/>
      <c r="M53" s="514"/>
      <c r="N53" s="308" t="s">
        <v>120</v>
      </c>
      <c r="O53" s="306" t="s">
        <v>201</v>
      </c>
      <c r="P53" s="524" t="s">
        <v>115</v>
      </c>
      <c r="Q53" s="525"/>
      <c r="R53" s="524" t="s">
        <v>459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121</v>
      </c>
      <c r="B54" s="511"/>
      <c r="C54" s="309" t="s">
        <v>284</v>
      </c>
      <c r="D54" s="309"/>
      <c r="E54" s="309" t="s">
        <v>475</v>
      </c>
      <c r="F54" s="512" t="s">
        <v>118</v>
      </c>
      <c r="G54" s="513"/>
      <c r="H54" s="513"/>
      <c r="I54" s="513"/>
      <c r="J54" s="513"/>
      <c r="K54" s="513"/>
      <c r="L54" s="513"/>
      <c r="M54" s="514"/>
      <c r="N54" s="308" t="s">
        <v>121</v>
      </c>
      <c r="O54" s="306" t="s">
        <v>144</v>
      </c>
      <c r="P54" s="524" t="s">
        <v>115</v>
      </c>
      <c r="Q54" s="525"/>
      <c r="R54" s="524" t="s">
        <v>160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72" t="s">
        <v>121</v>
      </c>
      <c r="B55" s="525"/>
      <c r="C55" s="309" t="s">
        <v>192</v>
      </c>
      <c r="D55" s="309" t="s">
        <v>150</v>
      </c>
      <c r="E55" s="309" t="s">
        <v>190</v>
      </c>
      <c r="F55" s="512" t="s">
        <v>480</v>
      </c>
      <c r="G55" s="513"/>
      <c r="H55" s="513"/>
      <c r="I55" s="513"/>
      <c r="J55" s="513"/>
      <c r="K55" s="513"/>
      <c r="L55" s="513"/>
      <c r="M55" s="514"/>
      <c r="N55" s="308" t="s">
        <v>121</v>
      </c>
      <c r="O55" s="306" t="s">
        <v>267</v>
      </c>
      <c r="P55" s="524" t="s">
        <v>482</v>
      </c>
      <c r="Q55" s="525"/>
      <c r="R55" s="524" t="s">
        <v>483</v>
      </c>
      <c r="S55" s="526"/>
      <c r="T55" s="526"/>
      <c r="U55" s="525"/>
      <c r="V55" s="496" t="s">
        <v>320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67" t="s">
        <v>123</v>
      </c>
      <c r="B56" s="568"/>
      <c r="C56" s="314" t="s">
        <v>169</v>
      </c>
      <c r="D56" s="314"/>
      <c r="E56" s="309" t="s">
        <v>466</v>
      </c>
      <c r="F56" s="512" t="s">
        <v>118</v>
      </c>
      <c r="G56" s="513"/>
      <c r="H56" s="513"/>
      <c r="I56" s="513"/>
      <c r="J56" s="513"/>
      <c r="K56" s="513"/>
      <c r="L56" s="513"/>
      <c r="M56" s="514"/>
      <c r="N56" s="308"/>
      <c r="O56" s="306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123</v>
      </c>
      <c r="B57" s="511"/>
      <c r="C57" s="309" t="s">
        <v>197</v>
      </c>
      <c r="D57" s="309"/>
      <c r="E57" s="309" t="s">
        <v>465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308"/>
      <c r="O57" s="306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121</v>
      </c>
      <c r="B58" s="511"/>
      <c r="C58" s="309" t="s">
        <v>201</v>
      </c>
      <c r="D58" s="309" t="s">
        <v>375</v>
      </c>
      <c r="E58" s="309" t="s">
        <v>291</v>
      </c>
      <c r="F58" s="512" t="s">
        <v>118</v>
      </c>
      <c r="G58" s="513"/>
      <c r="H58" s="513"/>
      <c r="I58" s="513"/>
      <c r="J58" s="513"/>
      <c r="K58" s="513"/>
      <c r="L58" s="513"/>
      <c r="M58" s="514"/>
      <c r="N58" s="308"/>
      <c r="O58" s="306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314"/>
      <c r="D59" s="314"/>
      <c r="E59" s="309"/>
      <c r="F59" s="512"/>
      <c r="G59" s="513"/>
      <c r="H59" s="513"/>
      <c r="I59" s="513"/>
      <c r="J59" s="513"/>
      <c r="K59" s="513"/>
      <c r="L59" s="513"/>
      <c r="M59" s="514"/>
      <c r="N59" s="308"/>
      <c r="O59" s="306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/>
      <c r="B60" s="568"/>
      <c r="C60" s="314"/>
      <c r="D60" s="314"/>
      <c r="E60" s="309"/>
      <c r="F60" s="512"/>
      <c r="G60" s="513"/>
      <c r="H60" s="513"/>
      <c r="I60" s="513"/>
      <c r="J60" s="513"/>
      <c r="K60" s="513"/>
      <c r="L60" s="513"/>
      <c r="M60" s="514"/>
      <c r="N60" s="308"/>
      <c r="O60" s="306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309"/>
      <c r="D61" s="309"/>
      <c r="E61" s="309"/>
      <c r="F61" s="512"/>
      <c r="G61" s="513"/>
      <c r="H61" s="513"/>
      <c r="I61" s="513"/>
      <c r="J61" s="513"/>
      <c r="K61" s="513"/>
      <c r="L61" s="513"/>
      <c r="M61" s="514"/>
      <c r="N61" s="308"/>
      <c r="O61" s="306"/>
      <c r="P61" s="511"/>
      <c r="Q61" s="511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  <c r="AF61" s="84">
        <f>8*3000</f>
        <v>24000</v>
      </c>
    </row>
    <row r="62" spans="1:32" ht="27" customHeight="1" thickBot="1">
      <c r="A62" s="516"/>
      <c r="B62" s="517"/>
      <c r="C62" s="310"/>
      <c r="D62" s="311"/>
      <c r="E62" s="311"/>
      <c r="F62" s="518"/>
      <c r="G62" s="519"/>
      <c r="H62" s="519"/>
      <c r="I62" s="519"/>
      <c r="J62" s="519"/>
      <c r="K62" s="519"/>
      <c r="L62" s="519"/>
      <c r="M62" s="520"/>
      <c r="N62" s="112"/>
      <c r="O62" s="103"/>
      <c r="P62" s="521"/>
      <c r="Q62" s="521"/>
      <c r="R62" s="521"/>
      <c r="S62" s="521"/>
      <c r="T62" s="521"/>
      <c r="U62" s="521"/>
      <c r="V62" s="522"/>
      <c r="W62" s="522"/>
      <c r="X62" s="522"/>
      <c r="Y62" s="522"/>
      <c r="Z62" s="522"/>
      <c r="AA62" s="522"/>
      <c r="AB62" s="522"/>
      <c r="AC62" s="522"/>
      <c r="AD62" s="523"/>
      <c r="AF62" s="84">
        <f>16*3000</f>
        <v>48000</v>
      </c>
    </row>
    <row r="63" spans="1:32" ht="27.75" thickBot="1">
      <c r="A63" s="508" t="s">
        <v>484</v>
      </c>
      <c r="B63" s="508"/>
      <c r="C63" s="508"/>
      <c r="D63" s="508"/>
      <c r="E63" s="50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09" t="s">
        <v>111</v>
      </c>
      <c r="B64" s="503"/>
      <c r="C64" s="307" t="s">
        <v>2</v>
      </c>
      <c r="D64" s="307" t="s">
        <v>37</v>
      </c>
      <c r="E64" s="307" t="s">
        <v>3</v>
      </c>
      <c r="F64" s="503" t="s">
        <v>109</v>
      </c>
      <c r="G64" s="503"/>
      <c r="H64" s="503"/>
      <c r="I64" s="503"/>
      <c r="J64" s="503"/>
      <c r="K64" s="503" t="s">
        <v>39</v>
      </c>
      <c r="L64" s="503"/>
      <c r="M64" s="307" t="s">
        <v>40</v>
      </c>
      <c r="N64" s="503" t="s">
        <v>41</v>
      </c>
      <c r="O64" s="503"/>
      <c r="P64" s="500" t="s">
        <v>42</v>
      </c>
      <c r="Q64" s="502"/>
      <c r="R64" s="500" t="s">
        <v>43</v>
      </c>
      <c r="S64" s="501"/>
      <c r="T64" s="501"/>
      <c r="U64" s="501"/>
      <c r="V64" s="501"/>
      <c r="W64" s="501"/>
      <c r="X64" s="501"/>
      <c r="Y64" s="501"/>
      <c r="Z64" s="501"/>
      <c r="AA64" s="502"/>
      <c r="AB64" s="503" t="s">
        <v>44</v>
      </c>
      <c r="AC64" s="503"/>
      <c r="AD64" s="504"/>
      <c r="AF64" s="84">
        <f>SUM(AF61:AF63)</f>
        <v>96000</v>
      </c>
    </row>
    <row r="65" spans="1:32" ht="25.5" customHeight="1">
      <c r="A65" s="491">
        <v>1</v>
      </c>
      <c r="B65" s="492"/>
      <c r="C65" s="105" t="s">
        <v>120</v>
      </c>
      <c r="D65" s="302"/>
      <c r="E65" s="305" t="s">
        <v>130</v>
      </c>
      <c r="F65" s="497" t="s">
        <v>485</v>
      </c>
      <c r="G65" s="498"/>
      <c r="H65" s="498"/>
      <c r="I65" s="498"/>
      <c r="J65" s="499"/>
      <c r="K65" s="485" t="s">
        <v>128</v>
      </c>
      <c r="L65" s="485"/>
      <c r="M65" s="51" t="s">
        <v>242</v>
      </c>
      <c r="N65" s="494" t="s">
        <v>189</v>
      </c>
      <c r="O65" s="494"/>
      <c r="P65" s="495">
        <v>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505"/>
      <c r="AC65" s="506"/>
      <c r="AD65" s="507"/>
      <c r="AF65" s="50"/>
    </row>
    <row r="66" spans="1:32" ht="25.5" customHeight="1">
      <c r="A66" s="491">
        <v>2</v>
      </c>
      <c r="B66" s="492"/>
      <c r="C66" s="105" t="s">
        <v>120</v>
      </c>
      <c r="D66" s="302"/>
      <c r="E66" s="305" t="s">
        <v>115</v>
      </c>
      <c r="F66" s="497" t="s">
        <v>147</v>
      </c>
      <c r="G66" s="498"/>
      <c r="H66" s="498"/>
      <c r="I66" s="498"/>
      <c r="J66" s="499"/>
      <c r="K66" s="485">
        <v>7301</v>
      </c>
      <c r="L66" s="485"/>
      <c r="M66" s="51" t="s">
        <v>188</v>
      </c>
      <c r="N66" s="494" t="s">
        <v>201</v>
      </c>
      <c r="O66" s="494"/>
      <c r="P66" s="495">
        <v>50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3</v>
      </c>
      <c r="B67" s="492"/>
      <c r="C67" s="105" t="s">
        <v>121</v>
      </c>
      <c r="D67" s="302"/>
      <c r="E67" s="305" t="s">
        <v>150</v>
      </c>
      <c r="F67" s="497" t="s">
        <v>486</v>
      </c>
      <c r="G67" s="498"/>
      <c r="H67" s="498"/>
      <c r="I67" s="498"/>
      <c r="J67" s="499"/>
      <c r="K67" s="485" t="s">
        <v>124</v>
      </c>
      <c r="L67" s="485"/>
      <c r="M67" s="51" t="s">
        <v>436</v>
      </c>
      <c r="N67" s="494" t="s">
        <v>192</v>
      </c>
      <c r="O67" s="494"/>
      <c r="P67" s="495">
        <v>200</v>
      </c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4</v>
      </c>
      <c r="B68" s="492"/>
      <c r="C68" s="105"/>
      <c r="D68" s="302"/>
      <c r="E68" s="305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5</v>
      </c>
      <c r="B69" s="492"/>
      <c r="C69" s="105"/>
      <c r="D69" s="302"/>
      <c r="E69" s="305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6</v>
      </c>
      <c r="B70" s="492"/>
      <c r="C70" s="105"/>
      <c r="D70" s="302"/>
      <c r="E70" s="305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7</v>
      </c>
      <c r="B71" s="492"/>
      <c r="C71" s="105"/>
      <c r="D71" s="302"/>
      <c r="E71" s="305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8</v>
      </c>
      <c r="B72" s="492"/>
      <c r="C72" s="105"/>
      <c r="D72" s="302"/>
      <c r="E72" s="305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9</v>
      </c>
      <c r="B73" s="492"/>
      <c r="C73" s="105"/>
      <c r="D73" s="302"/>
      <c r="E73" s="305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10</v>
      </c>
      <c r="B74" s="492"/>
      <c r="C74" s="105"/>
      <c r="D74" s="302"/>
      <c r="E74" s="305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6.25" customHeight="1" thickBot="1">
      <c r="A75" s="465" t="s">
        <v>487</v>
      </c>
      <c r="B75" s="465"/>
      <c r="C75" s="465"/>
      <c r="D75" s="465"/>
      <c r="E75" s="46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66" t="s">
        <v>111</v>
      </c>
      <c r="B76" s="467"/>
      <c r="C76" s="304" t="s">
        <v>2</v>
      </c>
      <c r="D76" s="304" t="s">
        <v>37</v>
      </c>
      <c r="E76" s="304" t="s">
        <v>273</v>
      </c>
      <c r="F76" s="467" t="s">
        <v>38</v>
      </c>
      <c r="G76" s="467"/>
      <c r="H76" s="467"/>
      <c r="I76" s="467"/>
      <c r="J76" s="467"/>
      <c r="K76" s="487" t="s">
        <v>58</v>
      </c>
      <c r="L76" s="488"/>
      <c r="M76" s="488"/>
      <c r="N76" s="488"/>
      <c r="O76" s="488"/>
      <c r="P76" s="488"/>
      <c r="Q76" s="488"/>
      <c r="R76" s="488"/>
      <c r="S76" s="489"/>
      <c r="T76" s="467" t="s">
        <v>49</v>
      </c>
      <c r="U76" s="467"/>
      <c r="V76" s="487" t="s">
        <v>50</v>
      </c>
      <c r="W76" s="489"/>
      <c r="X76" s="488" t="s">
        <v>51</v>
      </c>
      <c r="Y76" s="488"/>
      <c r="Z76" s="488"/>
      <c r="AA76" s="488"/>
      <c r="AB76" s="488"/>
      <c r="AC76" s="488"/>
      <c r="AD76" s="490"/>
      <c r="AF76" s="50"/>
    </row>
    <row r="77" spans="1:32" ht="33.75" customHeight="1">
      <c r="A77" s="459">
        <v>1</v>
      </c>
      <c r="B77" s="460"/>
      <c r="C77" s="303" t="s">
        <v>112</v>
      </c>
      <c r="D77" s="303"/>
      <c r="E77" s="65" t="s">
        <v>117</v>
      </c>
      <c r="F77" s="474" t="s">
        <v>116</v>
      </c>
      <c r="G77" s="475"/>
      <c r="H77" s="475"/>
      <c r="I77" s="475"/>
      <c r="J77" s="476"/>
      <c r="K77" s="477" t="s">
        <v>122</v>
      </c>
      <c r="L77" s="478"/>
      <c r="M77" s="478"/>
      <c r="N77" s="478"/>
      <c r="O77" s="478"/>
      <c r="P77" s="478"/>
      <c r="Q77" s="478"/>
      <c r="R77" s="478"/>
      <c r="S77" s="479"/>
      <c r="T77" s="480">
        <v>43675</v>
      </c>
      <c r="U77" s="481"/>
      <c r="V77" s="482"/>
      <c r="W77" s="482"/>
      <c r="X77" s="483"/>
      <c r="Y77" s="483"/>
      <c r="Z77" s="483"/>
      <c r="AA77" s="483"/>
      <c r="AB77" s="483"/>
      <c r="AC77" s="483"/>
      <c r="AD77" s="484"/>
      <c r="AF77" s="50"/>
    </row>
    <row r="78" spans="1:32" ht="30" customHeight="1">
      <c r="A78" s="452">
        <f>A77+1</f>
        <v>2</v>
      </c>
      <c r="B78" s="453"/>
      <c r="C78" s="302"/>
      <c r="D78" s="302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ref="A79:A83" si="20">A78+1</f>
        <v>3</v>
      </c>
      <c r="B79" s="453"/>
      <c r="C79" s="302"/>
      <c r="D79" s="302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20"/>
        <v>4</v>
      </c>
      <c r="B80" s="453"/>
      <c r="C80" s="302"/>
      <c r="D80" s="302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20"/>
        <v>5</v>
      </c>
      <c r="B81" s="453"/>
      <c r="C81" s="302"/>
      <c r="D81" s="302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0"/>
        <v>6</v>
      </c>
      <c r="B82" s="453"/>
      <c r="C82" s="302"/>
      <c r="D82" s="302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20"/>
        <v>7</v>
      </c>
      <c r="B83" s="453"/>
      <c r="C83" s="302"/>
      <c r="D83" s="302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6" thickBot="1">
      <c r="A84" s="465" t="s">
        <v>488</v>
      </c>
      <c r="B84" s="465"/>
      <c r="C84" s="465"/>
      <c r="D84" s="465"/>
      <c r="E84" s="46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66" t="s">
        <v>111</v>
      </c>
      <c r="B85" s="467"/>
      <c r="C85" s="457" t="s">
        <v>52</v>
      </c>
      <c r="D85" s="457"/>
      <c r="E85" s="457" t="s">
        <v>53</v>
      </c>
      <c r="F85" s="457"/>
      <c r="G85" s="457"/>
      <c r="H85" s="457"/>
      <c r="I85" s="457"/>
      <c r="J85" s="457"/>
      <c r="K85" s="457" t="s">
        <v>54</v>
      </c>
      <c r="L85" s="457"/>
      <c r="M85" s="457"/>
      <c r="N85" s="457"/>
      <c r="O85" s="457"/>
      <c r="P85" s="457"/>
      <c r="Q85" s="457"/>
      <c r="R85" s="457"/>
      <c r="S85" s="457"/>
      <c r="T85" s="457" t="s">
        <v>55</v>
      </c>
      <c r="U85" s="457"/>
      <c r="V85" s="457" t="s">
        <v>56</v>
      </c>
      <c r="W85" s="457"/>
      <c r="X85" s="457"/>
      <c r="Y85" s="457" t="s">
        <v>51</v>
      </c>
      <c r="Z85" s="457"/>
      <c r="AA85" s="457"/>
      <c r="AB85" s="457"/>
      <c r="AC85" s="457"/>
      <c r="AD85" s="458"/>
      <c r="AF85" s="50"/>
    </row>
    <row r="86" spans="1:32" ht="30.75" customHeight="1">
      <c r="A86" s="459">
        <v>1</v>
      </c>
      <c r="B86" s="460"/>
      <c r="C86" s="461">
        <v>11</v>
      </c>
      <c r="D86" s="461"/>
      <c r="E86" s="461" t="s">
        <v>295</v>
      </c>
      <c r="F86" s="461"/>
      <c r="G86" s="461"/>
      <c r="H86" s="461"/>
      <c r="I86" s="461"/>
      <c r="J86" s="461"/>
      <c r="K86" s="461" t="s">
        <v>297</v>
      </c>
      <c r="L86" s="461"/>
      <c r="M86" s="461"/>
      <c r="N86" s="461"/>
      <c r="O86" s="461"/>
      <c r="P86" s="461"/>
      <c r="Q86" s="461"/>
      <c r="R86" s="461"/>
      <c r="S86" s="461"/>
      <c r="T86" s="461" t="s">
        <v>296</v>
      </c>
      <c r="U86" s="461"/>
      <c r="V86" s="462"/>
      <c r="W86" s="462"/>
      <c r="X86" s="462"/>
      <c r="Y86" s="463" t="s">
        <v>298</v>
      </c>
      <c r="Z86" s="463"/>
      <c r="AA86" s="463"/>
      <c r="AB86" s="463"/>
      <c r="AC86" s="463"/>
      <c r="AD86" s="464"/>
      <c r="AF86" s="50"/>
    </row>
    <row r="87" spans="1:32" ht="30.75" customHeight="1">
      <c r="A87" s="452">
        <v>2</v>
      </c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5"/>
      <c r="U87" s="455"/>
      <c r="V87" s="456"/>
      <c r="W87" s="456"/>
      <c r="X87" s="456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FF4C-2BEA-4467-9982-7F44ABB75AE4}">
  <sheetPr codeName="Sheet19"/>
  <dimension ref="A1:AF88"/>
  <sheetViews>
    <sheetView view="pageBreakPreview" zoomScale="70" zoomScaleNormal="72" zoomScaleSheetLayoutView="70" workbookViewId="0">
      <selection activeCell="T14" sqref="T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489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15" t="s">
        <v>17</v>
      </c>
      <c r="L5" s="315" t="s">
        <v>18</v>
      </c>
      <c r="M5" s="315" t="s">
        <v>19</v>
      </c>
      <c r="N5" s="3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407</v>
      </c>
      <c r="E6" s="53" t="s">
        <v>421</v>
      </c>
      <c r="F6" s="12" t="s">
        <v>128</v>
      </c>
      <c r="G6" s="12">
        <v>4</v>
      </c>
      <c r="H6" s="13">
        <v>24</v>
      </c>
      <c r="I6" s="31">
        <v>3000</v>
      </c>
      <c r="J6" s="14">
        <v>3238</v>
      </c>
      <c r="K6" s="15">
        <f>L6+3238</f>
        <v>3238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0.49019607843137258</v>
      </c>
      <c r="AF6" s="84">
        <f t="shared" ref="AF6:AF22" si="8">A6</f>
        <v>1</v>
      </c>
    </row>
    <row r="7" spans="1:32" ht="27" customHeight="1">
      <c r="A7" s="113">
        <v>2</v>
      </c>
      <c r="B7" s="11" t="s">
        <v>490</v>
      </c>
      <c r="C7" s="34" t="s">
        <v>120</v>
      </c>
      <c r="D7" s="52" t="s">
        <v>186</v>
      </c>
      <c r="E7" s="53" t="s">
        <v>405</v>
      </c>
      <c r="F7" s="12" t="s">
        <v>406</v>
      </c>
      <c r="G7" s="12">
        <v>4</v>
      </c>
      <c r="H7" s="13">
        <v>24</v>
      </c>
      <c r="I7" s="31">
        <v>1000</v>
      </c>
      <c r="J7" s="14">
        <v>2392</v>
      </c>
      <c r="K7" s="15">
        <f>L7</f>
        <v>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0.49019607843137258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11504</v>
      </c>
      <c r="K8" s="15">
        <f>L8+8404+12360+9142+12426+5790+11544+12480+12502+12376+12380+22896+24720+24328+24256</f>
        <v>217108</v>
      </c>
      <c r="L8" s="15">
        <f>2228*4+648*4</f>
        <v>11504</v>
      </c>
      <c r="M8" s="15">
        <f t="shared" si="0"/>
        <v>11504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0.49019607843137258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/>
      <c r="E9" s="53" t="s">
        <v>475</v>
      </c>
      <c r="F9" s="30" t="s">
        <v>476</v>
      </c>
      <c r="G9" s="33">
        <v>4</v>
      </c>
      <c r="H9" s="35">
        <v>24</v>
      </c>
      <c r="I9" s="7">
        <v>100000</v>
      </c>
      <c r="J9" s="14">
        <v>32552</v>
      </c>
      <c r="K9" s="15">
        <f>L9+30616</f>
        <v>63168</v>
      </c>
      <c r="L9" s="15">
        <f>4177*4+3961*4</f>
        <v>32552</v>
      </c>
      <c r="M9" s="15">
        <f t="shared" si="0"/>
        <v>32552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0.49019607843137258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12702</v>
      </c>
      <c r="K10" s="15">
        <f>L10+5588+11272+12940+13030+13250+11902+13058+13134+13002+13260+12430+11760+10656</f>
        <v>167984</v>
      </c>
      <c r="L10" s="15">
        <f>3285*2+3066*2</f>
        <v>12702</v>
      </c>
      <c r="M10" s="15">
        <f t="shared" si="0"/>
        <v>12702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0.49019607843137258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466</v>
      </c>
      <c r="F11" s="30" t="s">
        <v>444</v>
      </c>
      <c r="G11" s="33">
        <v>1</v>
      </c>
      <c r="H11" s="35">
        <v>24</v>
      </c>
      <c r="I11" s="7">
        <v>12000</v>
      </c>
      <c r="J11" s="14">
        <v>4981</v>
      </c>
      <c r="K11" s="15">
        <f>L11+3718</f>
        <v>8699</v>
      </c>
      <c r="L11" s="15">
        <f>2563+2418</f>
        <v>4981</v>
      </c>
      <c r="M11" s="15">
        <f t="shared" si="0"/>
        <v>4981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0.49019607843137258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133</v>
      </c>
      <c r="E12" s="53" t="s">
        <v>151</v>
      </c>
      <c r="F12" s="30" t="s">
        <v>131</v>
      </c>
      <c r="G12" s="33">
        <v>2</v>
      </c>
      <c r="H12" s="35">
        <v>24</v>
      </c>
      <c r="I12" s="7">
        <v>73000</v>
      </c>
      <c r="J12" s="14">
        <v>810</v>
      </c>
      <c r="K12" s="15">
        <f>L12+4200+2432+5144+6184+11076+3614+6628+6254+3106+5170+3731+10360+10382</f>
        <v>79091</v>
      </c>
      <c r="L12" s="15">
        <f>405*2</f>
        <v>810</v>
      </c>
      <c r="M12" s="15">
        <f t="shared" si="0"/>
        <v>810</v>
      </c>
      <c r="N12" s="15">
        <v>0</v>
      </c>
      <c r="O12" s="58">
        <f t="shared" si="1"/>
        <v>0</v>
      </c>
      <c r="P12" s="39">
        <f t="shared" si="2"/>
        <v>3</v>
      </c>
      <c r="Q12" s="40">
        <f t="shared" si="3"/>
        <v>21</v>
      </c>
      <c r="R12" s="7"/>
      <c r="S12" s="6"/>
      <c r="T12" s="16"/>
      <c r="U12" s="16"/>
      <c r="V12" s="17"/>
      <c r="W12" s="5">
        <v>21</v>
      </c>
      <c r="X12" s="16"/>
      <c r="Y12" s="16"/>
      <c r="Z12" s="16"/>
      <c r="AA12" s="18"/>
      <c r="AB12" s="8">
        <f t="shared" si="4"/>
        <v>1</v>
      </c>
      <c r="AC12" s="9">
        <f t="shared" si="5"/>
        <v>0.125</v>
      </c>
      <c r="AD12" s="10">
        <f t="shared" si="9"/>
        <v>0.125</v>
      </c>
      <c r="AE12" s="36">
        <f t="shared" si="7"/>
        <v>0.49019607843137258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8464</v>
      </c>
      <c r="K13" s="15">
        <f>L13+10230+8758+7458+4298+5694+7524+3000+9774+6592+11326+12144+11050+10802+10910+9796+3412+4942</f>
        <v>146174</v>
      </c>
      <c r="L13" s="15">
        <f>1965*2+2267*2</f>
        <v>8464</v>
      </c>
      <c r="M13" s="15">
        <f t="shared" si="0"/>
        <v>8464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>AC13*AB13*(1-O13)</f>
        <v>0.79166666666666663</v>
      </c>
      <c r="AE13" s="36">
        <f t="shared" si="7"/>
        <v>0.49019607843137258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0.49019607843137258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429</v>
      </c>
      <c r="D15" s="52" t="s">
        <v>117</v>
      </c>
      <c r="E15" s="53" t="s">
        <v>441</v>
      </c>
      <c r="F15" s="12" t="s">
        <v>445</v>
      </c>
      <c r="G15" s="12">
        <v>2</v>
      </c>
      <c r="H15" s="13">
        <v>24</v>
      </c>
      <c r="I15" s="31">
        <v>10000</v>
      </c>
      <c r="J15" s="14">
        <v>13572</v>
      </c>
      <c r="K15" s="15">
        <f>L15+1868+6418+13572</f>
        <v>21858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0.49019607843137258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0.49019607843137258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130</v>
      </c>
      <c r="E17" s="53" t="s">
        <v>271</v>
      </c>
      <c r="F17" s="30" t="s">
        <v>187</v>
      </c>
      <c r="G17" s="12">
        <v>1</v>
      </c>
      <c r="H17" s="13">
        <v>24</v>
      </c>
      <c r="I17" s="7">
        <v>38000</v>
      </c>
      <c r="J17" s="14">
        <v>6048</v>
      </c>
      <c r="K17" s="15">
        <f>L17+3089+6204+6218+6271</f>
        <v>27830</v>
      </c>
      <c r="L17" s="15">
        <f>3093+2955</f>
        <v>6048</v>
      </c>
      <c r="M17" s="15">
        <f t="shared" si="0"/>
        <v>6048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0.49019607843137258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123</v>
      </c>
      <c r="D18" s="52"/>
      <c r="E18" s="53" t="s">
        <v>465</v>
      </c>
      <c r="F18" s="30" t="s">
        <v>477</v>
      </c>
      <c r="G18" s="33">
        <v>1</v>
      </c>
      <c r="H18" s="35">
        <v>24</v>
      </c>
      <c r="I18" s="7">
        <v>12000</v>
      </c>
      <c r="J18" s="14">
        <v>3675</v>
      </c>
      <c r="K18" s="15">
        <f>L18+5350</f>
        <v>9025</v>
      </c>
      <c r="L18" s="15">
        <f>885+2790</f>
        <v>3675</v>
      </c>
      <c r="M18" s="15">
        <f t="shared" si="0"/>
        <v>3675</v>
      </c>
      <c r="N18" s="15">
        <v>0</v>
      </c>
      <c r="O18" s="58">
        <f t="shared" si="1"/>
        <v>0</v>
      </c>
      <c r="P18" s="39">
        <f t="shared" si="2"/>
        <v>15</v>
      </c>
      <c r="Q18" s="40">
        <f t="shared" si="3"/>
        <v>9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0.625</v>
      </c>
      <c r="AD18" s="10">
        <f t="shared" si="6"/>
        <v>0.625</v>
      </c>
      <c r="AE18" s="36">
        <f t="shared" si="7"/>
        <v>0.49019607843137258</v>
      </c>
      <c r="AF18" s="84">
        <f t="shared" si="8"/>
        <v>13</v>
      </c>
    </row>
    <row r="19" spans="1:32" ht="27" customHeight="1">
      <c r="A19" s="96">
        <v>14</v>
      </c>
      <c r="B19" s="11" t="s">
        <v>490</v>
      </c>
      <c r="C19" s="11" t="s">
        <v>120</v>
      </c>
      <c r="D19" s="52" t="s">
        <v>115</v>
      </c>
      <c r="E19" s="53" t="s">
        <v>459</v>
      </c>
      <c r="F19" s="30" t="s">
        <v>444</v>
      </c>
      <c r="G19" s="33">
        <v>1</v>
      </c>
      <c r="H19" s="35">
        <v>24</v>
      </c>
      <c r="I19" s="7">
        <v>1000</v>
      </c>
      <c r="J19" s="14">
        <v>1160</v>
      </c>
      <c r="K19" s="15">
        <f>L19</f>
        <v>1160</v>
      </c>
      <c r="L19" s="15">
        <f>290*4</f>
        <v>1160</v>
      </c>
      <c r="M19" s="15">
        <f t="shared" ref="M19" si="10">L19-N19</f>
        <v>1160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4</v>
      </c>
      <c r="Q19" s="40">
        <f t="shared" ref="Q19" si="13">SUM(R19:AA19)</f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0.16666666666666666</v>
      </c>
      <c r="AD19" s="10">
        <f t="shared" ref="AD19" si="16">AC19*AB19*(1-O19)</f>
        <v>0.16666666666666666</v>
      </c>
      <c r="AE19" s="36">
        <f t="shared" si="7"/>
        <v>0.49019607843137258</v>
      </c>
      <c r="AF19" s="84">
        <f t="shared" ref="AF19" si="17">A19</f>
        <v>14</v>
      </c>
    </row>
    <row r="20" spans="1:32" ht="27" customHeight="1">
      <c r="A20" s="96">
        <v>14</v>
      </c>
      <c r="B20" s="11" t="s">
        <v>57</v>
      </c>
      <c r="C20" s="11" t="s">
        <v>121</v>
      </c>
      <c r="D20" s="52" t="s">
        <v>375</v>
      </c>
      <c r="E20" s="53" t="s">
        <v>291</v>
      </c>
      <c r="F20" s="30" t="s">
        <v>124</v>
      </c>
      <c r="G20" s="33">
        <v>1</v>
      </c>
      <c r="H20" s="35">
        <v>24</v>
      </c>
      <c r="I20" s="7">
        <v>2000</v>
      </c>
      <c r="J20" s="14">
        <v>2150</v>
      </c>
      <c r="K20" s="15">
        <f>L20+2190</f>
        <v>4340</v>
      </c>
      <c r="L20" s="15">
        <v>2150</v>
      </c>
      <c r="M20" s="15">
        <f t="shared" si="0"/>
        <v>2150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/>
      <c r="T20" s="16"/>
      <c r="U20" s="16"/>
      <c r="V20" s="17"/>
      <c r="W20" s="5">
        <v>14</v>
      </c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0.49019607843137258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200</v>
      </c>
      <c r="F21" s="30" t="s">
        <v>124</v>
      </c>
      <c r="G21" s="12">
        <v>2</v>
      </c>
      <c r="H21" s="13">
        <v>28</v>
      </c>
      <c r="I21" s="31">
        <v>400000</v>
      </c>
      <c r="J21" s="5">
        <v>12484</v>
      </c>
      <c r="K21" s="15">
        <f>L21+6852+6648+9128+6400+11510+3498+11566+8822+12584+12228+12656+7910+6546+12588</f>
        <v>141420</v>
      </c>
      <c r="L21" s="15">
        <f>3218*2+3024*2</f>
        <v>12484</v>
      </c>
      <c r="M21" s="15">
        <f t="shared" si="0"/>
        <v>12484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0.49019607843137258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134</v>
      </c>
      <c r="F22" s="12" t="s">
        <v>114</v>
      </c>
      <c r="G22" s="12">
        <v>4</v>
      </c>
      <c r="H22" s="35">
        <v>20</v>
      </c>
      <c r="I22" s="7">
        <v>500000</v>
      </c>
      <c r="J22" s="14">
        <v>33716</v>
      </c>
      <c r="K22" s="15">
        <f>L22+31044+37988+37244</f>
        <v>139992</v>
      </c>
      <c r="L22" s="15">
        <f>8429*4</f>
        <v>33716</v>
      </c>
      <c r="M22" s="15">
        <f t="shared" si="0"/>
        <v>33716</v>
      </c>
      <c r="N22" s="15">
        <v>0</v>
      </c>
      <c r="O22" s="58">
        <f t="shared" si="1"/>
        <v>0</v>
      </c>
      <c r="P22" s="39">
        <f t="shared" si="2"/>
        <v>15</v>
      </c>
      <c r="Q22" s="40">
        <f t="shared" si="3"/>
        <v>9</v>
      </c>
      <c r="R22" s="7"/>
      <c r="S22" s="6"/>
      <c r="T22" s="16"/>
      <c r="U22" s="16"/>
      <c r="V22" s="17">
        <v>9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0.625</v>
      </c>
      <c r="AD22" s="10">
        <f t="shared" si="6"/>
        <v>0.625</v>
      </c>
      <c r="AE22" s="36">
        <f t="shared" si="7"/>
        <v>0.49019607843137258</v>
      </c>
      <c r="AF22" s="84">
        <f t="shared" si="8"/>
        <v>16</v>
      </c>
    </row>
    <row r="23" spans="1:32" ht="31.5" customHeight="1" thickBot="1">
      <c r="A23" s="529" t="s">
        <v>34</v>
      </c>
      <c r="B23" s="530"/>
      <c r="C23" s="530"/>
      <c r="D23" s="530"/>
      <c r="E23" s="530"/>
      <c r="F23" s="530"/>
      <c r="G23" s="530"/>
      <c r="H23" s="531"/>
      <c r="I23" s="22">
        <f t="shared" ref="I23:N23" si="18">SUM(I6:I22)</f>
        <v>2862800</v>
      </c>
      <c r="J23" s="19">
        <f t="shared" si="18"/>
        <v>150272</v>
      </c>
      <c r="K23" s="20">
        <f t="shared" si="18"/>
        <v>1032153</v>
      </c>
      <c r="L23" s="21">
        <f t="shared" si="18"/>
        <v>130246</v>
      </c>
      <c r="M23" s="20">
        <f t="shared" si="18"/>
        <v>130246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200</v>
      </c>
      <c r="Q23" s="43">
        <f t="shared" si="19"/>
        <v>208</v>
      </c>
      <c r="R23" s="23">
        <f t="shared" si="19"/>
        <v>24</v>
      </c>
      <c r="S23" s="24">
        <f t="shared" si="19"/>
        <v>48</v>
      </c>
      <c r="T23" s="24">
        <f t="shared" si="19"/>
        <v>0</v>
      </c>
      <c r="U23" s="24">
        <f t="shared" si="19"/>
        <v>0</v>
      </c>
      <c r="V23" s="25">
        <f t="shared" si="19"/>
        <v>33</v>
      </c>
      <c r="W23" s="26">
        <f t="shared" si="19"/>
        <v>79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24</v>
      </c>
      <c r="AB23" s="28">
        <f>AVERAGE(AB6:AB22)</f>
        <v>0.70588235294117652</v>
      </c>
      <c r="AC23" s="4">
        <f>AVERAGE(AC6:AC22)</f>
        <v>0.49019607843137258</v>
      </c>
      <c r="AD23" s="4">
        <f>AVERAGE(AD6:AD22)</f>
        <v>0.49019607843137258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32" t="s">
        <v>45</v>
      </c>
      <c r="B50" s="532"/>
      <c r="C50" s="532"/>
      <c r="D50" s="532"/>
      <c r="E50" s="53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33" t="s">
        <v>491</v>
      </c>
      <c r="B51" s="534"/>
      <c r="C51" s="534"/>
      <c r="D51" s="534"/>
      <c r="E51" s="534"/>
      <c r="F51" s="534"/>
      <c r="G51" s="534"/>
      <c r="H51" s="534"/>
      <c r="I51" s="534"/>
      <c r="J51" s="534"/>
      <c r="K51" s="534"/>
      <c r="L51" s="534"/>
      <c r="M51" s="535"/>
      <c r="N51" s="536" t="s">
        <v>495</v>
      </c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8"/>
    </row>
    <row r="52" spans="1:32" ht="27" customHeight="1">
      <c r="A52" s="539" t="s">
        <v>2</v>
      </c>
      <c r="B52" s="540"/>
      <c r="C52" s="316" t="s">
        <v>46</v>
      </c>
      <c r="D52" s="316" t="s">
        <v>47</v>
      </c>
      <c r="E52" s="316" t="s">
        <v>107</v>
      </c>
      <c r="F52" s="541" t="s">
        <v>106</v>
      </c>
      <c r="G52" s="542"/>
      <c r="H52" s="542"/>
      <c r="I52" s="542"/>
      <c r="J52" s="542"/>
      <c r="K52" s="542"/>
      <c r="L52" s="542"/>
      <c r="M52" s="543"/>
      <c r="N52" s="67" t="s">
        <v>110</v>
      </c>
      <c r="O52" s="316" t="s">
        <v>46</v>
      </c>
      <c r="P52" s="541" t="s">
        <v>47</v>
      </c>
      <c r="Q52" s="544"/>
      <c r="R52" s="541" t="s">
        <v>38</v>
      </c>
      <c r="S52" s="542"/>
      <c r="T52" s="542"/>
      <c r="U52" s="544"/>
      <c r="V52" s="541" t="s">
        <v>48</v>
      </c>
      <c r="W52" s="542"/>
      <c r="X52" s="542"/>
      <c r="Y52" s="542"/>
      <c r="Z52" s="542"/>
      <c r="AA52" s="542"/>
      <c r="AB52" s="542"/>
      <c r="AC52" s="542"/>
      <c r="AD52" s="543"/>
    </row>
    <row r="53" spans="1:32" ht="27" customHeight="1">
      <c r="A53" s="510" t="s">
        <v>121</v>
      </c>
      <c r="B53" s="511"/>
      <c r="C53" s="318" t="s">
        <v>144</v>
      </c>
      <c r="D53" s="318" t="s">
        <v>115</v>
      </c>
      <c r="E53" s="318" t="s">
        <v>160</v>
      </c>
      <c r="F53" s="512" t="s">
        <v>492</v>
      </c>
      <c r="G53" s="513"/>
      <c r="H53" s="513"/>
      <c r="I53" s="513"/>
      <c r="J53" s="513"/>
      <c r="K53" s="513"/>
      <c r="L53" s="513"/>
      <c r="M53" s="514"/>
      <c r="N53" s="317" t="s">
        <v>121</v>
      </c>
      <c r="O53" s="323" t="s">
        <v>144</v>
      </c>
      <c r="P53" s="524" t="s">
        <v>115</v>
      </c>
      <c r="Q53" s="525"/>
      <c r="R53" s="524" t="s">
        <v>160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121</v>
      </c>
      <c r="B54" s="511"/>
      <c r="C54" s="318" t="s">
        <v>229</v>
      </c>
      <c r="D54" s="318" t="s">
        <v>141</v>
      </c>
      <c r="E54" s="318" t="s">
        <v>419</v>
      </c>
      <c r="F54" s="512" t="s">
        <v>322</v>
      </c>
      <c r="G54" s="513"/>
      <c r="H54" s="513"/>
      <c r="I54" s="513"/>
      <c r="J54" s="513"/>
      <c r="K54" s="513"/>
      <c r="L54" s="513"/>
      <c r="M54" s="514"/>
      <c r="N54" s="317" t="s">
        <v>121</v>
      </c>
      <c r="O54" s="323" t="s">
        <v>267</v>
      </c>
      <c r="P54" s="524" t="s">
        <v>482</v>
      </c>
      <c r="Q54" s="525"/>
      <c r="R54" s="524" t="s">
        <v>483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72" t="s">
        <v>120</v>
      </c>
      <c r="B55" s="525"/>
      <c r="C55" s="318" t="s">
        <v>201</v>
      </c>
      <c r="D55" s="318" t="s">
        <v>115</v>
      </c>
      <c r="E55" s="318" t="s">
        <v>459</v>
      </c>
      <c r="F55" s="512" t="s">
        <v>354</v>
      </c>
      <c r="G55" s="513"/>
      <c r="H55" s="513"/>
      <c r="I55" s="513"/>
      <c r="J55" s="513"/>
      <c r="K55" s="513"/>
      <c r="L55" s="513"/>
      <c r="M55" s="514"/>
      <c r="N55" s="317" t="s">
        <v>123</v>
      </c>
      <c r="O55" s="323" t="s">
        <v>197</v>
      </c>
      <c r="P55" s="524" t="s">
        <v>115</v>
      </c>
      <c r="Q55" s="525"/>
      <c r="R55" s="524" t="s">
        <v>465</v>
      </c>
      <c r="S55" s="526"/>
      <c r="T55" s="526"/>
      <c r="U55" s="525"/>
      <c r="V55" s="496" t="s">
        <v>180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123</v>
      </c>
      <c r="B56" s="511"/>
      <c r="C56" s="318" t="s">
        <v>197</v>
      </c>
      <c r="D56" s="318"/>
      <c r="E56" s="318" t="s">
        <v>465</v>
      </c>
      <c r="F56" s="512" t="s">
        <v>493</v>
      </c>
      <c r="G56" s="513"/>
      <c r="H56" s="513"/>
      <c r="I56" s="513"/>
      <c r="J56" s="513"/>
      <c r="K56" s="513"/>
      <c r="L56" s="513"/>
      <c r="M56" s="514"/>
      <c r="N56" s="317" t="s">
        <v>120</v>
      </c>
      <c r="O56" s="323" t="s">
        <v>201</v>
      </c>
      <c r="P56" s="524" t="s">
        <v>115</v>
      </c>
      <c r="Q56" s="525"/>
      <c r="R56" s="524" t="s">
        <v>496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121</v>
      </c>
      <c r="B57" s="511"/>
      <c r="C57" s="318" t="s">
        <v>201</v>
      </c>
      <c r="D57" s="318" t="s">
        <v>375</v>
      </c>
      <c r="E57" s="318" t="s">
        <v>291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317"/>
      <c r="O57" s="323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121</v>
      </c>
      <c r="B58" s="511"/>
      <c r="C58" s="318" t="s">
        <v>267</v>
      </c>
      <c r="D58" s="318" t="s">
        <v>482</v>
      </c>
      <c r="E58" s="318" t="s">
        <v>483</v>
      </c>
      <c r="F58" s="512" t="s">
        <v>494</v>
      </c>
      <c r="G58" s="513"/>
      <c r="H58" s="513"/>
      <c r="I58" s="513"/>
      <c r="J58" s="513"/>
      <c r="K58" s="513"/>
      <c r="L58" s="513"/>
      <c r="M58" s="514"/>
      <c r="N58" s="317"/>
      <c r="O58" s="323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327"/>
      <c r="D59" s="327"/>
      <c r="E59" s="318"/>
      <c r="F59" s="512"/>
      <c r="G59" s="513"/>
      <c r="H59" s="513"/>
      <c r="I59" s="513"/>
      <c r="J59" s="513"/>
      <c r="K59" s="513"/>
      <c r="L59" s="513"/>
      <c r="M59" s="514"/>
      <c r="N59" s="317"/>
      <c r="O59" s="323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/>
      <c r="B60" s="568"/>
      <c r="C60" s="327"/>
      <c r="D60" s="327"/>
      <c r="E60" s="318"/>
      <c r="F60" s="512"/>
      <c r="G60" s="513"/>
      <c r="H60" s="513"/>
      <c r="I60" s="513"/>
      <c r="J60" s="513"/>
      <c r="K60" s="513"/>
      <c r="L60" s="513"/>
      <c r="M60" s="514"/>
      <c r="N60" s="317"/>
      <c r="O60" s="323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318"/>
      <c r="D61" s="318"/>
      <c r="E61" s="318"/>
      <c r="F61" s="512"/>
      <c r="G61" s="513"/>
      <c r="H61" s="513"/>
      <c r="I61" s="513"/>
      <c r="J61" s="513"/>
      <c r="K61" s="513"/>
      <c r="L61" s="513"/>
      <c r="M61" s="514"/>
      <c r="N61" s="317"/>
      <c r="O61" s="323"/>
      <c r="P61" s="511"/>
      <c r="Q61" s="511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  <c r="AF61" s="84">
        <f>8*3000</f>
        <v>24000</v>
      </c>
    </row>
    <row r="62" spans="1:32" ht="27" customHeight="1" thickBot="1">
      <c r="A62" s="516"/>
      <c r="B62" s="517"/>
      <c r="C62" s="319"/>
      <c r="D62" s="320"/>
      <c r="E62" s="320"/>
      <c r="F62" s="518"/>
      <c r="G62" s="519"/>
      <c r="H62" s="519"/>
      <c r="I62" s="519"/>
      <c r="J62" s="519"/>
      <c r="K62" s="519"/>
      <c r="L62" s="519"/>
      <c r="M62" s="520"/>
      <c r="N62" s="112"/>
      <c r="O62" s="103"/>
      <c r="P62" s="521"/>
      <c r="Q62" s="521"/>
      <c r="R62" s="521"/>
      <c r="S62" s="521"/>
      <c r="T62" s="521"/>
      <c r="U62" s="521"/>
      <c r="V62" s="522"/>
      <c r="W62" s="522"/>
      <c r="X62" s="522"/>
      <c r="Y62" s="522"/>
      <c r="Z62" s="522"/>
      <c r="AA62" s="522"/>
      <c r="AB62" s="522"/>
      <c r="AC62" s="522"/>
      <c r="AD62" s="523"/>
      <c r="AF62" s="84">
        <f>16*3000</f>
        <v>48000</v>
      </c>
    </row>
    <row r="63" spans="1:32" ht="27.75" thickBot="1">
      <c r="A63" s="508" t="s">
        <v>497</v>
      </c>
      <c r="B63" s="508"/>
      <c r="C63" s="508"/>
      <c r="D63" s="508"/>
      <c r="E63" s="50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09" t="s">
        <v>111</v>
      </c>
      <c r="B64" s="503"/>
      <c r="C64" s="321" t="s">
        <v>2</v>
      </c>
      <c r="D64" s="321" t="s">
        <v>37</v>
      </c>
      <c r="E64" s="321" t="s">
        <v>3</v>
      </c>
      <c r="F64" s="503" t="s">
        <v>109</v>
      </c>
      <c r="G64" s="503"/>
      <c r="H64" s="503"/>
      <c r="I64" s="503"/>
      <c r="J64" s="503"/>
      <c r="K64" s="503" t="s">
        <v>39</v>
      </c>
      <c r="L64" s="503"/>
      <c r="M64" s="321" t="s">
        <v>40</v>
      </c>
      <c r="N64" s="503" t="s">
        <v>41</v>
      </c>
      <c r="O64" s="503"/>
      <c r="P64" s="500" t="s">
        <v>42</v>
      </c>
      <c r="Q64" s="502"/>
      <c r="R64" s="500" t="s">
        <v>43</v>
      </c>
      <c r="S64" s="501"/>
      <c r="T64" s="501"/>
      <c r="U64" s="501"/>
      <c r="V64" s="501"/>
      <c r="W64" s="501"/>
      <c r="X64" s="501"/>
      <c r="Y64" s="501"/>
      <c r="Z64" s="501"/>
      <c r="AA64" s="502"/>
      <c r="AB64" s="503" t="s">
        <v>44</v>
      </c>
      <c r="AC64" s="503"/>
      <c r="AD64" s="504"/>
      <c r="AF64" s="84">
        <f>SUM(AF61:AF63)</f>
        <v>96000</v>
      </c>
    </row>
    <row r="65" spans="1:32" ht="25.5" customHeight="1">
      <c r="A65" s="491">
        <v>1</v>
      </c>
      <c r="B65" s="492"/>
      <c r="C65" s="105" t="s">
        <v>120</v>
      </c>
      <c r="D65" s="325"/>
      <c r="E65" s="322" t="s">
        <v>186</v>
      </c>
      <c r="F65" s="497" t="s">
        <v>405</v>
      </c>
      <c r="G65" s="498"/>
      <c r="H65" s="498"/>
      <c r="I65" s="498"/>
      <c r="J65" s="499"/>
      <c r="K65" s="485" t="s">
        <v>406</v>
      </c>
      <c r="L65" s="485"/>
      <c r="M65" s="51" t="s">
        <v>188</v>
      </c>
      <c r="N65" s="494" t="s">
        <v>189</v>
      </c>
      <c r="O65" s="494"/>
      <c r="P65" s="495"/>
      <c r="Q65" s="495"/>
      <c r="R65" s="496" t="s">
        <v>498</v>
      </c>
      <c r="S65" s="496"/>
      <c r="T65" s="496"/>
      <c r="U65" s="496"/>
      <c r="V65" s="496"/>
      <c r="W65" s="496"/>
      <c r="X65" s="496"/>
      <c r="Y65" s="496"/>
      <c r="Z65" s="496"/>
      <c r="AA65" s="496"/>
      <c r="AB65" s="505"/>
      <c r="AC65" s="506"/>
      <c r="AD65" s="507"/>
      <c r="AF65" s="50"/>
    </row>
    <row r="66" spans="1:32" ht="25.5" customHeight="1">
      <c r="A66" s="491">
        <v>2</v>
      </c>
      <c r="B66" s="492"/>
      <c r="C66" s="105" t="s">
        <v>120</v>
      </c>
      <c r="D66" s="325"/>
      <c r="E66" s="322" t="s">
        <v>115</v>
      </c>
      <c r="F66" s="497" t="s">
        <v>459</v>
      </c>
      <c r="G66" s="498"/>
      <c r="H66" s="498"/>
      <c r="I66" s="498"/>
      <c r="J66" s="499"/>
      <c r="K66" s="485" t="s">
        <v>119</v>
      </c>
      <c r="L66" s="485"/>
      <c r="M66" s="51" t="s">
        <v>188</v>
      </c>
      <c r="N66" s="494" t="s">
        <v>201</v>
      </c>
      <c r="O66" s="494"/>
      <c r="P66" s="495">
        <v>200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3</v>
      </c>
      <c r="B67" s="492"/>
      <c r="C67" s="105" t="s">
        <v>121</v>
      </c>
      <c r="D67" s="325"/>
      <c r="E67" s="322" t="s">
        <v>186</v>
      </c>
      <c r="F67" s="497" t="s">
        <v>185</v>
      </c>
      <c r="G67" s="498"/>
      <c r="H67" s="498"/>
      <c r="I67" s="498"/>
      <c r="J67" s="499"/>
      <c r="K67" s="485" t="s">
        <v>187</v>
      </c>
      <c r="L67" s="485"/>
      <c r="M67" s="51" t="s">
        <v>436</v>
      </c>
      <c r="N67" s="494" t="s">
        <v>174</v>
      </c>
      <c r="O67" s="494"/>
      <c r="P67" s="495"/>
      <c r="Q67" s="495"/>
      <c r="R67" s="496" t="s">
        <v>499</v>
      </c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4</v>
      </c>
      <c r="B68" s="492"/>
      <c r="C68" s="105" t="s">
        <v>121</v>
      </c>
      <c r="D68" s="325"/>
      <c r="E68" s="322" t="s">
        <v>115</v>
      </c>
      <c r="F68" s="497" t="s">
        <v>278</v>
      </c>
      <c r="G68" s="498"/>
      <c r="H68" s="498"/>
      <c r="I68" s="498"/>
      <c r="J68" s="499"/>
      <c r="K68" s="485" t="s">
        <v>124</v>
      </c>
      <c r="L68" s="485"/>
      <c r="M68" s="51" t="s">
        <v>188</v>
      </c>
      <c r="N68" s="494" t="s">
        <v>201</v>
      </c>
      <c r="O68" s="494"/>
      <c r="P68" s="495">
        <v>100</v>
      </c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5</v>
      </c>
      <c r="B69" s="492"/>
      <c r="C69" s="105"/>
      <c r="D69" s="325"/>
      <c r="E69" s="322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6</v>
      </c>
      <c r="B70" s="492"/>
      <c r="C70" s="105"/>
      <c r="D70" s="325"/>
      <c r="E70" s="322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7</v>
      </c>
      <c r="B71" s="492"/>
      <c r="C71" s="105"/>
      <c r="D71" s="325"/>
      <c r="E71" s="322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8</v>
      </c>
      <c r="B72" s="492"/>
      <c r="C72" s="105"/>
      <c r="D72" s="325"/>
      <c r="E72" s="322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9</v>
      </c>
      <c r="B73" s="492"/>
      <c r="C73" s="105"/>
      <c r="D73" s="325"/>
      <c r="E73" s="322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10</v>
      </c>
      <c r="B74" s="492"/>
      <c r="C74" s="105"/>
      <c r="D74" s="325"/>
      <c r="E74" s="322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6.25" customHeight="1" thickBot="1">
      <c r="A75" s="465" t="s">
        <v>500</v>
      </c>
      <c r="B75" s="465"/>
      <c r="C75" s="465"/>
      <c r="D75" s="465"/>
      <c r="E75" s="46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66" t="s">
        <v>111</v>
      </c>
      <c r="B76" s="467"/>
      <c r="C76" s="324" t="s">
        <v>2</v>
      </c>
      <c r="D76" s="324" t="s">
        <v>37</v>
      </c>
      <c r="E76" s="324" t="s">
        <v>273</v>
      </c>
      <c r="F76" s="467" t="s">
        <v>38</v>
      </c>
      <c r="G76" s="467"/>
      <c r="H76" s="467"/>
      <c r="I76" s="467"/>
      <c r="J76" s="467"/>
      <c r="K76" s="487" t="s">
        <v>58</v>
      </c>
      <c r="L76" s="488"/>
      <c r="M76" s="488"/>
      <c r="N76" s="488"/>
      <c r="O76" s="488"/>
      <c r="P76" s="488"/>
      <c r="Q76" s="488"/>
      <c r="R76" s="488"/>
      <c r="S76" s="489"/>
      <c r="T76" s="467" t="s">
        <v>49</v>
      </c>
      <c r="U76" s="467"/>
      <c r="V76" s="487" t="s">
        <v>50</v>
      </c>
      <c r="W76" s="489"/>
      <c r="X76" s="488" t="s">
        <v>51</v>
      </c>
      <c r="Y76" s="488"/>
      <c r="Z76" s="488"/>
      <c r="AA76" s="488"/>
      <c r="AB76" s="488"/>
      <c r="AC76" s="488"/>
      <c r="AD76" s="490"/>
      <c r="AF76" s="50"/>
    </row>
    <row r="77" spans="1:32" ht="33.75" customHeight="1">
      <c r="A77" s="459">
        <v>1</v>
      </c>
      <c r="B77" s="460"/>
      <c r="C77" s="326" t="s">
        <v>112</v>
      </c>
      <c r="D77" s="326"/>
      <c r="E77" s="65" t="s">
        <v>117</v>
      </c>
      <c r="F77" s="474" t="s">
        <v>116</v>
      </c>
      <c r="G77" s="475"/>
      <c r="H77" s="475"/>
      <c r="I77" s="475"/>
      <c r="J77" s="476"/>
      <c r="K77" s="477" t="s">
        <v>122</v>
      </c>
      <c r="L77" s="478"/>
      <c r="M77" s="478"/>
      <c r="N77" s="478"/>
      <c r="O77" s="478"/>
      <c r="P77" s="478"/>
      <c r="Q77" s="478"/>
      <c r="R77" s="478"/>
      <c r="S77" s="479"/>
      <c r="T77" s="480">
        <v>43675</v>
      </c>
      <c r="U77" s="481"/>
      <c r="V77" s="482"/>
      <c r="W77" s="482"/>
      <c r="X77" s="483"/>
      <c r="Y77" s="483"/>
      <c r="Z77" s="483"/>
      <c r="AA77" s="483"/>
      <c r="AB77" s="483"/>
      <c r="AC77" s="483"/>
      <c r="AD77" s="484"/>
      <c r="AF77" s="50"/>
    </row>
    <row r="78" spans="1:32" ht="30" customHeight="1">
      <c r="A78" s="452">
        <f>A77+1</f>
        <v>2</v>
      </c>
      <c r="B78" s="453"/>
      <c r="C78" s="325"/>
      <c r="D78" s="325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ref="A79:A83" si="20">A78+1</f>
        <v>3</v>
      </c>
      <c r="B79" s="453"/>
      <c r="C79" s="325"/>
      <c r="D79" s="325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20"/>
        <v>4</v>
      </c>
      <c r="B80" s="453"/>
      <c r="C80" s="325"/>
      <c r="D80" s="325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20"/>
        <v>5</v>
      </c>
      <c r="B81" s="453"/>
      <c r="C81" s="325"/>
      <c r="D81" s="325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0"/>
        <v>6</v>
      </c>
      <c r="B82" s="453"/>
      <c r="C82" s="325"/>
      <c r="D82" s="325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20"/>
        <v>7</v>
      </c>
      <c r="B83" s="453"/>
      <c r="C83" s="325"/>
      <c r="D83" s="325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6" thickBot="1">
      <c r="A84" s="465" t="s">
        <v>501</v>
      </c>
      <c r="B84" s="465"/>
      <c r="C84" s="465"/>
      <c r="D84" s="465"/>
      <c r="E84" s="46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66" t="s">
        <v>111</v>
      </c>
      <c r="B85" s="467"/>
      <c r="C85" s="457" t="s">
        <v>52</v>
      </c>
      <c r="D85" s="457"/>
      <c r="E85" s="457" t="s">
        <v>53</v>
      </c>
      <c r="F85" s="457"/>
      <c r="G85" s="457"/>
      <c r="H85" s="457"/>
      <c r="I85" s="457"/>
      <c r="J85" s="457"/>
      <c r="K85" s="457" t="s">
        <v>54</v>
      </c>
      <c r="L85" s="457"/>
      <c r="M85" s="457"/>
      <c r="N85" s="457"/>
      <c r="O85" s="457"/>
      <c r="P85" s="457"/>
      <c r="Q85" s="457"/>
      <c r="R85" s="457"/>
      <c r="S85" s="457"/>
      <c r="T85" s="457" t="s">
        <v>55</v>
      </c>
      <c r="U85" s="457"/>
      <c r="V85" s="457" t="s">
        <v>56</v>
      </c>
      <c r="W85" s="457"/>
      <c r="X85" s="457"/>
      <c r="Y85" s="457" t="s">
        <v>51</v>
      </c>
      <c r="Z85" s="457"/>
      <c r="AA85" s="457"/>
      <c r="AB85" s="457"/>
      <c r="AC85" s="457"/>
      <c r="AD85" s="458"/>
      <c r="AF85" s="50"/>
    </row>
    <row r="86" spans="1:32" ht="30.75" customHeight="1">
      <c r="A86" s="459">
        <v>1</v>
      </c>
      <c r="B86" s="460"/>
      <c r="C86" s="461">
        <v>11</v>
      </c>
      <c r="D86" s="461"/>
      <c r="E86" s="461" t="s">
        <v>295</v>
      </c>
      <c r="F86" s="461"/>
      <c r="G86" s="461"/>
      <c r="H86" s="461"/>
      <c r="I86" s="461"/>
      <c r="J86" s="461"/>
      <c r="K86" s="461" t="s">
        <v>297</v>
      </c>
      <c r="L86" s="461"/>
      <c r="M86" s="461"/>
      <c r="N86" s="461"/>
      <c r="O86" s="461"/>
      <c r="P86" s="461"/>
      <c r="Q86" s="461"/>
      <c r="R86" s="461"/>
      <c r="S86" s="461"/>
      <c r="T86" s="461" t="s">
        <v>296</v>
      </c>
      <c r="U86" s="461"/>
      <c r="V86" s="462"/>
      <c r="W86" s="462"/>
      <c r="X86" s="462"/>
      <c r="Y86" s="463" t="s">
        <v>298</v>
      </c>
      <c r="Z86" s="463"/>
      <c r="AA86" s="463"/>
      <c r="AB86" s="463"/>
      <c r="AC86" s="463"/>
      <c r="AD86" s="464"/>
      <c r="AF86" s="50"/>
    </row>
    <row r="87" spans="1:32" ht="30.75" customHeight="1">
      <c r="A87" s="452">
        <v>2</v>
      </c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5"/>
      <c r="U87" s="455"/>
      <c r="V87" s="456"/>
      <c r="W87" s="456"/>
      <c r="X87" s="456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9932-F80E-43FA-9049-5618B7A1E17B}">
  <sheetPr codeName="Sheet20"/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502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39" t="s">
        <v>17</v>
      </c>
      <c r="L5" s="339" t="s">
        <v>18</v>
      </c>
      <c r="M5" s="339" t="s">
        <v>19</v>
      </c>
      <c r="N5" s="33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407</v>
      </c>
      <c r="E6" s="53" t="s">
        <v>421</v>
      </c>
      <c r="F6" s="12" t="s">
        <v>128</v>
      </c>
      <c r="G6" s="12">
        <v>4</v>
      </c>
      <c r="H6" s="13">
        <v>24</v>
      </c>
      <c r="I6" s="31">
        <v>3000</v>
      </c>
      <c r="J6" s="14">
        <v>3238</v>
      </c>
      <c r="K6" s="15">
        <f>L6+3238</f>
        <v>3238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0.55208333333333326</v>
      </c>
      <c r="AF6" s="84">
        <f t="shared" ref="AF6:AF21" si="8">A6</f>
        <v>1</v>
      </c>
    </row>
    <row r="7" spans="1:32" ht="27" customHeight="1">
      <c r="A7" s="113">
        <v>2</v>
      </c>
      <c r="B7" s="11" t="s">
        <v>490</v>
      </c>
      <c r="C7" s="34" t="s">
        <v>120</v>
      </c>
      <c r="D7" s="52" t="s">
        <v>186</v>
      </c>
      <c r="E7" s="53" t="s">
        <v>405</v>
      </c>
      <c r="F7" s="12" t="s">
        <v>406</v>
      </c>
      <c r="G7" s="12">
        <v>4</v>
      </c>
      <c r="H7" s="13">
        <v>24</v>
      </c>
      <c r="I7" s="31">
        <v>1000</v>
      </c>
      <c r="J7" s="14">
        <v>1216</v>
      </c>
      <c r="K7" s="15">
        <f>L7</f>
        <v>1216</v>
      </c>
      <c r="L7" s="15">
        <f>304*4</f>
        <v>1216</v>
      </c>
      <c r="M7" s="15">
        <f t="shared" si="0"/>
        <v>1216</v>
      </c>
      <c r="N7" s="15">
        <v>0</v>
      </c>
      <c r="O7" s="58">
        <f t="shared" si="1"/>
        <v>0</v>
      </c>
      <c r="P7" s="39">
        <f t="shared" si="2"/>
        <v>4</v>
      </c>
      <c r="Q7" s="40">
        <f t="shared" si="3"/>
        <v>20</v>
      </c>
      <c r="R7" s="7"/>
      <c r="S7" s="6">
        <v>20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0.16666666666666666</v>
      </c>
      <c r="AD7" s="10">
        <f t="shared" si="6"/>
        <v>0.16666666666666666</v>
      </c>
      <c r="AE7" s="36">
        <f t="shared" si="7"/>
        <v>0.55208333333333326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24084</v>
      </c>
      <c r="K8" s="15">
        <f>L8+8404+12360+9142+12426+5790+11544+12480+12502+12376+12380+22896+24720+24328+24256+11504</f>
        <v>241192</v>
      </c>
      <c r="L8" s="15">
        <f>3130*4+2891*4</f>
        <v>24084</v>
      </c>
      <c r="M8" s="15">
        <f t="shared" si="0"/>
        <v>24084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0.55208333333333326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/>
      <c r="E9" s="53" t="s">
        <v>475</v>
      </c>
      <c r="F9" s="30" t="s">
        <v>476</v>
      </c>
      <c r="G9" s="33">
        <v>4</v>
      </c>
      <c r="H9" s="35">
        <v>24</v>
      </c>
      <c r="I9" s="7">
        <v>100000</v>
      </c>
      <c r="J9" s="14">
        <v>31496</v>
      </c>
      <c r="K9" s="15">
        <f>L9+30616+32552</f>
        <v>94664</v>
      </c>
      <c r="L9" s="15">
        <f>3875*4+3999*4</f>
        <v>31496</v>
      </c>
      <c r="M9" s="15">
        <f t="shared" si="0"/>
        <v>31496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0.55208333333333326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12812</v>
      </c>
      <c r="K10" s="15">
        <f>L10+5588+11272+12940+13030+13250+11902+13058+13134+13002+13260+12430+11760+10656+12702</f>
        <v>180796</v>
      </c>
      <c r="L10" s="15">
        <f>3321*2+3085*2</f>
        <v>12812</v>
      </c>
      <c r="M10" s="15">
        <f t="shared" si="0"/>
        <v>12812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0.55208333333333326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466</v>
      </c>
      <c r="F11" s="30" t="s">
        <v>444</v>
      </c>
      <c r="G11" s="33">
        <v>1</v>
      </c>
      <c r="H11" s="35">
        <v>24</v>
      </c>
      <c r="I11" s="7">
        <v>12000</v>
      </c>
      <c r="J11" s="14">
        <v>5013</v>
      </c>
      <c r="K11" s="15">
        <f>L11+3718+4981</f>
        <v>13712</v>
      </c>
      <c r="L11" s="15">
        <f>2572+2441</f>
        <v>5013</v>
      </c>
      <c r="M11" s="15">
        <f t="shared" si="0"/>
        <v>5013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0.55208333333333326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482</v>
      </c>
      <c r="E12" s="53" t="s">
        <v>483</v>
      </c>
      <c r="F12" s="30" t="s">
        <v>124</v>
      </c>
      <c r="G12" s="33">
        <v>1</v>
      </c>
      <c r="H12" s="35">
        <v>24</v>
      </c>
      <c r="I12" s="7">
        <v>2000</v>
      </c>
      <c r="J12" s="14">
        <v>810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0.55208333333333326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12186</v>
      </c>
      <c r="K13" s="15">
        <f>L13+10230+8758+7458+4298+5694+7524+3000+9774+6592+11326+12144+11050+10802+10910+9796+3412+4942+8464</f>
        <v>158360</v>
      </c>
      <c r="L13" s="15">
        <f>3511*2+2582*2</f>
        <v>12186</v>
      </c>
      <c r="M13" s="15">
        <f t="shared" si="0"/>
        <v>12186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>
        <v>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>AC13*AB13*(1-O13)</f>
        <v>0.95833333333333337</v>
      </c>
      <c r="AE13" s="36">
        <f t="shared" si="7"/>
        <v>0.55208333333333326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0.55208333333333326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429</v>
      </c>
      <c r="D15" s="52" t="s">
        <v>117</v>
      </c>
      <c r="E15" s="53" t="s">
        <v>441</v>
      </c>
      <c r="F15" s="12" t="s">
        <v>445</v>
      </c>
      <c r="G15" s="12">
        <v>2</v>
      </c>
      <c r="H15" s="13">
        <v>24</v>
      </c>
      <c r="I15" s="31">
        <v>10000</v>
      </c>
      <c r="J15" s="14">
        <v>13572</v>
      </c>
      <c r="K15" s="15">
        <f>L15+1868+6418+13572</f>
        <v>21858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0.55208333333333326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0.55208333333333326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130</v>
      </c>
      <c r="E17" s="53" t="s">
        <v>271</v>
      </c>
      <c r="F17" s="30" t="s">
        <v>187</v>
      </c>
      <c r="G17" s="12">
        <v>1</v>
      </c>
      <c r="H17" s="13">
        <v>24</v>
      </c>
      <c r="I17" s="7">
        <v>38000</v>
      </c>
      <c r="J17" s="14">
        <v>5995</v>
      </c>
      <c r="K17" s="15">
        <f>L17+3089+6204+6218+6271+6048</f>
        <v>33825</v>
      </c>
      <c r="L17" s="15">
        <f>3102+2893</f>
        <v>5995</v>
      </c>
      <c r="M17" s="15">
        <f t="shared" si="0"/>
        <v>5995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0.55208333333333326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123</v>
      </c>
      <c r="D18" s="52"/>
      <c r="E18" s="53" t="s">
        <v>465</v>
      </c>
      <c r="F18" s="30" t="s">
        <v>477</v>
      </c>
      <c r="G18" s="33">
        <v>1</v>
      </c>
      <c r="H18" s="35">
        <v>24</v>
      </c>
      <c r="I18" s="7">
        <v>12000</v>
      </c>
      <c r="J18" s="14">
        <v>3702</v>
      </c>
      <c r="K18" s="15">
        <f>L18+5350+3675</f>
        <v>12727</v>
      </c>
      <c r="L18" s="15">
        <f>3055+647</f>
        <v>3702</v>
      </c>
      <c r="M18" s="15">
        <f t="shared" si="0"/>
        <v>3702</v>
      </c>
      <c r="N18" s="15">
        <v>0</v>
      </c>
      <c r="O18" s="58">
        <f t="shared" si="1"/>
        <v>0</v>
      </c>
      <c r="P18" s="39">
        <f t="shared" si="2"/>
        <v>18</v>
      </c>
      <c r="Q18" s="40">
        <f t="shared" si="3"/>
        <v>6</v>
      </c>
      <c r="R18" s="7"/>
      <c r="S18" s="6">
        <v>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6">
        <f t="shared" si="7"/>
        <v>0.55208333333333326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 t="s">
        <v>503</v>
      </c>
      <c r="E19" s="53" t="s">
        <v>496</v>
      </c>
      <c r="F19" s="30" t="s">
        <v>132</v>
      </c>
      <c r="G19" s="33">
        <v>1</v>
      </c>
      <c r="H19" s="35">
        <v>24</v>
      </c>
      <c r="I19" s="7">
        <v>15000</v>
      </c>
      <c r="J19" s="14">
        <v>5025</v>
      </c>
      <c r="K19" s="15">
        <f>L19</f>
        <v>5025</v>
      </c>
      <c r="L19" s="15">
        <f>2233+2792</f>
        <v>5025</v>
      </c>
      <c r="M19" s="15">
        <f t="shared" si="0"/>
        <v>5025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/>
      <c r="T19" s="16">
        <v>1</v>
      </c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0.55208333333333326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12546</v>
      </c>
      <c r="K20" s="15">
        <f>L20+6852+6648+9128+6400+11510+3498+11566+8822+12584+12228+12656+7910+6546+12588+12484</f>
        <v>153966</v>
      </c>
      <c r="L20" s="15">
        <f>3252*2+3021*2</f>
        <v>12546</v>
      </c>
      <c r="M20" s="15">
        <f t="shared" si="0"/>
        <v>12546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0.55208333333333326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134</v>
      </c>
      <c r="F21" s="12" t="s">
        <v>114</v>
      </c>
      <c r="G21" s="12">
        <v>4</v>
      </c>
      <c r="H21" s="35">
        <v>20</v>
      </c>
      <c r="I21" s="7">
        <v>500000</v>
      </c>
      <c r="J21" s="14">
        <v>33716</v>
      </c>
      <c r="K21" s="15">
        <f>L21+31044+37988+37244+33716</f>
        <v>139992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0.55208333333333326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2803800</v>
      </c>
      <c r="J22" s="19">
        <f t="shared" si="10"/>
        <v>166235</v>
      </c>
      <c r="K22" s="20">
        <f t="shared" si="10"/>
        <v>1061637</v>
      </c>
      <c r="L22" s="21">
        <f t="shared" si="10"/>
        <v>114075</v>
      </c>
      <c r="M22" s="20">
        <f t="shared" si="10"/>
        <v>114075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212</v>
      </c>
      <c r="Q22" s="43">
        <f t="shared" si="11"/>
        <v>172</v>
      </c>
      <c r="R22" s="23">
        <f t="shared" si="11"/>
        <v>24</v>
      </c>
      <c r="S22" s="24">
        <f t="shared" si="11"/>
        <v>51</v>
      </c>
      <c r="T22" s="24">
        <f t="shared" si="11"/>
        <v>1</v>
      </c>
      <c r="U22" s="24">
        <f t="shared" si="11"/>
        <v>0</v>
      </c>
      <c r="V22" s="25">
        <f t="shared" si="11"/>
        <v>48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24</v>
      </c>
      <c r="AB22" s="28">
        <f>AVERAGE(AB6:AB21)</f>
        <v>0.625</v>
      </c>
      <c r="AC22" s="4">
        <f>AVERAGE(AC6:AC21)</f>
        <v>0.55208333333333326</v>
      </c>
      <c r="AD22" s="4">
        <f>AVERAGE(AD6:AD21)</f>
        <v>0.55208333333333326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507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508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338" t="s">
        <v>46</v>
      </c>
      <c r="D51" s="338" t="s">
        <v>47</v>
      </c>
      <c r="E51" s="338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338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335" t="s">
        <v>144</v>
      </c>
      <c r="D52" s="335" t="s">
        <v>115</v>
      </c>
      <c r="E52" s="335" t="s">
        <v>160</v>
      </c>
      <c r="F52" s="512" t="s">
        <v>504</v>
      </c>
      <c r="G52" s="513"/>
      <c r="H52" s="513"/>
      <c r="I52" s="513"/>
      <c r="J52" s="513"/>
      <c r="K52" s="513"/>
      <c r="L52" s="513"/>
      <c r="M52" s="514"/>
      <c r="N52" s="334" t="s">
        <v>121</v>
      </c>
      <c r="O52" s="332" t="s">
        <v>267</v>
      </c>
      <c r="P52" s="524" t="s">
        <v>482</v>
      </c>
      <c r="Q52" s="525"/>
      <c r="R52" s="524" t="s">
        <v>483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120</v>
      </c>
      <c r="B53" s="511"/>
      <c r="C53" s="335" t="s">
        <v>189</v>
      </c>
      <c r="D53" s="335" t="s">
        <v>186</v>
      </c>
      <c r="E53" s="335" t="s">
        <v>405</v>
      </c>
      <c r="F53" s="512" t="s">
        <v>505</v>
      </c>
      <c r="G53" s="513"/>
      <c r="H53" s="513"/>
      <c r="I53" s="513"/>
      <c r="J53" s="513"/>
      <c r="K53" s="513"/>
      <c r="L53" s="513"/>
      <c r="M53" s="514"/>
      <c r="N53" s="334" t="s">
        <v>123</v>
      </c>
      <c r="O53" s="332" t="s">
        <v>174</v>
      </c>
      <c r="P53" s="524"/>
      <c r="Q53" s="525"/>
      <c r="R53" s="524" t="s">
        <v>509</v>
      </c>
      <c r="S53" s="526"/>
      <c r="T53" s="526"/>
      <c r="U53" s="525"/>
      <c r="V53" s="496" t="s">
        <v>118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72" t="s">
        <v>120</v>
      </c>
      <c r="B54" s="525"/>
      <c r="C54" s="335" t="s">
        <v>201</v>
      </c>
      <c r="D54" s="335" t="s">
        <v>503</v>
      </c>
      <c r="E54" s="335" t="s">
        <v>496</v>
      </c>
      <c r="F54" s="512" t="s">
        <v>118</v>
      </c>
      <c r="G54" s="513"/>
      <c r="H54" s="513"/>
      <c r="I54" s="513"/>
      <c r="J54" s="513"/>
      <c r="K54" s="513"/>
      <c r="L54" s="513"/>
      <c r="M54" s="514"/>
      <c r="N54" s="334"/>
      <c r="O54" s="332"/>
      <c r="P54" s="524"/>
      <c r="Q54" s="525"/>
      <c r="R54" s="524"/>
      <c r="S54" s="526"/>
      <c r="T54" s="526"/>
      <c r="U54" s="525"/>
      <c r="V54" s="496"/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123</v>
      </c>
      <c r="B55" s="511"/>
      <c r="C55" s="335" t="s">
        <v>197</v>
      </c>
      <c r="D55" s="335"/>
      <c r="E55" s="335" t="s">
        <v>465</v>
      </c>
      <c r="F55" s="512" t="s">
        <v>180</v>
      </c>
      <c r="G55" s="513"/>
      <c r="H55" s="513"/>
      <c r="I55" s="513"/>
      <c r="J55" s="513"/>
      <c r="K55" s="513"/>
      <c r="L55" s="513"/>
      <c r="M55" s="514"/>
      <c r="N55" s="334"/>
      <c r="O55" s="332"/>
      <c r="P55" s="524"/>
      <c r="Q55" s="525"/>
      <c r="R55" s="524"/>
      <c r="S55" s="526"/>
      <c r="T55" s="526"/>
      <c r="U55" s="525"/>
      <c r="V55" s="496"/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121</v>
      </c>
      <c r="B56" s="511"/>
      <c r="C56" s="335" t="s">
        <v>267</v>
      </c>
      <c r="D56" s="335" t="s">
        <v>482</v>
      </c>
      <c r="E56" s="335" t="s">
        <v>483</v>
      </c>
      <c r="F56" s="512" t="s">
        <v>506</v>
      </c>
      <c r="G56" s="513"/>
      <c r="H56" s="513"/>
      <c r="I56" s="513"/>
      <c r="J56" s="513"/>
      <c r="K56" s="513"/>
      <c r="L56" s="513"/>
      <c r="M56" s="514"/>
      <c r="N56" s="334"/>
      <c r="O56" s="332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335"/>
      <c r="D57" s="335"/>
      <c r="E57" s="335"/>
      <c r="F57" s="512"/>
      <c r="G57" s="513"/>
      <c r="H57" s="513"/>
      <c r="I57" s="513"/>
      <c r="J57" s="513"/>
      <c r="K57" s="513"/>
      <c r="L57" s="513"/>
      <c r="M57" s="514"/>
      <c r="N57" s="334"/>
      <c r="O57" s="332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340"/>
      <c r="D58" s="340"/>
      <c r="E58" s="335"/>
      <c r="F58" s="512"/>
      <c r="G58" s="513"/>
      <c r="H58" s="513"/>
      <c r="I58" s="513"/>
      <c r="J58" s="513"/>
      <c r="K58" s="513"/>
      <c r="L58" s="513"/>
      <c r="M58" s="514"/>
      <c r="N58" s="334"/>
      <c r="O58" s="332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340"/>
      <c r="D59" s="340"/>
      <c r="E59" s="335"/>
      <c r="F59" s="512"/>
      <c r="G59" s="513"/>
      <c r="H59" s="513"/>
      <c r="I59" s="513"/>
      <c r="J59" s="513"/>
      <c r="K59" s="513"/>
      <c r="L59" s="513"/>
      <c r="M59" s="514"/>
      <c r="N59" s="334"/>
      <c r="O59" s="332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335"/>
      <c r="D60" s="335"/>
      <c r="E60" s="335"/>
      <c r="F60" s="512"/>
      <c r="G60" s="513"/>
      <c r="H60" s="513"/>
      <c r="I60" s="513"/>
      <c r="J60" s="513"/>
      <c r="K60" s="513"/>
      <c r="L60" s="513"/>
      <c r="M60" s="514"/>
      <c r="N60" s="334"/>
      <c r="O60" s="332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336"/>
      <c r="D61" s="337"/>
      <c r="E61" s="337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510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333" t="s">
        <v>2</v>
      </c>
      <c r="D63" s="333" t="s">
        <v>37</v>
      </c>
      <c r="E63" s="333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333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120</v>
      </c>
      <c r="D64" s="328"/>
      <c r="E64" s="331" t="s">
        <v>186</v>
      </c>
      <c r="F64" s="497" t="s">
        <v>405</v>
      </c>
      <c r="G64" s="498"/>
      <c r="H64" s="498"/>
      <c r="I64" s="498"/>
      <c r="J64" s="499"/>
      <c r="K64" s="485" t="s">
        <v>406</v>
      </c>
      <c r="L64" s="485"/>
      <c r="M64" s="51" t="s">
        <v>188</v>
      </c>
      <c r="N64" s="494" t="s">
        <v>189</v>
      </c>
      <c r="O64" s="494"/>
      <c r="P64" s="495">
        <v>200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121</v>
      </c>
      <c r="D65" s="328"/>
      <c r="E65" s="331" t="s">
        <v>186</v>
      </c>
      <c r="F65" s="497" t="s">
        <v>185</v>
      </c>
      <c r="G65" s="498"/>
      <c r="H65" s="498"/>
      <c r="I65" s="498"/>
      <c r="J65" s="499"/>
      <c r="K65" s="485" t="s">
        <v>187</v>
      </c>
      <c r="L65" s="485"/>
      <c r="M65" s="51" t="s">
        <v>436</v>
      </c>
      <c r="N65" s="494" t="s">
        <v>174</v>
      </c>
      <c r="O65" s="494"/>
      <c r="P65" s="495"/>
      <c r="Q65" s="495"/>
      <c r="R65" s="496" t="s">
        <v>511</v>
      </c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/>
      <c r="D66" s="328"/>
      <c r="E66" s="331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328"/>
      <c r="E67" s="331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328"/>
      <c r="E68" s="331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328"/>
      <c r="E69" s="331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328"/>
      <c r="E70" s="331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328"/>
      <c r="E71" s="331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328"/>
      <c r="E72" s="331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328"/>
      <c r="E73" s="331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512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330" t="s">
        <v>2</v>
      </c>
      <c r="D75" s="330" t="s">
        <v>37</v>
      </c>
      <c r="E75" s="330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329" t="s">
        <v>112</v>
      </c>
      <c r="D76" s="329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328"/>
      <c r="D77" s="328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328"/>
      <c r="D78" s="328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328"/>
      <c r="D79" s="328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328"/>
      <c r="D80" s="328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328"/>
      <c r="D81" s="328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328"/>
      <c r="D82" s="328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513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2E47-9F2D-4E47-8809-A1C026877FB1}">
  <sheetPr codeName="Sheet21"/>
  <dimension ref="A1:AF87"/>
  <sheetViews>
    <sheetView view="pageBreakPreview" zoomScale="70" zoomScaleNormal="72" zoomScaleSheetLayoutView="70" workbookViewId="0">
      <selection activeCell="K82" sqref="K82:S8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514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407</v>
      </c>
      <c r="E6" s="53" t="s">
        <v>421</v>
      </c>
      <c r="F6" s="12" t="s">
        <v>128</v>
      </c>
      <c r="G6" s="12">
        <v>4</v>
      </c>
      <c r="H6" s="13">
        <v>24</v>
      </c>
      <c r="I6" s="31">
        <v>6500</v>
      </c>
      <c r="J6" s="14">
        <v>2735</v>
      </c>
      <c r="K6" s="15">
        <f>L6</f>
        <v>2735</v>
      </c>
      <c r="L6" s="15">
        <f>2735</f>
        <v>2735</v>
      </c>
      <c r="M6" s="15">
        <f t="shared" ref="M6:M21" si="0">L6-N6</f>
        <v>2735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15</v>
      </c>
      <c r="Q6" s="40">
        <f t="shared" ref="Q6:Q21" si="3">SUM(R6:AA6)</f>
        <v>9</v>
      </c>
      <c r="R6" s="7"/>
      <c r="S6" s="6">
        <v>9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0.625</v>
      </c>
      <c r="AD6" s="10">
        <f t="shared" ref="AD6:AD21" si="6">AC6*AB6*(1-O6)</f>
        <v>0.625</v>
      </c>
      <c r="AE6" s="36">
        <f t="shared" ref="AE6:AE21" si="7">$AD$22</f>
        <v>0.61458333333333337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490</v>
      </c>
      <c r="C7" s="34" t="s">
        <v>120</v>
      </c>
      <c r="D7" s="52" t="s">
        <v>186</v>
      </c>
      <c r="E7" s="53" t="s">
        <v>405</v>
      </c>
      <c r="F7" s="12" t="s">
        <v>406</v>
      </c>
      <c r="G7" s="12">
        <v>4</v>
      </c>
      <c r="H7" s="13">
        <v>24</v>
      </c>
      <c r="I7" s="31">
        <v>1000</v>
      </c>
      <c r="J7" s="14">
        <v>1216</v>
      </c>
      <c r="K7" s="15">
        <f>L7+1216</f>
        <v>1216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0.61458333333333337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22712</v>
      </c>
      <c r="K8" s="15">
        <f>L8+8404+12360+9142+12426+5790+11544+12480+12502+12376+12380+22896+24720+24328+24256+11504+24084</f>
        <v>263904</v>
      </c>
      <c r="L8" s="15">
        <f>2964*4+2714*4</f>
        <v>22712</v>
      </c>
      <c r="M8" s="15">
        <f t="shared" si="0"/>
        <v>22712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0.61458333333333337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/>
      <c r="E9" s="53" t="s">
        <v>475</v>
      </c>
      <c r="F9" s="30" t="s">
        <v>476</v>
      </c>
      <c r="G9" s="33">
        <v>4</v>
      </c>
      <c r="H9" s="35">
        <v>24</v>
      </c>
      <c r="I9" s="7">
        <v>100000</v>
      </c>
      <c r="J9" s="14">
        <v>28516</v>
      </c>
      <c r="K9" s="15">
        <f>L9+30616+32552+31496</f>
        <v>123180</v>
      </c>
      <c r="L9" s="15">
        <f>4242*4+2887*4</f>
        <v>28516</v>
      </c>
      <c r="M9" s="15">
        <f t="shared" si="0"/>
        <v>28516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>
        <v>3</v>
      </c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0.61458333333333337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11772</v>
      </c>
      <c r="K10" s="15">
        <f>L10+5588+11272+12940+13030+13250+11902+13058+13134+13002+13260+12430+11760+10656+12702+12812</f>
        <v>192568</v>
      </c>
      <c r="L10" s="15">
        <f>3069*2+2817*2</f>
        <v>11772</v>
      </c>
      <c r="M10" s="15">
        <f t="shared" si="0"/>
        <v>11772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0.61458333333333337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466</v>
      </c>
      <c r="F11" s="30" t="s">
        <v>444</v>
      </c>
      <c r="G11" s="33">
        <v>1</v>
      </c>
      <c r="H11" s="35">
        <v>24</v>
      </c>
      <c r="I11" s="7">
        <v>12000</v>
      </c>
      <c r="J11" s="14">
        <v>2843</v>
      </c>
      <c r="K11" s="15">
        <f>L11+3718+4981+5013</f>
        <v>16555</v>
      </c>
      <c r="L11" s="15">
        <f>747+2096</f>
        <v>2843</v>
      </c>
      <c r="M11" s="15">
        <f t="shared" si="0"/>
        <v>2843</v>
      </c>
      <c r="N11" s="15">
        <v>0</v>
      </c>
      <c r="O11" s="58">
        <f t="shared" si="1"/>
        <v>0</v>
      </c>
      <c r="P11" s="39">
        <f t="shared" si="2"/>
        <v>15</v>
      </c>
      <c r="Q11" s="40">
        <f t="shared" si="3"/>
        <v>9</v>
      </c>
      <c r="R11" s="7"/>
      <c r="S11" s="6">
        <v>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0.625</v>
      </c>
      <c r="AD11" s="10">
        <f t="shared" ref="AD11:AD14" si="9">AC11*AB11*(1-O11)</f>
        <v>0.625</v>
      </c>
      <c r="AE11" s="36">
        <f t="shared" si="7"/>
        <v>0.61458333333333337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121</v>
      </c>
      <c r="D12" s="52" t="s">
        <v>482</v>
      </c>
      <c r="E12" s="53" t="s">
        <v>483</v>
      </c>
      <c r="F12" s="30" t="s">
        <v>124</v>
      </c>
      <c r="G12" s="33">
        <v>1</v>
      </c>
      <c r="H12" s="35">
        <v>24</v>
      </c>
      <c r="I12" s="7">
        <v>2000</v>
      </c>
      <c r="J12" s="14">
        <v>2093</v>
      </c>
      <c r="K12" s="15">
        <f>L12</f>
        <v>2093</v>
      </c>
      <c r="L12" s="15">
        <f>1188+905</f>
        <v>2093</v>
      </c>
      <c r="M12" s="15">
        <f t="shared" si="0"/>
        <v>2093</v>
      </c>
      <c r="N12" s="15">
        <v>0</v>
      </c>
      <c r="O12" s="58">
        <f t="shared" si="1"/>
        <v>0</v>
      </c>
      <c r="P12" s="39">
        <f t="shared" si="2"/>
        <v>12</v>
      </c>
      <c r="Q12" s="40">
        <f t="shared" si="3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</v>
      </c>
      <c r="AD12" s="10">
        <f t="shared" si="9"/>
        <v>0.5</v>
      </c>
      <c r="AE12" s="36">
        <f t="shared" si="7"/>
        <v>0.61458333333333337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4876</v>
      </c>
      <c r="K13" s="15">
        <f>L13+10230+8758+7458+4298+5694+7524+3000+9774+6592+11326+12144+11050+10802+10910+9796+3412+4942+8464+12186</f>
        <v>163236</v>
      </c>
      <c r="L13" s="15">
        <f>2438*2</f>
        <v>4876</v>
      </c>
      <c r="M13" s="15">
        <f t="shared" si="0"/>
        <v>4876</v>
      </c>
      <c r="N13" s="15">
        <v>0</v>
      </c>
      <c r="O13" s="58">
        <f t="shared" si="1"/>
        <v>0</v>
      </c>
      <c r="P13" s="39">
        <f t="shared" si="2"/>
        <v>12</v>
      </c>
      <c r="Q13" s="40">
        <f t="shared" si="3"/>
        <v>12</v>
      </c>
      <c r="R13" s="7"/>
      <c r="S13" s="6">
        <v>12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</v>
      </c>
      <c r="AD13" s="10">
        <f>AC13*AB13*(1-O13)</f>
        <v>0.5</v>
      </c>
      <c r="AE13" s="36">
        <f t="shared" si="7"/>
        <v>0.61458333333333337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0.61458333333333337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509</v>
      </c>
      <c r="F15" s="12" t="s">
        <v>140</v>
      </c>
      <c r="G15" s="12">
        <v>1</v>
      </c>
      <c r="H15" s="13">
        <v>24</v>
      </c>
      <c r="I15" s="31">
        <v>20000</v>
      </c>
      <c r="J15" s="14">
        <v>2236</v>
      </c>
      <c r="K15" s="15">
        <f>L15</f>
        <v>2236</v>
      </c>
      <c r="L15" s="15">
        <f>2236</f>
        <v>2236</v>
      </c>
      <c r="M15" s="15">
        <f t="shared" si="0"/>
        <v>2236</v>
      </c>
      <c r="N15" s="15">
        <v>0</v>
      </c>
      <c r="O15" s="58">
        <f t="shared" si="1"/>
        <v>0</v>
      </c>
      <c r="P15" s="39">
        <f t="shared" si="2"/>
        <v>13</v>
      </c>
      <c r="Q15" s="40">
        <f t="shared" si="3"/>
        <v>11</v>
      </c>
      <c r="R15" s="7"/>
      <c r="S15" s="6">
        <v>11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6">
        <f t="shared" si="7"/>
        <v>0.61458333333333337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0.61458333333333337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120</v>
      </c>
      <c r="D17" s="52" t="s">
        <v>130</v>
      </c>
      <c r="E17" s="53" t="s">
        <v>271</v>
      </c>
      <c r="F17" s="30" t="s">
        <v>187</v>
      </c>
      <c r="G17" s="12">
        <v>1</v>
      </c>
      <c r="H17" s="13">
        <v>24</v>
      </c>
      <c r="I17" s="7">
        <v>38000</v>
      </c>
      <c r="J17" s="14">
        <v>5738</v>
      </c>
      <c r="K17" s="15">
        <f>L17+3089+6204+6218+6271+6048+5995</f>
        <v>39563</v>
      </c>
      <c r="L17" s="15">
        <f>3008+2730</f>
        <v>5738</v>
      </c>
      <c r="M17" s="15">
        <f t="shared" si="0"/>
        <v>5738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0.61458333333333337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123</v>
      </c>
      <c r="D18" s="52"/>
      <c r="E18" s="53" t="s">
        <v>465</v>
      </c>
      <c r="F18" s="30" t="s">
        <v>477</v>
      </c>
      <c r="G18" s="33">
        <v>1</v>
      </c>
      <c r="H18" s="35">
        <v>24</v>
      </c>
      <c r="I18" s="7">
        <v>12000</v>
      </c>
      <c r="J18" s="14">
        <v>3973</v>
      </c>
      <c r="K18" s="15">
        <f>L18+5350+3675+3702</f>
        <v>16700</v>
      </c>
      <c r="L18" s="15">
        <f>1272+2701</f>
        <v>3973</v>
      </c>
      <c r="M18" s="15">
        <f t="shared" si="0"/>
        <v>3973</v>
      </c>
      <c r="N18" s="15">
        <v>0</v>
      </c>
      <c r="O18" s="58">
        <f t="shared" si="1"/>
        <v>0</v>
      </c>
      <c r="P18" s="39">
        <f t="shared" si="2"/>
        <v>16</v>
      </c>
      <c r="Q18" s="40">
        <f t="shared" si="3"/>
        <v>8</v>
      </c>
      <c r="R18" s="7"/>
      <c r="S18" s="6">
        <v>8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0.66666666666666663</v>
      </c>
      <c r="AD18" s="10">
        <f t="shared" si="6"/>
        <v>0.66666666666666663</v>
      </c>
      <c r="AE18" s="36">
        <f t="shared" si="7"/>
        <v>0.61458333333333337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 t="s">
        <v>503</v>
      </c>
      <c r="E19" s="53" t="s">
        <v>496</v>
      </c>
      <c r="F19" s="30" t="s">
        <v>132</v>
      </c>
      <c r="G19" s="33">
        <v>1</v>
      </c>
      <c r="H19" s="35">
        <v>24</v>
      </c>
      <c r="I19" s="7">
        <v>15000</v>
      </c>
      <c r="J19" s="14">
        <v>4892</v>
      </c>
      <c r="K19" s="15">
        <f>L19+5025</f>
        <v>9917</v>
      </c>
      <c r="L19" s="15">
        <f>2613+2279</f>
        <v>4892</v>
      </c>
      <c r="M19" s="15">
        <f t="shared" si="0"/>
        <v>4892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0.61458333333333337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11476</v>
      </c>
      <c r="K20" s="15">
        <f>L20+6852+6648+9128+6400+11510+3498+11566+8822+12584+12228+12656+7910+6546+12588+12484+12546</f>
        <v>165442</v>
      </c>
      <c r="L20" s="15">
        <f>3065*2+2673*2</f>
        <v>11476</v>
      </c>
      <c r="M20" s="15">
        <f t="shared" si="0"/>
        <v>11476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0.61458333333333337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134</v>
      </c>
      <c r="F21" s="12" t="s">
        <v>114</v>
      </c>
      <c r="G21" s="12">
        <v>4</v>
      </c>
      <c r="H21" s="35">
        <v>20</v>
      </c>
      <c r="I21" s="7">
        <v>500000</v>
      </c>
      <c r="J21" s="14">
        <v>33120</v>
      </c>
      <c r="K21" s="15">
        <f>L21+31044+37988+37244+33716</f>
        <v>173112</v>
      </c>
      <c r="L21" s="15">
        <f>7474*4+806*4</f>
        <v>33120</v>
      </c>
      <c r="M21" s="15">
        <f t="shared" si="0"/>
        <v>33120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0.61458333333333337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2817300</v>
      </c>
      <c r="J22" s="19">
        <f t="shared" si="10"/>
        <v>139022</v>
      </c>
      <c r="K22" s="20">
        <f t="shared" si="10"/>
        <v>1173523</v>
      </c>
      <c r="L22" s="21">
        <f t="shared" si="10"/>
        <v>136982</v>
      </c>
      <c r="M22" s="20">
        <f t="shared" si="10"/>
        <v>136982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236</v>
      </c>
      <c r="Q22" s="43">
        <f t="shared" si="11"/>
        <v>148</v>
      </c>
      <c r="R22" s="23">
        <f t="shared" si="11"/>
        <v>27</v>
      </c>
      <c r="S22" s="24">
        <f t="shared" si="11"/>
        <v>85</v>
      </c>
      <c r="T22" s="24">
        <f t="shared" si="11"/>
        <v>0</v>
      </c>
      <c r="U22" s="24">
        <f t="shared" si="11"/>
        <v>0</v>
      </c>
      <c r="V22" s="25">
        <f t="shared" si="11"/>
        <v>12</v>
      </c>
      <c r="W22" s="26">
        <f t="shared" si="11"/>
        <v>24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0</v>
      </c>
      <c r="AB22" s="28">
        <f>AVERAGE(AB6:AB21)</f>
        <v>0.8125</v>
      </c>
      <c r="AC22" s="4">
        <f>AVERAGE(AC6:AC21)</f>
        <v>0.61458333333333337</v>
      </c>
      <c r="AD22" s="4">
        <f>AVERAGE(AD6:AD21)</f>
        <v>0.61458333333333337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515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517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342" t="s">
        <v>46</v>
      </c>
      <c r="D51" s="342" t="s">
        <v>47</v>
      </c>
      <c r="E51" s="342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342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344" t="s">
        <v>144</v>
      </c>
      <c r="D52" s="344" t="s">
        <v>115</v>
      </c>
      <c r="E52" s="344" t="s">
        <v>160</v>
      </c>
      <c r="F52" s="512" t="s">
        <v>180</v>
      </c>
      <c r="G52" s="513"/>
      <c r="H52" s="513"/>
      <c r="I52" s="513"/>
      <c r="J52" s="513"/>
      <c r="K52" s="513"/>
      <c r="L52" s="513"/>
      <c r="M52" s="514"/>
      <c r="N52" s="343" t="s">
        <v>123</v>
      </c>
      <c r="O52" s="349" t="s">
        <v>169</v>
      </c>
      <c r="P52" s="524"/>
      <c r="Q52" s="525"/>
      <c r="R52" s="524" t="s">
        <v>518</v>
      </c>
      <c r="S52" s="526"/>
      <c r="T52" s="526"/>
      <c r="U52" s="525"/>
      <c r="V52" s="496" t="s">
        <v>118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10" t="s">
        <v>112</v>
      </c>
      <c r="B53" s="511"/>
      <c r="C53" s="344" t="s">
        <v>239</v>
      </c>
      <c r="D53" s="344" t="s">
        <v>130</v>
      </c>
      <c r="E53" s="344" t="s">
        <v>421</v>
      </c>
      <c r="F53" s="512" t="s">
        <v>354</v>
      </c>
      <c r="G53" s="513"/>
      <c r="H53" s="513"/>
      <c r="I53" s="513"/>
      <c r="J53" s="513"/>
      <c r="K53" s="513"/>
      <c r="L53" s="513"/>
      <c r="M53" s="514"/>
      <c r="N53" s="343"/>
      <c r="O53" s="349"/>
      <c r="P53" s="524"/>
      <c r="Q53" s="525"/>
      <c r="R53" s="524"/>
      <c r="S53" s="526"/>
      <c r="T53" s="526"/>
      <c r="U53" s="525"/>
      <c r="V53" s="496"/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121</v>
      </c>
      <c r="B54" s="511"/>
      <c r="C54" s="344" t="s">
        <v>267</v>
      </c>
      <c r="D54" s="344" t="s">
        <v>482</v>
      </c>
      <c r="E54" s="344" t="s">
        <v>483</v>
      </c>
      <c r="F54" s="512" t="s">
        <v>180</v>
      </c>
      <c r="G54" s="513"/>
      <c r="H54" s="513"/>
      <c r="I54" s="513"/>
      <c r="J54" s="513"/>
      <c r="K54" s="513"/>
      <c r="L54" s="513"/>
      <c r="M54" s="514"/>
      <c r="N54" s="343"/>
      <c r="O54" s="349"/>
      <c r="P54" s="524"/>
      <c r="Q54" s="525"/>
      <c r="R54" s="524"/>
      <c r="S54" s="526"/>
      <c r="T54" s="526"/>
      <c r="U54" s="525"/>
      <c r="V54" s="496"/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10" t="s">
        <v>123</v>
      </c>
      <c r="B55" s="511"/>
      <c r="C55" s="344" t="s">
        <v>174</v>
      </c>
      <c r="D55" s="344"/>
      <c r="E55" s="344" t="s">
        <v>509</v>
      </c>
      <c r="F55" s="512" t="s">
        <v>516</v>
      </c>
      <c r="G55" s="513"/>
      <c r="H55" s="513"/>
      <c r="I55" s="513"/>
      <c r="J55" s="513"/>
      <c r="K55" s="513"/>
      <c r="L55" s="513"/>
      <c r="M55" s="514"/>
      <c r="N55" s="343"/>
      <c r="O55" s="349"/>
      <c r="P55" s="524"/>
      <c r="Q55" s="525"/>
      <c r="R55" s="524"/>
      <c r="S55" s="526"/>
      <c r="T55" s="526"/>
      <c r="U55" s="525"/>
      <c r="V55" s="496"/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/>
      <c r="B56" s="511"/>
      <c r="C56" s="344"/>
      <c r="D56" s="344"/>
      <c r="E56" s="344"/>
      <c r="F56" s="512"/>
      <c r="G56" s="513"/>
      <c r="H56" s="513"/>
      <c r="I56" s="513"/>
      <c r="J56" s="513"/>
      <c r="K56" s="513"/>
      <c r="L56" s="513"/>
      <c r="M56" s="514"/>
      <c r="N56" s="343"/>
      <c r="O56" s="349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344"/>
      <c r="D57" s="344"/>
      <c r="E57" s="344"/>
      <c r="F57" s="512"/>
      <c r="G57" s="513"/>
      <c r="H57" s="513"/>
      <c r="I57" s="513"/>
      <c r="J57" s="513"/>
      <c r="K57" s="513"/>
      <c r="L57" s="513"/>
      <c r="M57" s="514"/>
      <c r="N57" s="343"/>
      <c r="O57" s="349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353"/>
      <c r="D58" s="353"/>
      <c r="E58" s="344"/>
      <c r="F58" s="512"/>
      <c r="G58" s="513"/>
      <c r="H58" s="513"/>
      <c r="I58" s="513"/>
      <c r="J58" s="513"/>
      <c r="K58" s="513"/>
      <c r="L58" s="513"/>
      <c r="M58" s="514"/>
      <c r="N58" s="343"/>
      <c r="O58" s="349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353"/>
      <c r="D59" s="353"/>
      <c r="E59" s="344"/>
      <c r="F59" s="512"/>
      <c r="G59" s="513"/>
      <c r="H59" s="513"/>
      <c r="I59" s="513"/>
      <c r="J59" s="513"/>
      <c r="K59" s="513"/>
      <c r="L59" s="513"/>
      <c r="M59" s="514"/>
      <c r="N59" s="343"/>
      <c r="O59" s="349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344"/>
      <c r="D60" s="344"/>
      <c r="E60" s="344"/>
      <c r="F60" s="512"/>
      <c r="G60" s="513"/>
      <c r="H60" s="513"/>
      <c r="I60" s="513"/>
      <c r="J60" s="513"/>
      <c r="K60" s="513"/>
      <c r="L60" s="513"/>
      <c r="M60" s="514"/>
      <c r="N60" s="343"/>
      <c r="O60" s="349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345"/>
      <c r="D61" s="346"/>
      <c r="E61" s="346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519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347" t="s">
        <v>2</v>
      </c>
      <c r="D63" s="347" t="s">
        <v>37</v>
      </c>
      <c r="E63" s="347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347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121</v>
      </c>
      <c r="D64" s="351"/>
      <c r="E64" s="348" t="s">
        <v>186</v>
      </c>
      <c r="F64" s="497" t="s">
        <v>185</v>
      </c>
      <c r="G64" s="498"/>
      <c r="H64" s="498"/>
      <c r="I64" s="498"/>
      <c r="J64" s="499"/>
      <c r="K64" s="485" t="s">
        <v>187</v>
      </c>
      <c r="L64" s="485"/>
      <c r="M64" s="51" t="s">
        <v>436</v>
      </c>
      <c r="N64" s="494" t="s">
        <v>174</v>
      </c>
      <c r="O64" s="494"/>
      <c r="P64" s="495">
        <v>200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121</v>
      </c>
      <c r="D65" s="351"/>
      <c r="E65" s="348" t="s">
        <v>115</v>
      </c>
      <c r="F65" s="497" t="s">
        <v>520</v>
      </c>
      <c r="G65" s="498"/>
      <c r="H65" s="498"/>
      <c r="I65" s="498"/>
      <c r="J65" s="499"/>
      <c r="K65" s="485" t="s">
        <v>124</v>
      </c>
      <c r="L65" s="485"/>
      <c r="M65" s="51" t="s">
        <v>436</v>
      </c>
      <c r="N65" s="494" t="s">
        <v>144</v>
      </c>
      <c r="O65" s="494"/>
      <c r="P65" s="495">
        <v>200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522</v>
      </c>
      <c r="D66" s="351"/>
      <c r="E66" s="348" t="s">
        <v>523</v>
      </c>
      <c r="F66" s="497" t="s">
        <v>521</v>
      </c>
      <c r="G66" s="498"/>
      <c r="H66" s="498"/>
      <c r="I66" s="498"/>
      <c r="J66" s="499"/>
      <c r="K66" s="485" t="s">
        <v>524</v>
      </c>
      <c r="L66" s="485"/>
      <c r="M66" s="51" t="s">
        <v>188</v>
      </c>
      <c r="N66" s="494" t="s">
        <v>267</v>
      </c>
      <c r="O66" s="494"/>
      <c r="P66" s="495">
        <v>80</v>
      </c>
      <c r="Q66" s="495"/>
      <c r="R66" s="496" t="s">
        <v>525</v>
      </c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 t="s">
        <v>120</v>
      </c>
      <c r="D67" s="351"/>
      <c r="E67" s="348" t="s">
        <v>527</v>
      </c>
      <c r="F67" s="497" t="s">
        <v>526</v>
      </c>
      <c r="G67" s="498"/>
      <c r="H67" s="498"/>
      <c r="I67" s="498"/>
      <c r="J67" s="499"/>
      <c r="K67" s="485" t="s">
        <v>129</v>
      </c>
      <c r="L67" s="485"/>
      <c r="M67" s="51" t="s">
        <v>188</v>
      </c>
      <c r="N67" s="494" t="s">
        <v>267</v>
      </c>
      <c r="O67" s="494"/>
      <c r="P67" s="495">
        <v>200</v>
      </c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351"/>
      <c r="E68" s="348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351"/>
      <c r="E69" s="348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351"/>
      <c r="E70" s="348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351"/>
      <c r="E71" s="348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351"/>
      <c r="E72" s="348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351"/>
      <c r="E73" s="348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528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350" t="s">
        <v>2</v>
      </c>
      <c r="D75" s="350" t="s">
        <v>37</v>
      </c>
      <c r="E75" s="350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352" t="s">
        <v>112</v>
      </c>
      <c r="D76" s="352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351"/>
      <c r="D77" s="351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351"/>
      <c r="D78" s="351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351"/>
      <c r="D79" s="351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351"/>
      <c r="D80" s="351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351"/>
      <c r="D81" s="351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351"/>
      <c r="D82" s="351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529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6DC7-626A-46D6-9658-CB639364C6B6}">
  <sheetPr codeName="Sheet22"/>
  <dimension ref="A1:AF91"/>
  <sheetViews>
    <sheetView view="pageBreakPreview" zoomScale="70" zoomScaleNormal="72" zoomScaleSheetLayoutView="70" workbookViewId="0">
      <selection activeCell="F84" sqref="F84:J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530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65" t="s">
        <v>17</v>
      </c>
      <c r="L5" s="365" t="s">
        <v>18</v>
      </c>
      <c r="M5" s="365" t="s">
        <v>19</v>
      </c>
      <c r="N5" s="36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407</v>
      </c>
      <c r="E6" s="53" t="s">
        <v>421</v>
      </c>
      <c r="F6" s="12" t="s">
        <v>128</v>
      </c>
      <c r="G6" s="12">
        <v>4</v>
      </c>
      <c r="H6" s="13">
        <v>24</v>
      </c>
      <c r="I6" s="31">
        <v>6500</v>
      </c>
      <c r="J6" s="14">
        <v>3948</v>
      </c>
      <c r="K6" s="15">
        <f>L6+2735</f>
        <v>6683</v>
      </c>
      <c r="L6" s="15">
        <f>724+3224</f>
        <v>3948</v>
      </c>
      <c r="M6" s="15">
        <f t="shared" ref="M6:M25" si="0">L6-N6</f>
        <v>3948</v>
      </c>
      <c r="N6" s="15">
        <v>0</v>
      </c>
      <c r="O6" s="58">
        <f t="shared" ref="O6:O26" si="1">IF(L6=0,"0",N6/L6)</f>
        <v>0</v>
      </c>
      <c r="P6" s="39">
        <f t="shared" ref="P6:P25" si="2">IF(L6=0,"0",(24-Q6))</f>
        <v>19</v>
      </c>
      <c r="Q6" s="40">
        <f t="shared" ref="Q6:Q25" si="3">SUM(R6:AA6)</f>
        <v>5</v>
      </c>
      <c r="R6" s="7"/>
      <c r="S6" s="6"/>
      <c r="T6" s="16"/>
      <c r="U6" s="16"/>
      <c r="V6" s="17"/>
      <c r="W6" s="5">
        <v>5</v>
      </c>
      <c r="X6" s="16"/>
      <c r="Y6" s="16"/>
      <c r="Z6" s="16"/>
      <c r="AA6" s="18"/>
      <c r="AB6" s="8">
        <f t="shared" ref="AB6:AB25" si="4">IF(J6=0,"0",(L6/J6))</f>
        <v>1</v>
      </c>
      <c r="AC6" s="9">
        <f t="shared" ref="AC6:AC25" si="5">IF(P6=0,"0",(P6/24))</f>
        <v>0.79166666666666663</v>
      </c>
      <c r="AD6" s="10">
        <f t="shared" ref="AD6:AD25" si="6">AC6*AB6*(1-O6)</f>
        <v>0.79166666666666663</v>
      </c>
      <c r="AE6" s="36">
        <f t="shared" ref="AE6:AE25" si="7">$AD$26</f>
        <v>0.44583333333333341</v>
      </c>
      <c r="AF6" s="84">
        <f t="shared" ref="AF6:AF25" si="8">A6</f>
        <v>1</v>
      </c>
    </row>
    <row r="7" spans="1:32" ht="27" customHeight="1">
      <c r="A7" s="113">
        <v>2</v>
      </c>
      <c r="B7" s="11" t="s">
        <v>490</v>
      </c>
      <c r="C7" s="34" t="s">
        <v>120</v>
      </c>
      <c r="D7" s="52" t="s">
        <v>186</v>
      </c>
      <c r="E7" s="53" t="s">
        <v>405</v>
      </c>
      <c r="F7" s="12" t="s">
        <v>406</v>
      </c>
      <c r="G7" s="12">
        <v>4</v>
      </c>
      <c r="H7" s="13">
        <v>24</v>
      </c>
      <c r="I7" s="31">
        <v>1000</v>
      </c>
      <c r="J7" s="14">
        <v>1216</v>
      </c>
      <c r="K7" s="15">
        <f>L7+1216</f>
        <v>1216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0.44583333333333341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24032</v>
      </c>
      <c r="K8" s="15">
        <f>L8+8404+12360+9142+12426+5790+11544+12480+12502+12376+12380+22896+24720+24328+24256+11504+24084+22712</f>
        <v>287936</v>
      </c>
      <c r="L8" s="15">
        <f>2929*4+3079*4</f>
        <v>24032</v>
      </c>
      <c r="M8" s="15">
        <f t="shared" si="0"/>
        <v>24032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0.44583333333333341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/>
      <c r="E9" s="53" t="s">
        <v>475</v>
      </c>
      <c r="F9" s="30" t="s">
        <v>476</v>
      </c>
      <c r="G9" s="33">
        <v>4</v>
      </c>
      <c r="H9" s="35">
        <v>24</v>
      </c>
      <c r="I9" s="7">
        <v>100000</v>
      </c>
      <c r="J9" s="14">
        <v>35880</v>
      </c>
      <c r="K9" s="15">
        <f>L9+30616+32552+31496+28516</f>
        <v>159060</v>
      </c>
      <c r="L9" s="15">
        <f>4400*4+4570*4</f>
        <v>35880</v>
      </c>
      <c r="M9" s="15">
        <f t="shared" si="0"/>
        <v>35880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0.44583333333333341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2</v>
      </c>
      <c r="H10" s="35">
        <v>24</v>
      </c>
      <c r="I10" s="7">
        <v>720000</v>
      </c>
      <c r="J10" s="5">
        <v>2262</v>
      </c>
      <c r="K10" s="15">
        <f>L10+5588+11272+12940+13030+13250+11902+13058+13134+13002+13260+12430+11760+10656+12702+12812+11772</f>
        <v>194830</v>
      </c>
      <c r="L10" s="15">
        <f>1131*2</f>
        <v>2262</v>
      </c>
      <c r="M10" s="15">
        <f t="shared" si="0"/>
        <v>2262</v>
      </c>
      <c r="N10" s="15">
        <v>0</v>
      </c>
      <c r="O10" s="58">
        <f t="shared" si="1"/>
        <v>0</v>
      </c>
      <c r="P10" s="39">
        <f t="shared" si="2"/>
        <v>3</v>
      </c>
      <c r="Q10" s="40">
        <f t="shared" si="3"/>
        <v>21</v>
      </c>
      <c r="R10" s="7"/>
      <c r="S10" s="6"/>
      <c r="T10" s="16"/>
      <c r="U10" s="16"/>
      <c r="V10" s="17">
        <v>21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0.125</v>
      </c>
      <c r="AD10" s="10">
        <f>AC10*AB10*(1-O10)</f>
        <v>0.125</v>
      </c>
      <c r="AE10" s="36">
        <f t="shared" si="7"/>
        <v>0.44583333333333341</v>
      </c>
      <c r="AF10" s="84">
        <f t="shared" si="8"/>
        <v>5</v>
      </c>
    </row>
    <row r="11" spans="1:32" ht="27" customHeight="1">
      <c r="A11" s="96">
        <v>5</v>
      </c>
      <c r="B11" s="11" t="s">
        <v>57</v>
      </c>
      <c r="C11" s="34" t="s">
        <v>121</v>
      </c>
      <c r="D11" s="52" t="s">
        <v>150</v>
      </c>
      <c r="E11" s="53" t="s">
        <v>190</v>
      </c>
      <c r="F11" s="30" t="s">
        <v>124</v>
      </c>
      <c r="G11" s="33">
        <v>4</v>
      </c>
      <c r="H11" s="35">
        <v>24</v>
      </c>
      <c r="I11" s="7">
        <v>530000</v>
      </c>
      <c r="J11" s="5">
        <v>19272</v>
      </c>
      <c r="K11" s="15">
        <f>L11</f>
        <v>19272</v>
      </c>
      <c r="L11" s="15">
        <f>3025*4+1793*4</f>
        <v>19272</v>
      </c>
      <c r="M11" s="15">
        <f t="shared" ref="M11" si="9">L11-N11</f>
        <v>19272</v>
      </c>
      <c r="N11" s="15">
        <v>0</v>
      </c>
      <c r="O11" s="58">
        <f t="shared" ref="O11" si="10">IF(L11=0,"0",N11/L11)</f>
        <v>0</v>
      </c>
      <c r="P11" s="39">
        <f t="shared" ref="P11" si="11">IF(L11=0,"0",(24-Q11))</f>
        <v>20</v>
      </c>
      <c r="Q11" s="40">
        <f t="shared" ref="Q11" si="12">SUM(R11:AA11)</f>
        <v>4</v>
      </c>
      <c r="R11" s="7"/>
      <c r="S11" s="6"/>
      <c r="T11" s="16">
        <v>4</v>
      </c>
      <c r="U11" s="16"/>
      <c r="V11" s="17"/>
      <c r="W11" s="5"/>
      <c r="X11" s="16"/>
      <c r="Y11" s="16"/>
      <c r="Z11" s="16"/>
      <c r="AA11" s="18"/>
      <c r="AB11" s="8">
        <f t="shared" ref="AB11" si="13">IF(J11=0,"0",(L11/J11))</f>
        <v>1</v>
      </c>
      <c r="AC11" s="9">
        <f t="shared" ref="AC11" si="14">IF(P11=0,"0",(P11/24))</f>
        <v>0.83333333333333337</v>
      </c>
      <c r="AD11" s="10">
        <f>AC11*AB11*(1-O11)</f>
        <v>0.83333333333333337</v>
      </c>
      <c r="AE11" s="36">
        <f t="shared" si="7"/>
        <v>0.44583333333333341</v>
      </c>
      <c r="AF11" s="84">
        <f t="shared" ref="AF11" si="15">A11</f>
        <v>5</v>
      </c>
    </row>
    <row r="12" spans="1:32" ht="27" customHeight="1">
      <c r="A12" s="96">
        <v>6</v>
      </c>
      <c r="B12" s="11" t="s">
        <v>57</v>
      </c>
      <c r="C12" s="11" t="s">
        <v>123</v>
      </c>
      <c r="D12" s="52"/>
      <c r="E12" s="53" t="s">
        <v>518</v>
      </c>
      <c r="F12" s="30" t="s">
        <v>301</v>
      </c>
      <c r="G12" s="33">
        <v>1</v>
      </c>
      <c r="H12" s="35">
        <v>24</v>
      </c>
      <c r="I12" s="7">
        <v>20000</v>
      </c>
      <c r="J12" s="14">
        <v>1837</v>
      </c>
      <c r="K12" s="15">
        <f>L12</f>
        <v>1837</v>
      </c>
      <c r="L12" s="15">
        <f>750+1087</f>
        <v>1837</v>
      </c>
      <c r="M12" s="15">
        <f t="shared" si="0"/>
        <v>1837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>
        <v>14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ref="AD12:AD16" si="16">AC12*AB12*(1-O12)</f>
        <v>0.41666666666666669</v>
      </c>
      <c r="AE12" s="36">
        <f t="shared" si="7"/>
        <v>0.44583333333333341</v>
      </c>
      <c r="AF12" s="84">
        <f t="shared" si="8"/>
        <v>6</v>
      </c>
    </row>
    <row r="13" spans="1:32" ht="27" customHeight="1">
      <c r="A13" s="96">
        <v>7</v>
      </c>
      <c r="B13" s="11" t="s">
        <v>490</v>
      </c>
      <c r="C13" s="11" t="s">
        <v>120</v>
      </c>
      <c r="D13" s="52" t="s">
        <v>115</v>
      </c>
      <c r="E13" s="53" t="s">
        <v>532</v>
      </c>
      <c r="F13" s="30" t="s">
        <v>132</v>
      </c>
      <c r="G13" s="33">
        <v>1</v>
      </c>
      <c r="H13" s="35">
        <v>24</v>
      </c>
      <c r="I13" s="7">
        <v>500</v>
      </c>
      <c r="J13" s="14">
        <v>480</v>
      </c>
      <c r="K13" s="15">
        <f>L13</f>
        <v>480</v>
      </c>
      <c r="L13" s="15">
        <v>480</v>
      </c>
      <c r="M13" s="15">
        <f t="shared" ref="M13" si="17">L13-N13</f>
        <v>480</v>
      </c>
      <c r="N13" s="15">
        <v>0</v>
      </c>
      <c r="O13" s="58">
        <f t="shared" ref="O13" si="18">IF(L13=0,"0",N13/L13)</f>
        <v>0</v>
      </c>
      <c r="P13" s="39">
        <f t="shared" ref="P13" si="19">IF(L13=0,"0",(24-Q13))</f>
        <v>4</v>
      </c>
      <c r="Q13" s="40">
        <f t="shared" ref="Q13" si="20">SUM(R13:AA13)</f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ref="AB13" si="21">IF(J13=0,"0",(L13/J13))</f>
        <v>1</v>
      </c>
      <c r="AC13" s="9">
        <f t="shared" ref="AC13" si="22">IF(P13=0,"0",(P13/24))</f>
        <v>0.16666666666666666</v>
      </c>
      <c r="AD13" s="10">
        <f t="shared" ref="AD13" si="23">AC13*AB13*(1-O13)</f>
        <v>0.16666666666666666</v>
      </c>
      <c r="AE13" s="36">
        <f t="shared" si="7"/>
        <v>0.44583333333333341</v>
      </c>
      <c r="AF13" s="84">
        <f t="shared" ref="AF13" si="24">A13</f>
        <v>7</v>
      </c>
    </row>
    <row r="14" spans="1:32" ht="27" customHeight="1">
      <c r="A14" s="96">
        <v>7</v>
      </c>
      <c r="B14" s="11" t="s">
        <v>490</v>
      </c>
      <c r="C14" s="11" t="s">
        <v>120</v>
      </c>
      <c r="D14" s="52" t="s">
        <v>130</v>
      </c>
      <c r="E14" s="53" t="s">
        <v>531</v>
      </c>
      <c r="F14" s="30" t="s">
        <v>132</v>
      </c>
      <c r="G14" s="33">
        <v>1</v>
      </c>
      <c r="H14" s="35">
        <v>24</v>
      </c>
      <c r="I14" s="7">
        <v>500</v>
      </c>
      <c r="J14" s="14">
        <v>480</v>
      </c>
      <c r="K14" s="15">
        <f>L14</f>
        <v>480</v>
      </c>
      <c r="L14" s="15">
        <v>480</v>
      </c>
      <c r="M14" s="15">
        <f t="shared" si="0"/>
        <v>480</v>
      </c>
      <c r="N14" s="15">
        <v>0</v>
      </c>
      <c r="O14" s="58">
        <f t="shared" si="1"/>
        <v>0</v>
      </c>
      <c r="P14" s="39">
        <f t="shared" si="2"/>
        <v>4</v>
      </c>
      <c r="Q14" s="40">
        <f t="shared" si="3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4"/>
        <v>1</v>
      </c>
      <c r="AC14" s="9">
        <f t="shared" si="5"/>
        <v>0.16666666666666666</v>
      </c>
      <c r="AD14" s="10">
        <f t="shared" si="16"/>
        <v>0.16666666666666666</v>
      </c>
      <c r="AE14" s="36">
        <f t="shared" si="7"/>
        <v>0.44583333333333341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34" t="s">
        <v>121</v>
      </c>
      <c r="D15" s="52" t="s">
        <v>115</v>
      </c>
      <c r="E15" s="53" t="s">
        <v>160</v>
      </c>
      <c r="F15" s="30" t="s">
        <v>124</v>
      </c>
      <c r="G15" s="33">
        <v>2</v>
      </c>
      <c r="H15" s="35">
        <v>24</v>
      </c>
      <c r="I15" s="7">
        <v>270000</v>
      </c>
      <c r="J15" s="5">
        <v>12344</v>
      </c>
      <c r="K15" s="15">
        <f>L15+10230+8758+7458+4298+5694+7524+3000+9774+6592+11326+12144+11050+10802+10910+9796+3412+4942+8464+12186+4876</f>
        <v>175580</v>
      </c>
      <c r="L15" s="15">
        <f>3172*2+3000*2</f>
        <v>12344</v>
      </c>
      <c r="M15" s="15">
        <f t="shared" si="0"/>
        <v>12344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>AC15*AB15*(1-O15)</f>
        <v>1</v>
      </c>
      <c r="AE15" s="36">
        <f t="shared" si="7"/>
        <v>0.44583333333333341</v>
      </c>
      <c r="AF15" s="84">
        <f t="shared" si="8"/>
        <v>8</v>
      </c>
    </row>
    <row r="16" spans="1:32" ht="27" customHeight="1">
      <c r="A16" s="106">
        <v>9</v>
      </c>
      <c r="B16" s="11" t="s">
        <v>57</v>
      </c>
      <c r="C16" s="34" t="s">
        <v>112</v>
      </c>
      <c r="D16" s="52" t="s">
        <v>115</v>
      </c>
      <c r="E16" s="53" t="s">
        <v>236</v>
      </c>
      <c r="F16" s="30" t="s">
        <v>249</v>
      </c>
      <c r="G16" s="33">
        <v>1</v>
      </c>
      <c r="H16" s="35">
        <v>24</v>
      </c>
      <c r="I16" s="7">
        <v>300</v>
      </c>
      <c r="J16" s="5">
        <v>329</v>
      </c>
      <c r="K16" s="15">
        <f>L16+242+329</f>
        <v>571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16"/>
        <v>0</v>
      </c>
      <c r="AE16" s="36">
        <f t="shared" si="7"/>
        <v>0.44583333333333341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123</v>
      </c>
      <c r="D17" s="52"/>
      <c r="E17" s="53" t="s">
        <v>509</v>
      </c>
      <c r="F17" s="12" t="s">
        <v>140</v>
      </c>
      <c r="G17" s="12">
        <v>1</v>
      </c>
      <c r="H17" s="13">
        <v>24</v>
      </c>
      <c r="I17" s="31">
        <v>20000</v>
      </c>
      <c r="J17" s="14">
        <v>873</v>
      </c>
      <c r="K17" s="15">
        <f>L17+2236</f>
        <v>3109</v>
      </c>
      <c r="L17" s="15">
        <v>873</v>
      </c>
      <c r="M17" s="15">
        <f t="shared" si="0"/>
        <v>873</v>
      </c>
      <c r="N17" s="15">
        <v>0</v>
      </c>
      <c r="O17" s="58">
        <f t="shared" si="1"/>
        <v>0</v>
      </c>
      <c r="P17" s="39">
        <f t="shared" si="2"/>
        <v>5</v>
      </c>
      <c r="Q17" s="40">
        <f t="shared" si="3"/>
        <v>19</v>
      </c>
      <c r="R17" s="7"/>
      <c r="S17" s="6">
        <v>19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6">
        <f t="shared" si="7"/>
        <v>0.44583333333333341</v>
      </c>
      <c r="AF17" s="84">
        <f t="shared" si="8"/>
        <v>10</v>
      </c>
    </row>
    <row r="18" spans="1:32" ht="30" customHeight="1">
      <c r="A18" s="95">
        <v>11</v>
      </c>
      <c r="B18" s="11" t="s">
        <v>57</v>
      </c>
      <c r="C18" s="34" t="s">
        <v>120</v>
      </c>
      <c r="D18" s="52" t="s">
        <v>215</v>
      </c>
      <c r="E18" s="53" t="s">
        <v>216</v>
      </c>
      <c r="F18" s="30" t="s">
        <v>225</v>
      </c>
      <c r="G18" s="12">
        <v>1</v>
      </c>
      <c r="H18" s="13">
        <v>24</v>
      </c>
      <c r="I18" s="7">
        <v>500</v>
      </c>
      <c r="J18" s="14">
        <v>495</v>
      </c>
      <c r="K18" s="15">
        <f>L18+495</f>
        <v>495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>
        <v>24</v>
      </c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0.44583333333333341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120</v>
      </c>
      <c r="D19" s="52" t="s">
        <v>130</v>
      </c>
      <c r="E19" s="53" t="s">
        <v>271</v>
      </c>
      <c r="F19" s="30" t="s">
        <v>187</v>
      </c>
      <c r="G19" s="12">
        <v>1</v>
      </c>
      <c r="H19" s="13">
        <v>24</v>
      </c>
      <c r="I19" s="7">
        <v>38000</v>
      </c>
      <c r="J19" s="14">
        <v>1943</v>
      </c>
      <c r="K19" s="15">
        <f>L19+3089+6204+6218+6271+6048+5995+5738</f>
        <v>41506</v>
      </c>
      <c r="L19" s="15">
        <v>1943</v>
      </c>
      <c r="M19" s="15">
        <f t="shared" si="0"/>
        <v>1943</v>
      </c>
      <c r="N19" s="15">
        <v>0</v>
      </c>
      <c r="O19" s="58">
        <f t="shared" si="1"/>
        <v>0</v>
      </c>
      <c r="P19" s="39">
        <f t="shared" si="2"/>
        <v>8</v>
      </c>
      <c r="Q19" s="40">
        <f t="shared" si="3"/>
        <v>16</v>
      </c>
      <c r="R19" s="7"/>
      <c r="S19" s="6"/>
      <c r="T19" s="16"/>
      <c r="U19" s="16"/>
      <c r="V19" s="17"/>
      <c r="W19" s="5">
        <v>16</v>
      </c>
      <c r="X19" s="16"/>
      <c r="Y19" s="16"/>
      <c r="Z19" s="16"/>
      <c r="AA19" s="18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6">
        <f t="shared" si="7"/>
        <v>0.44583333333333341</v>
      </c>
      <c r="AF19" s="84">
        <f t="shared" si="8"/>
        <v>12</v>
      </c>
    </row>
    <row r="20" spans="1:32" ht="30" customHeight="1">
      <c r="A20" s="95">
        <v>12</v>
      </c>
      <c r="B20" s="11" t="s">
        <v>57</v>
      </c>
      <c r="C20" s="34" t="s">
        <v>121</v>
      </c>
      <c r="D20" s="52" t="s">
        <v>250</v>
      </c>
      <c r="E20" s="53" t="s">
        <v>533</v>
      </c>
      <c r="F20" s="30" t="s">
        <v>252</v>
      </c>
      <c r="G20" s="12">
        <v>1</v>
      </c>
      <c r="H20" s="13">
        <v>24</v>
      </c>
      <c r="I20" s="7">
        <v>500</v>
      </c>
      <c r="J20" s="14">
        <v>556</v>
      </c>
      <c r="K20" s="15">
        <f>L20</f>
        <v>556</v>
      </c>
      <c r="L20" s="15">
        <f>556</f>
        <v>556</v>
      </c>
      <c r="M20" s="15">
        <f t="shared" ref="M20" si="25">L20-N20</f>
        <v>556</v>
      </c>
      <c r="N20" s="15">
        <v>0</v>
      </c>
      <c r="O20" s="58">
        <f t="shared" ref="O20" si="26">IF(L20=0,"0",N20/L20)</f>
        <v>0</v>
      </c>
      <c r="P20" s="39">
        <f t="shared" ref="P20" si="27">IF(L20=0,"0",(24-Q20))</f>
        <v>4</v>
      </c>
      <c r="Q20" s="40">
        <f t="shared" ref="Q20" si="28">SUM(R20:AA20)</f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ref="AB20" si="29">IF(J20=0,"0",(L20/J20))</f>
        <v>1</v>
      </c>
      <c r="AC20" s="9">
        <f t="shared" ref="AC20" si="30">IF(P20=0,"0",(P20/24))</f>
        <v>0.16666666666666666</v>
      </c>
      <c r="AD20" s="10">
        <f t="shared" ref="AD20" si="31">AC20*AB20*(1-O20)</f>
        <v>0.16666666666666666</v>
      </c>
      <c r="AE20" s="36">
        <f t="shared" si="7"/>
        <v>0.44583333333333341</v>
      </c>
      <c r="AF20" s="84">
        <f t="shared" ref="AF20" si="32">A20</f>
        <v>12</v>
      </c>
    </row>
    <row r="21" spans="1:32" ht="27" customHeight="1">
      <c r="A21" s="96">
        <v>13</v>
      </c>
      <c r="B21" s="11" t="s">
        <v>490</v>
      </c>
      <c r="C21" s="11" t="s">
        <v>120</v>
      </c>
      <c r="D21" s="52" t="s">
        <v>534</v>
      </c>
      <c r="E21" s="53">
        <v>3026700</v>
      </c>
      <c r="F21" s="30" t="s">
        <v>131</v>
      </c>
      <c r="G21" s="33">
        <v>1</v>
      </c>
      <c r="H21" s="35">
        <v>24</v>
      </c>
      <c r="I21" s="7">
        <v>1000</v>
      </c>
      <c r="J21" s="14">
        <v>1090</v>
      </c>
      <c r="K21" s="15">
        <f>L21</f>
        <v>1090</v>
      </c>
      <c r="L21" s="15">
        <v>1090</v>
      </c>
      <c r="M21" s="15">
        <f t="shared" si="0"/>
        <v>1090</v>
      </c>
      <c r="N21" s="15">
        <v>0</v>
      </c>
      <c r="O21" s="58">
        <f t="shared" si="1"/>
        <v>0</v>
      </c>
      <c r="P21" s="39">
        <f t="shared" si="2"/>
        <v>5</v>
      </c>
      <c r="Q21" s="40">
        <f t="shared" si="3"/>
        <v>19</v>
      </c>
      <c r="R21" s="7"/>
      <c r="S21" s="6"/>
      <c r="T21" s="16"/>
      <c r="U21" s="16"/>
      <c r="V21" s="17"/>
      <c r="W21" s="5">
        <v>19</v>
      </c>
      <c r="X21" s="16"/>
      <c r="Y21" s="16"/>
      <c r="Z21" s="16"/>
      <c r="AA21" s="18"/>
      <c r="AB21" s="8">
        <f t="shared" si="4"/>
        <v>1</v>
      </c>
      <c r="AC21" s="9">
        <f t="shared" si="5"/>
        <v>0.20833333333333334</v>
      </c>
      <c r="AD21" s="10">
        <f t="shared" si="6"/>
        <v>0.20833333333333334</v>
      </c>
      <c r="AE21" s="36">
        <f t="shared" si="7"/>
        <v>0.44583333333333341</v>
      </c>
      <c r="AF21" s="84">
        <f t="shared" si="8"/>
        <v>13</v>
      </c>
    </row>
    <row r="22" spans="1:32" ht="27" customHeight="1">
      <c r="A22" s="96">
        <v>14</v>
      </c>
      <c r="B22" s="11" t="s">
        <v>57</v>
      </c>
      <c r="C22" s="11" t="s">
        <v>120</v>
      </c>
      <c r="D22" s="52" t="s">
        <v>503</v>
      </c>
      <c r="E22" s="53" t="s">
        <v>496</v>
      </c>
      <c r="F22" s="30" t="s">
        <v>132</v>
      </c>
      <c r="G22" s="33">
        <v>1</v>
      </c>
      <c r="H22" s="35">
        <v>24</v>
      </c>
      <c r="I22" s="7">
        <v>15000</v>
      </c>
      <c r="J22" s="14">
        <v>5342</v>
      </c>
      <c r="K22" s="15">
        <f>L22+5025+4892</f>
        <v>15259</v>
      </c>
      <c r="L22" s="15">
        <f>2727+2615</f>
        <v>5342</v>
      </c>
      <c r="M22" s="15">
        <f t="shared" si="0"/>
        <v>5342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0.44583333333333341</v>
      </c>
      <c r="AF22" s="84">
        <f t="shared" si="8"/>
        <v>14</v>
      </c>
    </row>
    <row r="23" spans="1:32" ht="27" customHeight="1">
      <c r="A23" s="113">
        <v>15</v>
      </c>
      <c r="B23" s="11" t="s">
        <v>57</v>
      </c>
      <c r="C23" s="34" t="s">
        <v>121</v>
      </c>
      <c r="D23" s="52" t="s">
        <v>115</v>
      </c>
      <c r="E23" s="53" t="s">
        <v>200</v>
      </c>
      <c r="F23" s="30" t="s">
        <v>124</v>
      </c>
      <c r="G23" s="12">
        <v>2</v>
      </c>
      <c r="H23" s="13">
        <v>28</v>
      </c>
      <c r="I23" s="31">
        <v>400000</v>
      </c>
      <c r="J23" s="5">
        <v>1974</v>
      </c>
      <c r="K23" s="15">
        <f>L23+6852+6648+9128+6400+11510+3498+11566+8822+12584+12228+12656+7910+6546+12588+12484+12546+11476</f>
        <v>167416</v>
      </c>
      <c r="L23" s="15">
        <f>987*2</f>
        <v>1974</v>
      </c>
      <c r="M23" s="15">
        <f t="shared" ref="M23" si="33">L23-N23</f>
        <v>1974</v>
      </c>
      <c r="N23" s="15">
        <v>0</v>
      </c>
      <c r="O23" s="58">
        <f t="shared" ref="O23" si="34">IF(L23=0,"0",N23/L23)</f>
        <v>0</v>
      </c>
      <c r="P23" s="39">
        <f t="shared" ref="P23" si="35">IF(L23=0,"0",(24-Q23))</f>
        <v>3</v>
      </c>
      <c r="Q23" s="40">
        <f t="shared" ref="Q23" si="36">SUM(R23:AA23)</f>
        <v>21</v>
      </c>
      <c r="R23" s="7"/>
      <c r="S23" s="6"/>
      <c r="T23" s="16"/>
      <c r="U23" s="16"/>
      <c r="V23" s="17">
        <v>21</v>
      </c>
      <c r="W23" s="5"/>
      <c r="X23" s="16"/>
      <c r="Y23" s="16"/>
      <c r="Z23" s="16"/>
      <c r="AA23" s="18"/>
      <c r="AB23" s="8">
        <f t="shared" ref="AB23" si="37">IF(J23=0,"0",(L23/J23))</f>
        <v>1</v>
      </c>
      <c r="AC23" s="9">
        <f t="shared" ref="AC23" si="38">IF(P23=0,"0",(P23/24))</f>
        <v>0.125</v>
      </c>
      <c r="AD23" s="10">
        <f t="shared" ref="AD23" si="39">AC23*AB23*(1-O23)</f>
        <v>0.125</v>
      </c>
      <c r="AE23" s="36">
        <f t="shared" si="7"/>
        <v>0.44583333333333341</v>
      </c>
      <c r="AF23" s="84">
        <f t="shared" ref="AF23" si="40">A23</f>
        <v>15</v>
      </c>
    </row>
    <row r="24" spans="1:32" ht="27" customHeight="1">
      <c r="A24" s="113">
        <v>15</v>
      </c>
      <c r="B24" s="11" t="s">
        <v>57</v>
      </c>
      <c r="C24" s="34" t="s">
        <v>121</v>
      </c>
      <c r="D24" s="52" t="s">
        <v>115</v>
      </c>
      <c r="E24" s="53" t="s">
        <v>200</v>
      </c>
      <c r="F24" s="30" t="s">
        <v>124</v>
      </c>
      <c r="G24" s="12">
        <v>4</v>
      </c>
      <c r="H24" s="13">
        <v>28</v>
      </c>
      <c r="I24" s="31">
        <v>561000</v>
      </c>
      <c r="J24" s="5">
        <v>14284</v>
      </c>
      <c r="K24" s="15">
        <f>L24</f>
        <v>14284</v>
      </c>
      <c r="L24" s="15">
        <f>1288*4+2283*4</f>
        <v>14284</v>
      </c>
      <c r="M24" s="15">
        <f t="shared" si="0"/>
        <v>14284</v>
      </c>
      <c r="N24" s="15">
        <v>0</v>
      </c>
      <c r="O24" s="58">
        <f t="shared" si="1"/>
        <v>0</v>
      </c>
      <c r="P24" s="39">
        <f t="shared" si="2"/>
        <v>19</v>
      </c>
      <c r="Q24" s="40">
        <f t="shared" si="3"/>
        <v>5</v>
      </c>
      <c r="R24" s="7"/>
      <c r="S24" s="6"/>
      <c r="T24" s="16">
        <v>5</v>
      </c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0.79166666666666663</v>
      </c>
      <c r="AD24" s="10">
        <f t="shared" si="6"/>
        <v>0.79166666666666663</v>
      </c>
      <c r="AE24" s="36">
        <f t="shared" si="7"/>
        <v>0.44583333333333341</v>
      </c>
      <c r="AF24" s="84">
        <f t="shared" si="8"/>
        <v>15</v>
      </c>
    </row>
    <row r="25" spans="1:32" ht="27" customHeight="1" thickBot="1">
      <c r="A25" s="96">
        <v>16</v>
      </c>
      <c r="B25" s="11" t="s">
        <v>57</v>
      </c>
      <c r="C25" s="11" t="s">
        <v>113</v>
      </c>
      <c r="D25" s="52"/>
      <c r="E25" s="53" t="s">
        <v>134</v>
      </c>
      <c r="F25" s="12" t="s">
        <v>114</v>
      </c>
      <c r="G25" s="12">
        <v>4</v>
      </c>
      <c r="H25" s="35">
        <v>20</v>
      </c>
      <c r="I25" s="7">
        <v>500000</v>
      </c>
      <c r="J25" s="14">
        <v>36632</v>
      </c>
      <c r="K25" s="15">
        <f>L25+31044+37988+37244+33716+33120</f>
        <v>209744</v>
      </c>
      <c r="L25" s="15">
        <f>8485*4+673*4</f>
        <v>36632</v>
      </c>
      <c r="M25" s="15">
        <f t="shared" si="0"/>
        <v>36632</v>
      </c>
      <c r="N25" s="15">
        <v>0</v>
      </c>
      <c r="O25" s="58">
        <f t="shared" si="1"/>
        <v>0</v>
      </c>
      <c r="P25" s="39">
        <f t="shared" si="2"/>
        <v>14</v>
      </c>
      <c r="Q25" s="40">
        <f t="shared" si="3"/>
        <v>10</v>
      </c>
      <c r="R25" s="7"/>
      <c r="S25" s="6"/>
      <c r="T25" s="16"/>
      <c r="U25" s="16"/>
      <c r="V25" s="17">
        <v>10</v>
      </c>
      <c r="W25" s="5"/>
      <c r="X25" s="16"/>
      <c r="Y25" s="16"/>
      <c r="Z25" s="16"/>
      <c r="AA25" s="18"/>
      <c r="AB25" s="8">
        <f t="shared" si="4"/>
        <v>1</v>
      </c>
      <c r="AC25" s="9">
        <f t="shared" si="5"/>
        <v>0.58333333333333337</v>
      </c>
      <c r="AD25" s="10">
        <f t="shared" si="6"/>
        <v>0.58333333333333337</v>
      </c>
      <c r="AE25" s="36">
        <f t="shared" si="7"/>
        <v>0.44583333333333341</v>
      </c>
      <c r="AF25" s="84">
        <f t="shared" si="8"/>
        <v>16</v>
      </c>
    </row>
    <row r="26" spans="1:32" ht="31.5" customHeight="1" thickBot="1">
      <c r="A26" s="529" t="s">
        <v>34</v>
      </c>
      <c r="B26" s="530"/>
      <c r="C26" s="530"/>
      <c r="D26" s="530"/>
      <c r="E26" s="530"/>
      <c r="F26" s="530"/>
      <c r="G26" s="530"/>
      <c r="H26" s="531"/>
      <c r="I26" s="22">
        <f t="shared" ref="I26:N26" si="41">SUM(I6:I25)</f>
        <v>3904800</v>
      </c>
      <c r="J26" s="19">
        <f t="shared" si="41"/>
        <v>165269</v>
      </c>
      <c r="K26" s="20">
        <f t="shared" si="41"/>
        <v>1301404</v>
      </c>
      <c r="L26" s="21">
        <f t="shared" si="41"/>
        <v>163229</v>
      </c>
      <c r="M26" s="20">
        <f t="shared" si="41"/>
        <v>163229</v>
      </c>
      <c r="N26" s="21">
        <f t="shared" si="41"/>
        <v>0</v>
      </c>
      <c r="O26" s="41">
        <f t="shared" si="1"/>
        <v>0</v>
      </c>
      <c r="P26" s="42">
        <f t="shared" ref="P26:AA26" si="42">SUM(P6:P25)</f>
        <v>214</v>
      </c>
      <c r="Q26" s="43">
        <f t="shared" si="42"/>
        <v>266</v>
      </c>
      <c r="R26" s="23">
        <f t="shared" si="42"/>
        <v>24</v>
      </c>
      <c r="S26" s="24">
        <f t="shared" si="42"/>
        <v>33</v>
      </c>
      <c r="T26" s="24">
        <f t="shared" si="42"/>
        <v>9</v>
      </c>
      <c r="U26" s="24">
        <f t="shared" si="42"/>
        <v>0</v>
      </c>
      <c r="V26" s="25">
        <f t="shared" si="42"/>
        <v>52</v>
      </c>
      <c r="W26" s="26">
        <f t="shared" si="42"/>
        <v>124</v>
      </c>
      <c r="X26" s="27">
        <f t="shared" si="42"/>
        <v>0</v>
      </c>
      <c r="Y26" s="27">
        <f t="shared" si="42"/>
        <v>0</v>
      </c>
      <c r="Z26" s="27">
        <f t="shared" si="42"/>
        <v>0</v>
      </c>
      <c r="AA26" s="27">
        <f t="shared" si="42"/>
        <v>24</v>
      </c>
      <c r="AB26" s="28">
        <f>AVERAGE(AB6:AB25)</f>
        <v>0.85</v>
      </c>
      <c r="AC26" s="4">
        <f>AVERAGE(AC6:AC25)</f>
        <v>0.44583333333333341</v>
      </c>
      <c r="AD26" s="4">
        <f>AVERAGE(AD6:AD25)</f>
        <v>0.44583333333333341</v>
      </c>
      <c r="AE26" s="29"/>
    </row>
    <row r="28" spans="1:32" ht="18.75">
      <c r="A28" s="2"/>
      <c r="B28" s="2" t="s">
        <v>35</v>
      </c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 t="s">
        <v>36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1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85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27">
      <c r="A43" s="59"/>
      <c r="B43" s="59"/>
      <c r="C43" s="59"/>
      <c r="D43" s="59"/>
      <c r="E43" s="59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F43" s="50"/>
    </row>
    <row r="44" spans="1:32" ht="29.25" customHeight="1">
      <c r="A44" s="60"/>
      <c r="B44" s="60"/>
      <c r="C44" s="61"/>
      <c r="D44" s="61"/>
      <c r="E44" s="61"/>
      <c r="F44" s="60"/>
      <c r="G44" s="60"/>
      <c r="H44" s="60"/>
      <c r="I44" s="60"/>
      <c r="J44" s="60"/>
      <c r="K44" s="60"/>
      <c r="L44" s="60"/>
      <c r="M44" s="61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36" thickBot="1">
      <c r="A53" s="532" t="s">
        <v>45</v>
      </c>
      <c r="B53" s="532"/>
      <c r="C53" s="532"/>
      <c r="D53" s="532"/>
      <c r="E53" s="532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26.25" thickBot="1">
      <c r="A54" s="533" t="s">
        <v>535</v>
      </c>
      <c r="B54" s="534"/>
      <c r="C54" s="534"/>
      <c r="D54" s="534"/>
      <c r="E54" s="534"/>
      <c r="F54" s="534"/>
      <c r="G54" s="534"/>
      <c r="H54" s="534"/>
      <c r="I54" s="534"/>
      <c r="J54" s="534"/>
      <c r="K54" s="534"/>
      <c r="L54" s="534"/>
      <c r="M54" s="535"/>
      <c r="N54" s="536" t="s">
        <v>538</v>
      </c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8"/>
    </row>
    <row r="55" spans="1:32" ht="27" customHeight="1">
      <c r="A55" s="539" t="s">
        <v>2</v>
      </c>
      <c r="B55" s="540"/>
      <c r="C55" s="364" t="s">
        <v>46</v>
      </c>
      <c r="D55" s="364" t="s">
        <v>47</v>
      </c>
      <c r="E55" s="364" t="s">
        <v>107</v>
      </c>
      <c r="F55" s="541" t="s">
        <v>106</v>
      </c>
      <c r="G55" s="542"/>
      <c r="H55" s="542"/>
      <c r="I55" s="542"/>
      <c r="J55" s="542"/>
      <c r="K55" s="542"/>
      <c r="L55" s="542"/>
      <c r="M55" s="543"/>
      <c r="N55" s="67" t="s">
        <v>110</v>
      </c>
      <c r="O55" s="364" t="s">
        <v>46</v>
      </c>
      <c r="P55" s="541" t="s">
        <v>47</v>
      </c>
      <c r="Q55" s="544"/>
      <c r="R55" s="541" t="s">
        <v>38</v>
      </c>
      <c r="S55" s="542"/>
      <c r="T55" s="542"/>
      <c r="U55" s="544"/>
      <c r="V55" s="541" t="s">
        <v>48</v>
      </c>
      <c r="W55" s="542"/>
      <c r="X55" s="542"/>
      <c r="Y55" s="542"/>
      <c r="Z55" s="542"/>
      <c r="AA55" s="542"/>
      <c r="AB55" s="542"/>
      <c r="AC55" s="542"/>
      <c r="AD55" s="543"/>
    </row>
    <row r="56" spans="1:32" ht="27" customHeight="1">
      <c r="A56" s="510" t="s">
        <v>121</v>
      </c>
      <c r="B56" s="511"/>
      <c r="C56" s="361" t="s">
        <v>203</v>
      </c>
      <c r="D56" s="361" t="s">
        <v>115</v>
      </c>
      <c r="E56" s="361" t="s">
        <v>417</v>
      </c>
      <c r="F56" s="512" t="s">
        <v>536</v>
      </c>
      <c r="G56" s="513"/>
      <c r="H56" s="513"/>
      <c r="I56" s="513"/>
      <c r="J56" s="513"/>
      <c r="K56" s="513"/>
      <c r="L56" s="513"/>
      <c r="M56" s="514"/>
      <c r="N56" s="360" t="s">
        <v>123</v>
      </c>
      <c r="O56" s="358" t="s">
        <v>169</v>
      </c>
      <c r="P56" s="524"/>
      <c r="Q56" s="525"/>
      <c r="R56" s="524" t="s">
        <v>518</v>
      </c>
      <c r="S56" s="526"/>
      <c r="T56" s="526"/>
      <c r="U56" s="525"/>
      <c r="V56" s="496" t="s">
        <v>180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123</v>
      </c>
      <c r="B57" s="511"/>
      <c r="C57" s="361" t="s">
        <v>174</v>
      </c>
      <c r="D57" s="361"/>
      <c r="E57" s="361" t="s">
        <v>509</v>
      </c>
      <c r="F57" s="512" t="s">
        <v>353</v>
      </c>
      <c r="G57" s="513"/>
      <c r="H57" s="513"/>
      <c r="I57" s="513"/>
      <c r="J57" s="513"/>
      <c r="K57" s="513"/>
      <c r="L57" s="513"/>
      <c r="M57" s="514"/>
      <c r="N57" s="360" t="s">
        <v>123</v>
      </c>
      <c r="O57" s="358" t="s">
        <v>174</v>
      </c>
      <c r="P57" s="524"/>
      <c r="Q57" s="525"/>
      <c r="R57" s="524" t="s">
        <v>509</v>
      </c>
      <c r="S57" s="526"/>
      <c r="T57" s="526"/>
      <c r="U57" s="525"/>
      <c r="V57" s="496" t="s">
        <v>180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120</v>
      </c>
      <c r="B58" s="511"/>
      <c r="C58" s="361" t="s">
        <v>197</v>
      </c>
      <c r="D58" s="361" t="s">
        <v>534</v>
      </c>
      <c r="E58" s="361" t="s">
        <v>537</v>
      </c>
      <c r="F58" s="512" t="s">
        <v>320</v>
      </c>
      <c r="G58" s="513"/>
      <c r="H58" s="513"/>
      <c r="I58" s="513"/>
      <c r="J58" s="513"/>
      <c r="K58" s="513"/>
      <c r="L58" s="513"/>
      <c r="M58" s="514"/>
      <c r="N58" s="360" t="s">
        <v>121</v>
      </c>
      <c r="O58" s="358" t="s">
        <v>203</v>
      </c>
      <c r="P58" s="524" t="s">
        <v>115</v>
      </c>
      <c r="Q58" s="525"/>
      <c r="R58" s="524" t="s">
        <v>417</v>
      </c>
      <c r="S58" s="526"/>
      <c r="T58" s="526"/>
      <c r="U58" s="525"/>
      <c r="V58" s="496" t="s">
        <v>180</v>
      </c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10" t="s">
        <v>121</v>
      </c>
      <c r="B59" s="511"/>
      <c r="C59" s="361" t="s">
        <v>148</v>
      </c>
      <c r="D59" s="361" t="s">
        <v>250</v>
      </c>
      <c r="E59" s="361" t="s">
        <v>533</v>
      </c>
      <c r="F59" s="512" t="s">
        <v>118</v>
      </c>
      <c r="G59" s="513"/>
      <c r="H59" s="513"/>
      <c r="I59" s="513"/>
      <c r="J59" s="513"/>
      <c r="K59" s="513"/>
      <c r="L59" s="513"/>
      <c r="M59" s="514"/>
      <c r="N59" s="360"/>
      <c r="O59" s="358"/>
      <c r="P59" s="524"/>
      <c r="Q59" s="525"/>
      <c r="R59" s="524"/>
      <c r="S59" s="526"/>
      <c r="T59" s="526"/>
      <c r="U59" s="525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 t="s">
        <v>120</v>
      </c>
      <c r="B60" s="511"/>
      <c r="C60" s="361" t="s">
        <v>267</v>
      </c>
      <c r="D60" s="361" t="s">
        <v>115</v>
      </c>
      <c r="E60" s="361" t="s">
        <v>532</v>
      </c>
      <c r="F60" s="512" t="s">
        <v>320</v>
      </c>
      <c r="G60" s="513"/>
      <c r="H60" s="513"/>
      <c r="I60" s="513"/>
      <c r="J60" s="513"/>
      <c r="K60" s="513"/>
      <c r="L60" s="513"/>
      <c r="M60" s="514"/>
      <c r="N60" s="360"/>
      <c r="O60" s="358"/>
      <c r="P60" s="524"/>
      <c r="Q60" s="525"/>
      <c r="R60" s="524"/>
      <c r="S60" s="526"/>
      <c r="T60" s="526"/>
      <c r="U60" s="525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 t="s">
        <v>120</v>
      </c>
      <c r="B61" s="511"/>
      <c r="C61" s="361" t="s">
        <v>267</v>
      </c>
      <c r="D61" s="361" t="s">
        <v>130</v>
      </c>
      <c r="E61" s="361" t="s">
        <v>531</v>
      </c>
      <c r="F61" s="512" t="s">
        <v>320</v>
      </c>
      <c r="G61" s="513"/>
      <c r="H61" s="513"/>
      <c r="I61" s="513"/>
      <c r="J61" s="513"/>
      <c r="K61" s="513"/>
      <c r="L61" s="513"/>
      <c r="M61" s="514"/>
      <c r="N61" s="360"/>
      <c r="O61" s="358"/>
      <c r="P61" s="524"/>
      <c r="Q61" s="525"/>
      <c r="R61" s="524"/>
      <c r="S61" s="526"/>
      <c r="T61" s="526"/>
      <c r="U61" s="525"/>
      <c r="V61" s="496"/>
      <c r="W61" s="496"/>
      <c r="X61" s="496"/>
      <c r="Y61" s="496"/>
      <c r="Z61" s="496"/>
      <c r="AA61" s="496"/>
      <c r="AB61" s="496"/>
      <c r="AC61" s="496"/>
      <c r="AD61" s="515"/>
    </row>
    <row r="62" spans="1:32" ht="27" customHeight="1">
      <c r="A62" s="567" t="s">
        <v>121</v>
      </c>
      <c r="B62" s="568"/>
      <c r="C62" s="366" t="s">
        <v>192</v>
      </c>
      <c r="D62" s="366" t="s">
        <v>150</v>
      </c>
      <c r="E62" s="361" t="s">
        <v>486</v>
      </c>
      <c r="F62" s="512" t="s">
        <v>173</v>
      </c>
      <c r="G62" s="513"/>
      <c r="H62" s="513"/>
      <c r="I62" s="513"/>
      <c r="J62" s="513"/>
      <c r="K62" s="513"/>
      <c r="L62" s="513"/>
      <c r="M62" s="514"/>
      <c r="N62" s="360"/>
      <c r="O62" s="358"/>
      <c r="P62" s="524"/>
      <c r="Q62" s="525"/>
      <c r="R62" s="511"/>
      <c r="S62" s="511"/>
      <c r="T62" s="511"/>
      <c r="U62" s="511"/>
      <c r="V62" s="496"/>
      <c r="W62" s="496"/>
      <c r="X62" s="496"/>
      <c r="Y62" s="496"/>
      <c r="Z62" s="496"/>
      <c r="AA62" s="496"/>
      <c r="AB62" s="496"/>
      <c r="AC62" s="496"/>
      <c r="AD62" s="515"/>
    </row>
    <row r="63" spans="1:32" ht="27" customHeight="1">
      <c r="A63" s="567" t="s">
        <v>123</v>
      </c>
      <c r="B63" s="568"/>
      <c r="C63" s="366" t="s">
        <v>169</v>
      </c>
      <c r="D63" s="366"/>
      <c r="E63" s="361" t="s">
        <v>518</v>
      </c>
      <c r="F63" s="512" t="s">
        <v>494</v>
      </c>
      <c r="G63" s="513"/>
      <c r="H63" s="513"/>
      <c r="I63" s="513"/>
      <c r="J63" s="513"/>
      <c r="K63" s="513"/>
      <c r="L63" s="513"/>
      <c r="M63" s="514"/>
      <c r="N63" s="360"/>
      <c r="O63" s="358"/>
      <c r="P63" s="524"/>
      <c r="Q63" s="525"/>
      <c r="R63" s="511"/>
      <c r="S63" s="511"/>
      <c r="T63" s="511"/>
      <c r="U63" s="511"/>
      <c r="V63" s="496"/>
      <c r="W63" s="496"/>
      <c r="X63" s="496"/>
      <c r="Y63" s="496"/>
      <c r="Z63" s="496"/>
      <c r="AA63" s="496"/>
      <c r="AB63" s="496"/>
      <c r="AC63" s="496"/>
      <c r="AD63" s="515"/>
    </row>
    <row r="64" spans="1:32" ht="27" customHeight="1">
      <c r="A64" s="510"/>
      <c r="B64" s="511"/>
      <c r="C64" s="361"/>
      <c r="D64" s="361"/>
      <c r="E64" s="361"/>
      <c r="F64" s="512"/>
      <c r="G64" s="513"/>
      <c r="H64" s="513"/>
      <c r="I64" s="513"/>
      <c r="J64" s="513"/>
      <c r="K64" s="513"/>
      <c r="L64" s="513"/>
      <c r="M64" s="514"/>
      <c r="N64" s="360"/>
      <c r="O64" s="358"/>
      <c r="P64" s="511"/>
      <c r="Q64" s="511"/>
      <c r="R64" s="511"/>
      <c r="S64" s="511"/>
      <c r="T64" s="511"/>
      <c r="U64" s="511"/>
      <c r="V64" s="496"/>
      <c r="W64" s="496"/>
      <c r="X64" s="496"/>
      <c r="Y64" s="496"/>
      <c r="Z64" s="496"/>
      <c r="AA64" s="496"/>
      <c r="AB64" s="496"/>
      <c r="AC64" s="496"/>
      <c r="AD64" s="515"/>
      <c r="AF64" s="84">
        <f>8*3000</f>
        <v>24000</v>
      </c>
    </row>
    <row r="65" spans="1:32" ht="27" customHeight="1" thickBot="1">
      <c r="A65" s="516"/>
      <c r="B65" s="517"/>
      <c r="C65" s="362"/>
      <c r="D65" s="363"/>
      <c r="E65" s="363"/>
      <c r="F65" s="518"/>
      <c r="G65" s="519"/>
      <c r="H65" s="519"/>
      <c r="I65" s="519"/>
      <c r="J65" s="519"/>
      <c r="K65" s="519"/>
      <c r="L65" s="519"/>
      <c r="M65" s="520"/>
      <c r="N65" s="112"/>
      <c r="O65" s="103"/>
      <c r="P65" s="521"/>
      <c r="Q65" s="521"/>
      <c r="R65" s="521"/>
      <c r="S65" s="521"/>
      <c r="T65" s="521"/>
      <c r="U65" s="521"/>
      <c r="V65" s="522"/>
      <c r="W65" s="522"/>
      <c r="X65" s="522"/>
      <c r="Y65" s="522"/>
      <c r="Z65" s="522"/>
      <c r="AA65" s="522"/>
      <c r="AB65" s="522"/>
      <c r="AC65" s="522"/>
      <c r="AD65" s="523"/>
      <c r="AF65" s="84">
        <f>16*3000</f>
        <v>48000</v>
      </c>
    </row>
    <row r="66" spans="1:32" ht="27.75" thickBot="1">
      <c r="A66" s="508" t="s">
        <v>539</v>
      </c>
      <c r="B66" s="508"/>
      <c r="C66" s="508"/>
      <c r="D66" s="508"/>
      <c r="E66" s="508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F66" s="84">
        <v>24000</v>
      </c>
    </row>
    <row r="67" spans="1:32" ht="29.25" customHeight="1" thickBot="1">
      <c r="A67" s="509" t="s">
        <v>111</v>
      </c>
      <c r="B67" s="503"/>
      <c r="C67" s="359" t="s">
        <v>2</v>
      </c>
      <c r="D67" s="359" t="s">
        <v>37</v>
      </c>
      <c r="E67" s="359" t="s">
        <v>3</v>
      </c>
      <c r="F67" s="503" t="s">
        <v>109</v>
      </c>
      <c r="G67" s="503"/>
      <c r="H67" s="503"/>
      <c r="I67" s="503"/>
      <c r="J67" s="503"/>
      <c r="K67" s="503" t="s">
        <v>39</v>
      </c>
      <c r="L67" s="503"/>
      <c r="M67" s="359" t="s">
        <v>40</v>
      </c>
      <c r="N67" s="503" t="s">
        <v>41</v>
      </c>
      <c r="O67" s="503"/>
      <c r="P67" s="500" t="s">
        <v>42</v>
      </c>
      <c r="Q67" s="502"/>
      <c r="R67" s="500" t="s">
        <v>43</v>
      </c>
      <c r="S67" s="501"/>
      <c r="T67" s="501"/>
      <c r="U67" s="501"/>
      <c r="V67" s="501"/>
      <c r="W67" s="501"/>
      <c r="X67" s="501"/>
      <c r="Y67" s="501"/>
      <c r="Z67" s="501"/>
      <c r="AA67" s="502"/>
      <c r="AB67" s="503" t="s">
        <v>44</v>
      </c>
      <c r="AC67" s="503"/>
      <c r="AD67" s="504"/>
      <c r="AF67" s="84">
        <f>SUM(AF64:AF66)</f>
        <v>96000</v>
      </c>
    </row>
    <row r="68" spans="1:32" ht="25.5" customHeight="1">
      <c r="A68" s="491">
        <v>1</v>
      </c>
      <c r="B68" s="492"/>
      <c r="C68" s="105" t="s">
        <v>120</v>
      </c>
      <c r="D68" s="354"/>
      <c r="E68" s="357" t="s">
        <v>130</v>
      </c>
      <c r="F68" s="497" t="s">
        <v>241</v>
      </c>
      <c r="G68" s="498"/>
      <c r="H68" s="498"/>
      <c r="I68" s="498"/>
      <c r="J68" s="499"/>
      <c r="K68" s="485" t="s">
        <v>540</v>
      </c>
      <c r="L68" s="485"/>
      <c r="M68" s="51" t="s">
        <v>188</v>
      </c>
      <c r="N68" s="494" t="s">
        <v>189</v>
      </c>
      <c r="O68" s="494"/>
      <c r="P68" s="495">
        <v>50</v>
      </c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505"/>
      <c r="AC68" s="506"/>
      <c r="AD68" s="507"/>
      <c r="AF68" s="50"/>
    </row>
    <row r="69" spans="1:32" ht="25.5" customHeight="1">
      <c r="A69" s="491">
        <v>2</v>
      </c>
      <c r="B69" s="492"/>
      <c r="C69" s="105" t="s">
        <v>120</v>
      </c>
      <c r="D69" s="354"/>
      <c r="E69" s="357" t="s">
        <v>130</v>
      </c>
      <c r="F69" s="497" t="s">
        <v>531</v>
      </c>
      <c r="G69" s="498"/>
      <c r="H69" s="498"/>
      <c r="I69" s="498"/>
      <c r="J69" s="499"/>
      <c r="K69" s="485">
        <v>7301</v>
      </c>
      <c r="L69" s="485"/>
      <c r="M69" s="51" t="s">
        <v>272</v>
      </c>
      <c r="N69" s="494" t="s">
        <v>267</v>
      </c>
      <c r="O69" s="494"/>
      <c r="P69" s="495">
        <v>50</v>
      </c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3</v>
      </c>
      <c r="B70" s="492"/>
      <c r="C70" s="105" t="s">
        <v>120</v>
      </c>
      <c r="D70" s="354"/>
      <c r="E70" s="357" t="s">
        <v>115</v>
      </c>
      <c r="F70" s="497" t="s">
        <v>532</v>
      </c>
      <c r="G70" s="498"/>
      <c r="H70" s="498"/>
      <c r="I70" s="498"/>
      <c r="J70" s="499"/>
      <c r="K70" s="485">
        <v>7301</v>
      </c>
      <c r="L70" s="485"/>
      <c r="M70" s="51" t="s">
        <v>272</v>
      </c>
      <c r="N70" s="494" t="s">
        <v>267</v>
      </c>
      <c r="O70" s="494"/>
      <c r="P70" s="495">
        <v>50</v>
      </c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4</v>
      </c>
      <c r="B71" s="492"/>
      <c r="C71" s="105" t="s">
        <v>120</v>
      </c>
      <c r="D71" s="354"/>
      <c r="E71" s="357" t="s">
        <v>141</v>
      </c>
      <c r="F71" s="497" t="s">
        <v>541</v>
      </c>
      <c r="G71" s="498"/>
      <c r="H71" s="498"/>
      <c r="I71" s="498"/>
      <c r="J71" s="499"/>
      <c r="K71" s="485" t="s">
        <v>225</v>
      </c>
      <c r="L71" s="485"/>
      <c r="M71" s="51" t="s">
        <v>196</v>
      </c>
      <c r="N71" s="494" t="s">
        <v>197</v>
      </c>
      <c r="O71" s="494"/>
      <c r="P71" s="495"/>
      <c r="Q71" s="495"/>
      <c r="R71" s="496" t="s">
        <v>542</v>
      </c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5</v>
      </c>
      <c r="B72" s="492"/>
      <c r="C72" s="105" t="s">
        <v>121</v>
      </c>
      <c r="D72" s="354"/>
      <c r="E72" s="357" t="s">
        <v>150</v>
      </c>
      <c r="F72" s="497" t="s">
        <v>543</v>
      </c>
      <c r="G72" s="498"/>
      <c r="H72" s="498"/>
      <c r="I72" s="498"/>
      <c r="J72" s="499"/>
      <c r="K72" s="485" t="s">
        <v>124</v>
      </c>
      <c r="L72" s="485"/>
      <c r="M72" s="51" t="s">
        <v>188</v>
      </c>
      <c r="N72" s="494" t="s">
        <v>197</v>
      </c>
      <c r="O72" s="494"/>
      <c r="P72" s="495">
        <v>100</v>
      </c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6</v>
      </c>
      <c r="B73" s="492"/>
      <c r="C73" s="105" t="s">
        <v>120</v>
      </c>
      <c r="D73" s="354"/>
      <c r="E73" s="357" t="s">
        <v>534</v>
      </c>
      <c r="F73" s="497">
        <v>3026700</v>
      </c>
      <c r="G73" s="498"/>
      <c r="H73" s="498"/>
      <c r="I73" s="498"/>
      <c r="J73" s="499"/>
      <c r="K73" s="485" t="s">
        <v>131</v>
      </c>
      <c r="L73" s="485"/>
      <c r="M73" s="51" t="s">
        <v>272</v>
      </c>
      <c r="N73" s="494" t="s">
        <v>197</v>
      </c>
      <c r="O73" s="494"/>
      <c r="P73" s="495">
        <v>50</v>
      </c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7</v>
      </c>
      <c r="B74" s="492"/>
      <c r="C74" s="105"/>
      <c r="D74" s="354"/>
      <c r="E74" s="357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5.5" customHeight="1">
      <c r="A75" s="491">
        <v>8</v>
      </c>
      <c r="B75" s="492"/>
      <c r="C75" s="105"/>
      <c r="D75" s="354"/>
      <c r="E75" s="357"/>
      <c r="F75" s="493"/>
      <c r="G75" s="485"/>
      <c r="H75" s="485"/>
      <c r="I75" s="485"/>
      <c r="J75" s="485"/>
      <c r="K75" s="485"/>
      <c r="L75" s="485"/>
      <c r="M75" s="51"/>
      <c r="N75" s="494"/>
      <c r="O75" s="494"/>
      <c r="P75" s="495"/>
      <c r="Q75" s="495"/>
      <c r="R75" s="496"/>
      <c r="S75" s="496"/>
      <c r="T75" s="496"/>
      <c r="U75" s="496"/>
      <c r="V75" s="496"/>
      <c r="W75" s="496"/>
      <c r="X75" s="496"/>
      <c r="Y75" s="496"/>
      <c r="Z75" s="496"/>
      <c r="AA75" s="496"/>
      <c r="AB75" s="485"/>
      <c r="AC75" s="485"/>
      <c r="AD75" s="486"/>
      <c r="AF75" s="50"/>
    </row>
    <row r="76" spans="1:32" ht="25.5" customHeight="1">
      <c r="A76" s="491">
        <v>9</v>
      </c>
      <c r="B76" s="492"/>
      <c r="C76" s="105"/>
      <c r="D76" s="354"/>
      <c r="E76" s="357"/>
      <c r="F76" s="493"/>
      <c r="G76" s="485"/>
      <c r="H76" s="485"/>
      <c r="I76" s="485"/>
      <c r="J76" s="485"/>
      <c r="K76" s="485"/>
      <c r="L76" s="485"/>
      <c r="M76" s="51"/>
      <c r="N76" s="494"/>
      <c r="O76" s="494"/>
      <c r="P76" s="495"/>
      <c r="Q76" s="495"/>
      <c r="R76" s="496"/>
      <c r="S76" s="496"/>
      <c r="T76" s="496"/>
      <c r="U76" s="496"/>
      <c r="V76" s="496"/>
      <c r="W76" s="496"/>
      <c r="X76" s="496"/>
      <c r="Y76" s="496"/>
      <c r="Z76" s="496"/>
      <c r="AA76" s="496"/>
      <c r="AB76" s="485"/>
      <c r="AC76" s="485"/>
      <c r="AD76" s="486"/>
      <c r="AF76" s="50"/>
    </row>
    <row r="77" spans="1:32" ht="25.5" customHeight="1">
      <c r="A77" s="491">
        <v>10</v>
      </c>
      <c r="B77" s="492"/>
      <c r="C77" s="105"/>
      <c r="D77" s="354"/>
      <c r="E77" s="357"/>
      <c r="F77" s="493"/>
      <c r="G77" s="485"/>
      <c r="H77" s="485"/>
      <c r="I77" s="485"/>
      <c r="J77" s="485"/>
      <c r="K77" s="485"/>
      <c r="L77" s="485"/>
      <c r="M77" s="51"/>
      <c r="N77" s="494"/>
      <c r="O77" s="494"/>
      <c r="P77" s="495"/>
      <c r="Q77" s="495"/>
      <c r="R77" s="496"/>
      <c r="S77" s="496"/>
      <c r="T77" s="496"/>
      <c r="U77" s="496"/>
      <c r="V77" s="496"/>
      <c r="W77" s="496"/>
      <c r="X77" s="496"/>
      <c r="Y77" s="496"/>
      <c r="Z77" s="496"/>
      <c r="AA77" s="496"/>
      <c r="AB77" s="485"/>
      <c r="AC77" s="485"/>
      <c r="AD77" s="486"/>
      <c r="AF77" s="50"/>
    </row>
    <row r="78" spans="1:32" ht="26.25" customHeight="1" thickBot="1">
      <c r="A78" s="465" t="s">
        <v>544</v>
      </c>
      <c r="B78" s="465"/>
      <c r="C78" s="465"/>
      <c r="D78" s="465"/>
      <c r="E78" s="465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F78" s="50"/>
    </row>
    <row r="79" spans="1:32" ht="23.25" thickBot="1">
      <c r="A79" s="466" t="s">
        <v>111</v>
      </c>
      <c r="B79" s="467"/>
      <c r="C79" s="356" t="s">
        <v>2</v>
      </c>
      <c r="D79" s="356" t="s">
        <v>37</v>
      </c>
      <c r="E79" s="356" t="s">
        <v>273</v>
      </c>
      <c r="F79" s="467" t="s">
        <v>38</v>
      </c>
      <c r="G79" s="467"/>
      <c r="H79" s="467"/>
      <c r="I79" s="467"/>
      <c r="J79" s="467"/>
      <c r="K79" s="487" t="s">
        <v>58</v>
      </c>
      <c r="L79" s="488"/>
      <c r="M79" s="488"/>
      <c r="N79" s="488"/>
      <c r="O79" s="488"/>
      <c r="P79" s="488"/>
      <c r="Q79" s="488"/>
      <c r="R79" s="488"/>
      <c r="S79" s="489"/>
      <c r="T79" s="467" t="s">
        <v>49</v>
      </c>
      <c r="U79" s="467"/>
      <c r="V79" s="487" t="s">
        <v>50</v>
      </c>
      <c r="W79" s="489"/>
      <c r="X79" s="488" t="s">
        <v>51</v>
      </c>
      <c r="Y79" s="488"/>
      <c r="Z79" s="488"/>
      <c r="AA79" s="488"/>
      <c r="AB79" s="488"/>
      <c r="AC79" s="488"/>
      <c r="AD79" s="490"/>
      <c r="AF79" s="50"/>
    </row>
    <row r="80" spans="1:32" ht="33.75" customHeight="1">
      <c r="A80" s="459">
        <v>1</v>
      </c>
      <c r="B80" s="460"/>
      <c r="C80" s="355" t="s">
        <v>112</v>
      </c>
      <c r="D80" s="355"/>
      <c r="E80" s="65" t="s">
        <v>117</v>
      </c>
      <c r="F80" s="474" t="s">
        <v>116</v>
      </c>
      <c r="G80" s="475"/>
      <c r="H80" s="475"/>
      <c r="I80" s="475"/>
      <c r="J80" s="476"/>
      <c r="K80" s="477" t="s">
        <v>122</v>
      </c>
      <c r="L80" s="478"/>
      <c r="M80" s="478"/>
      <c r="N80" s="478"/>
      <c r="O80" s="478"/>
      <c r="P80" s="478"/>
      <c r="Q80" s="478"/>
      <c r="R80" s="478"/>
      <c r="S80" s="479"/>
      <c r="T80" s="480">
        <v>43675</v>
      </c>
      <c r="U80" s="481"/>
      <c r="V80" s="482"/>
      <c r="W80" s="482"/>
      <c r="X80" s="483"/>
      <c r="Y80" s="483"/>
      <c r="Z80" s="483"/>
      <c r="AA80" s="483"/>
      <c r="AB80" s="483"/>
      <c r="AC80" s="483"/>
      <c r="AD80" s="484"/>
      <c r="AF80" s="50"/>
    </row>
    <row r="81" spans="1:32" ht="30" customHeight="1">
      <c r="A81" s="452">
        <f>A80+1</f>
        <v>2</v>
      </c>
      <c r="B81" s="453"/>
      <c r="C81" s="354"/>
      <c r="D81" s="354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ref="A82:A86" si="43">A81+1</f>
        <v>3</v>
      </c>
      <c r="B82" s="453"/>
      <c r="C82" s="354"/>
      <c r="D82" s="354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43"/>
        <v>4</v>
      </c>
      <c r="B83" s="453"/>
      <c r="C83" s="354"/>
      <c r="D83" s="354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0" customHeight="1">
      <c r="A84" s="452">
        <f t="shared" si="43"/>
        <v>5</v>
      </c>
      <c r="B84" s="453"/>
      <c r="C84" s="354"/>
      <c r="D84" s="354"/>
      <c r="E84" s="32"/>
      <c r="F84" s="453"/>
      <c r="G84" s="453"/>
      <c r="H84" s="453"/>
      <c r="I84" s="453"/>
      <c r="J84" s="453"/>
      <c r="K84" s="468"/>
      <c r="L84" s="469"/>
      <c r="M84" s="469"/>
      <c r="N84" s="469"/>
      <c r="O84" s="469"/>
      <c r="P84" s="469"/>
      <c r="Q84" s="469"/>
      <c r="R84" s="469"/>
      <c r="S84" s="470"/>
      <c r="T84" s="471"/>
      <c r="U84" s="471"/>
      <c r="V84" s="471"/>
      <c r="W84" s="471"/>
      <c r="X84" s="472"/>
      <c r="Y84" s="472"/>
      <c r="Z84" s="472"/>
      <c r="AA84" s="472"/>
      <c r="AB84" s="472"/>
      <c r="AC84" s="472"/>
      <c r="AD84" s="473"/>
      <c r="AF84" s="50"/>
    </row>
    <row r="85" spans="1:32" ht="30" customHeight="1">
      <c r="A85" s="452">
        <f t="shared" si="43"/>
        <v>6</v>
      </c>
      <c r="B85" s="453"/>
      <c r="C85" s="354"/>
      <c r="D85" s="354"/>
      <c r="E85" s="32"/>
      <c r="F85" s="453"/>
      <c r="G85" s="453"/>
      <c r="H85" s="453"/>
      <c r="I85" s="453"/>
      <c r="J85" s="453"/>
      <c r="K85" s="468"/>
      <c r="L85" s="469"/>
      <c r="M85" s="469"/>
      <c r="N85" s="469"/>
      <c r="O85" s="469"/>
      <c r="P85" s="469"/>
      <c r="Q85" s="469"/>
      <c r="R85" s="469"/>
      <c r="S85" s="470"/>
      <c r="T85" s="471"/>
      <c r="U85" s="471"/>
      <c r="V85" s="471"/>
      <c r="W85" s="471"/>
      <c r="X85" s="472"/>
      <c r="Y85" s="472"/>
      <c r="Z85" s="472"/>
      <c r="AA85" s="472"/>
      <c r="AB85" s="472"/>
      <c r="AC85" s="472"/>
      <c r="AD85" s="473"/>
      <c r="AF85" s="50"/>
    </row>
    <row r="86" spans="1:32" ht="30" customHeight="1">
      <c r="A86" s="452">
        <f t="shared" si="43"/>
        <v>7</v>
      </c>
      <c r="B86" s="453"/>
      <c r="C86" s="354"/>
      <c r="D86" s="354"/>
      <c r="E86" s="32"/>
      <c r="F86" s="453"/>
      <c r="G86" s="453"/>
      <c r="H86" s="453"/>
      <c r="I86" s="453"/>
      <c r="J86" s="453"/>
      <c r="K86" s="468"/>
      <c r="L86" s="469"/>
      <c r="M86" s="469"/>
      <c r="N86" s="469"/>
      <c r="O86" s="469"/>
      <c r="P86" s="469"/>
      <c r="Q86" s="469"/>
      <c r="R86" s="469"/>
      <c r="S86" s="470"/>
      <c r="T86" s="471"/>
      <c r="U86" s="471"/>
      <c r="V86" s="471"/>
      <c r="W86" s="471"/>
      <c r="X86" s="472"/>
      <c r="Y86" s="472"/>
      <c r="Z86" s="472"/>
      <c r="AA86" s="472"/>
      <c r="AB86" s="472"/>
      <c r="AC86" s="472"/>
      <c r="AD86" s="473"/>
      <c r="AF86" s="50"/>
    </row>
    <row r="87" spans="1:32" ht="36" thickBot="1">
      <c r="A87" s="465" t="s">
        <v>545</v>
      </c>
      <c r="B87" s="465"/>
      <c r="C87" s="465"/>
      <c r="D87" s="465"/>
      <c r="E87" s="465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F87" s="50"/>
    </row>
    <row r="88" spans="1:32" ht="30.75" customHeight="1" thickBot="1">
      <c r="A88" s="466" t="s">
        <v>111</v>
      </c>
      <c r="B88" s="467"/>
      <c r="C88" s="457" t="s">
        <v>52</v>
      </c>
      <c r="D88" s="457"/>
      <c r="E88" s="457" t="s">
        <v>53</v>
      </c>
      <c r="F88" s="457"/>
      <c r="G88" s="457"/>
      <c r="H88" s="457"/>
      <c r="I88" s="457"/>
      <c r="J88" s="457"/>
      <c r="K88" s="457" t="s">
        <v>54</v>
      </c>
      <c r="L88" s="457"/>
      <c r="M88" s="457"/>
      <c r="N88" s="457"/>
      <c r="O88" s="457"/>
      <c r="P88" s="457"/>
      <c r="Q88" s="457"/>
      <c r="R88" s="457"/>
      <c r="S88" s="457"/>
      <c r="T88" s="457" t="s">
        <v>55</v>
      </c>
      <c r="U88" s="457"/>
      <c r="V88" s="457" t="s">
        <v>56</v>
      </c>
      <c r="W88" s="457"/>
      <c r="X88" s="457"/>
      <c r="Y88" s="457" t="s">
        <v>51</v>
      </c>
      <c r="Z88" s="457"/>
      <c r="AA88" s="457"/>
      <c r="AB88" s="457"/>
      <c r="AC88" s="457"/>
      <c r="AD88" s="458"/>
      <c r="AF88" s="50"/>
    </row>
    <row r="89" spans="1:32" ht="30.75" customHeight="1">
      <c r="A89" s="459">
        <v>1</v>
      </c>
      <c r="B89" s="460"/>
      <c r="C89" s="461">
        <v>11</v>
      </c>
      <c r="D89" s="461"/>
      <c r="E89" s="461" t="s">
        <v>295</v>
      </c>
      <c r="F89" s="461"/>
      <c r="G89" s="461"/>
      <c r="H89" s="461"/>
      <c r="I89" s="461"/>
      <c r="J89" s="461"/>
      <c r="K89" s="461" t="s">
        <v>297</v>
      </c>
      <c r="L89" s="461"/>
      <c r="M89" s="461"/>
      <c r="N89" s="461"/>
      <c r="O89" s="461"/>
      <c r="P89" s="461"/>
      <c r="Q89" s="461"/>
      <c r="R89" s="461"/>
      <c r="S89" s="461"/>
      <c r="T89" s="461" t="s">
        <v>296</v>
      </c>
      <c r="U89" s="461"/>
      <c r="V89" s="462"/>
      <c r="W89" s="462"/>
      <c r="X89" s="462"/>
      <c r="Y89" s="463" t="s">
        <v>298</v>
      </c>
      <c r="Z89" s="463"/>
      <c r="AA89" s="463"/>
      <c r="AB89" s="463"/>
      <c r="AC89" s="463"/>
      <c r="AD89" s="464"/>
      <c r="AF89" s="50"/>
    </row>
    <row r="90" spans="1:32" ht="30.75" customHeight="1">
      <c r="A90" s="452">
        <v>2</v>
      </c>
      <c r="B90" s="453"/>
      <c r="C90" s="454"/>
      <c r="D90" s="454"/>
      <c r="E90" s="454"/>
      <c r="F90" s="454"/>
      <c r="G90" s="454"/>
      <c r="H90" s="454"/>
      <c r="I90" s="454"/>
      <c r="J90" s="454"/>
      <c r="K90" s="454"/>
      <c r="L90" s="454"/>
      <c r="M90" s="454"/>
      <c r="N90" s="454"/>
      <c r="O90" s="454"/>
      <c r="P90" s="454"/>
      <c r="Q90" s="454"/>
      <c r="R90" s="454"/>
      <c r="S90" s="454"/>
      <c r="T90" s="455"/>
      <c r="U90" s="455"/>
      <c r="V90" s="456"/>
      <c r="W90" s="456"/>
      <c r="X90" s="456"/>
      <c r="Y90" s="445"/>
      <c r="Z90" s="445"/>
      <c r="AA90" s="445"/>
      <c r="AB90" s="445"/>
      <c r="AC90" s="445"/>
      <c r="AD90" s="446"/>
      <c r="AF90" s="50"/>
    </row>
    <row r="91" spans="1:32" ht="30.75" customHeight="1" thickBot="1">
      <c r="A91" s="447">
        <v>3</v>
      </c>
      <c r="B91" s="448"/>
      <c r="C91" s="449"/>
      <c r="D91" s="449"/>
      <c r="E91" s="449"/>
      <c r="F91" s="449"/>
      <c r="G91" s="449"/>
      <c r="H91" s="449"/>
      <c r="I91" s="449"/>
      <c r="J91" s="449"/>
      <c r="K91" s="449"/>
      <c r="L91" s="449"/>
      <c r="M91" s="449"/>
      <c r="N91" s="449"/>
      <c r="O91" s="449"/>
      <c r="P91" s="449"/>
      <c r="Q91" s="449"/>
      <c r="R91" s="449"/>
      <c r="S91" s="449"/>
      <c r="T91" s="449"/>
      <c r="U91" s="449"/>
      <c r="V91" s="449"/>
      <c r="W91" s="449"/>
      <c r="X91" s="449"/>
      <c r="Y91" s="450"/>
      <c r="Z91" s="450"/>
      <c r="AA91" s="450"/>
      <c r="AB91" s="450"/>
      <c r="AC91" s="450"/>
      <c r="AD91" s="451"/>
      <c r="AF91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6:H26"/>
    <mergeCell ref="A53:E53"/>
    <mergeCell ref="A54:M54"/>
    <mergeCell ref="N54:AD54"/>
    <mergeCell ref="A55:B55"/>
    <mergeCell ref="F55:M55"/>
    <mergeCell ref="P55:Q55"/>
    <mergeCell ref="R55:U55"/>
    <mergeCell ref="V55:AD55"/>
    <mergeCell ref="I4:O4"/>
    <mergeCell ref="P4:Q4"/>
    <mergeCell ref="R4:V4"/>
    <mergeCell ref="W4:AA4"/>
    <mergeCell ref="AB4:AB5"/>
    <mergeCell ref="AC4:AC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6:E66"/>
    <mergeCell ref="A67:B67"/>
    <mergeCell ref="F67:J67"/>
    <mergeCell ref="K67:L67"/>
    <mergeCell ref="N67:O67"/>
    <mergeCell ref="P67:Q67"/>
    <mergeCell ref="A64:B64"/>
    <mergeCell ref="F64:M64"/>
    <mergeCell ref="P64:Q64"/>
    <mergeCell ref="R67:AA67"/>
    <mergeCell ref="AB67:AD67"/>
    <mergeCell ref="A68:B68"/>
    <mergeCell ref="F68:J68"/>
    <mergeCell ref="K68:L68"/>
    <mergeCell ref="N68:O68"/>
    <mergeCell ref="P68:Q68"/>
    <mergeCell ref="R68:AA68"/>
    <mergeCell ref="AB68:AD68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B76"/>
    <mergeCell ref="F76:J76"/>
    <mergeCell ref="K76:L76"/>
    <mergeCell ref="N76:O76"/>
    <mergeCell ref="P76:Q76"/>
    <mergeCell ref="R76:AA76"/>
    <mergeCell ref="AB76:AD76"/>
    <mergeCell ref="A75:B75"/>
    <mergeCell ref="F75:J75"/>
    <mergeCell ref="K75:L75"/>
    <mergeCell ref="N75:O75"/>
    <mergeCell ref="P75:Q75"/>
    <mergeCell ref="R75:AA75"/>
    <mergeCell ref="AB77:AD77"/>
    <mergeCell ref="A78:E78"/>
    <mergeCell ref="A79:B79"/>
    <mergeCell ref="F79:J79"/>
    <mergeCell ref="K79:S79"/>
    <mergeCell ref="T79:U79"/>
    <mergeCell ref="V79:W79"/>
    <mergeCell ref="X79:AD79"/>
    <mergeCell ref="A77:B77"/>
    <mergeCell ref="F77:J77"/>
    <mergeCell ref="K77:L77"/>
    <mergeCell ref="N77:O77"/>
    <mergeCell ref="P77:Q77"/>
    <mergeCell ref="R77:AA77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7:E87"/>
    <mergeCell ref="A88:B88"/>
    <mergeCell ref="C88:D88"/>
    <mergeCell ref="E88:J88"/>
    <mergeCell ref="K88:S88"/>
    <mergeCell ref="T88:U88"/>
    <mergeCell ref="A86:B86"/>
    <mergeCell ref="F86:J86"/>
    <mergeCell ref="K86:S86"/>
    <mergeCell ref="T86:U86"/>
    <mergeCell ref="V88:X88"/>
    <mergeCell ref="Y88:AD88"/>
    <mergeCell ref="A89:B89"/>
    <mergeCell ref="C89:D89"/>
    <mergeCell ref="E89:J89"/>
    <mergeCell ref="K89:S89"/>
    <mergeCell ref="T89:U89"/>
    <mergeCell ref="V89:X89"/>
    <mergeCell ref="Y89:AD89"/>
    <mergeCell ref="Y90:AD90"/>
    <mergeCell ref="A91:B91"/>
    <mergeCell ref="C91:D91"/>
    <mergeCell ref="E91:J91"/>
    <mergeCell ref="K91:S91"/>
    <mergeCell ref="T91:U91"/>
    <mergeCell ref="V91:X91"/>
    <mergeCell ref="Y91:AD91"/>
    <mergeCell ref="A90:B90"/>
    <mergeCell ref="C90:D90"/>
    <mergeCell ref="E90:J90"/>
    <mergeCell ref="K90:S90"/>
    <mergeCell ref="T90:U90"/>
    <mergeCell ref="V90:X90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1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C53E-871A-49B4-8B7A-3D21E694B2C9}">
  <sheetPr codeName="Sheet23"/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546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67" t="s">
        <v>17</v>
      </c>
      <c r="L5" s="367" t="s">
        <v>18</v>
      </c>
      <c r="M5" s="367" t="s">
        <v>19</v>
      </c>
      <c r="N5" s="36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407</v>
      </c>
      <c r="E6" s="53" t="s">
        <v>421</v>
      </c>
      <c r="F6" s="12" t="s">
        <v>128</v>
      </c>
      <c r="G6" s="12">
        <v>4</v>
      </c>
      <c r="H6" s="13">
        <v>24</v>
      </c>
      <c r="I6" s="31">
        <v>6500</v>
      </c>
      <c r="J6" s="14">
        <v>3948</v>
      </c>
      <c r="K6" s="15">
        <f>L6+2735+3948</f>
        <v>6683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0.4754901960784314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241</v>
      </c>
      <c r="F7" s="12" t="s">
        <v>327</v>
      </c>
      <c r="G7" s="12">
        <v>1</v>
      </c>
      <c r="H7" s="13">
        <v>24</v>
      </c>
      <c r="I7" s="31">
        <v>7800</v>
      </c>
      <c r="J7" s="14">
        <v>2727</v>
      </c>
      <c r="K7" s="15">
        <f>L7</f>
        <v>2727</v>
      </c>
      <c r="L7" s="15">
        <f>2727</f>
        <v>2727</v>
      </c>
      <c r="M7" s="15">
        <f t="shared" si="0"/>
        <v>2727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0.4754901960784314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23532</v>
      </c>
      <c r="K8" s="15">
        <f>L8+8404+12360+9142+12426+5790+11544+12480+12502+12376+12380+22896+24720+24328+24256+11504+24084+22712+24032</f>
        <v>311468</v>
      </c>
      <c r="L8" s="15">
        <f>2849*4+3034*4</f>
        <v>23532</v>
      </c>
      <c r="M8" s="15">
        <f t="shared" si="0"/>
        <v>23532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0.4754901960784314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121</v>
      </c>
      <c r="D9" s="52"/>
      <c r="E9" s="53" t="s">
        <v>475</v>
      </c>
      <c r="F9" s="30" t="s">
        <v>476</v>
      </c>
      <c r="G9" s="33">
        <v>4</v>
      </c>
      <c r="H9" s="35">
        <v>24</v>
      </c>
      <c r="I9" s="7">
        <v>100000</v>
      </c>
      <c r="J9" s="14">
        <v>34596</v>
      </c>
      <c r="K9" s="15">
        <f>L9+30616+32552+31496+28516+35880</f>
        <v>193656</v>
      </c>
      <c r="L9" s="15">
        <f>4052*4+4597*4</f>
        <v>34596</v>
      </c>
      <c r="M9" s="15">
        <f t="shared" si="0"/>
        <v>34596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0.4754901960784314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4</v>
      </c>
      <c r="H10" s="35">
        <v>24</v>
      </c>
      <c r="I10" s="7">
        <v>530000</v>
      </c>
      <c r="J10" s="5">
        <v>24844</v>
      </c>
      <c r="K10" s="15">
        <f>L10+19272</f>
        <v>44116</v>
      </c>
      <c r="L10" s="15">
        <f>3012*4+3199*4</f>
        <v>24844</v>
      </c>
      <c r="M10" s="15">
        <f t="shared" si="0"/>
        <v>24844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0.4754901960784314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518</v>
      </c>
      <c r="F11" s="30" t="s">
        <v>301</v>
      </c>
      <c r="G11" s="33">
        <v>1</v>
      </c>
      <c r="H11" s="35">
        <v>24</v>
      </c>
      <c r="I11" s="7">
        <v>20000</v>
      </c>
      <c r="J11" s="14">
        <v>2816</v>
      </c>
      <c r="K11" s="15">
        <f>L11+1837</f>
        <v>4653</v>
      </c>
      <c r="L11" s="15">
        <f>1110+1706</f>
        <v>2816</v>
      </c>
      <c r="M11" s="15">
        <f t="shared" si="0"/>
        <v>2816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>
        <v>8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ref="AD11:AD14" si="9">AC11*AB11*(1-O11)</f>
        <v>0.66666666666666663</v>
      </c>
      <c r="AE11" s="36">
        <f t="shared" si="7"/>
        <v>0.4754901960784314</v>
      </c>
      <c r="AF11" s="84">
        <f t="shared" si="8"/>
        <v>6</v>
      </c>
    </row>
    <row r="12" spans="1:32" ht="27" customHeight="1">
      <c r="A12" s="96">
        <v>7</v>
      </c>
      <c r="B12" s="11" t="s">
        <v>490</v>
      </c>
      <c r="C12" s="11" t="s">
        <v>120</v>
      </c>
      <c r="D12" s="52" t="s">
        <v>547</v>
      </c>
      <c r="E12" s="53" t="s">
        <v>548</v>
      </c>
      <c r="F12" s="30" t="s">
        <v>132</v>
      </c>
      <c r="G12" s="33">
        <v>1</v>
      </c>
      <c r="H12" s="35">
        <v>24</v>
      </c>
      <c r="I12" s="7">
        <v>300</v>
      </c>
      <c r="J12" s="14">
        <v>280</v>
      </c>
      <c r="K12" s="15">
        <f>L12</f>
        <v>280</v>
      </c>
      <c r="L12" s="15">
        <v>280</v>
      </c>
      <c r="M12" s="15">
        <f t="shared" si="0"/>
        <v>280</v>
      </c>
      <c r="N12" s="15">
        <v>0</v>
      </c>
      <c r="O12" s="58">
        <f t="shared" si="1"/>
        <v>0</v>
      </c>
      <c r="P12" s="39">
        <f t="shared" si="2"/>
        <v>4</v>
      </c>
      <c r="Q12" s="40">
        <f t="shared" si="3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4"/>
        <v>1</v>
      </c>
      <c r="AC12" s="9">
        <f t="shared" si="5"/>
        <v>0.16666666666666666</v>
      </c>
      <c r="AD12" s="10">
        <f t="shared" si="9"/>
        <v>0.16666666666666666</v>
      </c>
      <c r="AE12" s="36">
        <f t="shared" si="7"/>
        <v>0.4754901960784314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11648</v>
      </c>
      <c r="K13" s="15">
        <f>L13+10230+8758+7458+4298+5694+7524+3000+9774+6592+11326+12144+11050+10802+10910+9796+3412+4942+8464+12186+4876+12344</f>
        <v>187228</v>
      </c>
      <c r="L13" s="15">
        <f>3014*2+2810*2</f>
        <v>11648</v>
      </c>
      <c r="M13" s="15">
        <f t="shared" si="0"/>
        <v>11648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0.4754901960784314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0.4754901960784314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509</v>
      </c>
      <c r="F15" s="12" t="s">
        <v>140</v>
      </c>
      <c r="G15" s="12">
        <v>1</v>
      </c>
      <c r="H15" s="13">
        <v>24</v>
      </c>
      <c r="I15" s="31">
        <v>20000</v>
      </c>
      <c r="J15" s="14">
        <v>2158</v>
      </c>
      <c r="K15" s="15">
        <f>L15+2236+873</f>
        <v>5267</v>
      </c>
      <c r="L15" s="15">
        <f>2158</f>
        <v>2158</v>
      </c>
      <c r="M15" s="15">
        <f t="shared" si="0"/>
        <v>2158</v>
      </c>
      <c r="N15" s="15">
        <v>0</v>
      </c>
      <c r="O15" s="58">
        <f t="shared" si="1"/>
        <v>0</v>
      </c>
      <c r="P15" s="39">
        <f t="shared" si="2"/>
        <v>13</v>
      </c>
      <c r="Q15" s="40">
        <f t="shared" si="3"/>
        <v>11</v>
      </c>
      <c r="R15" s="7"/>
      <c r="S15" s="6">
        <v>11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6">
        <f t="shared" si="7"/>
        <v>0.4754901960784314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0.4754901960784314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250</v>
      </c>
      <c r="E17" s="53" t="s">
        <v>533</v>
      </c>
      <c r="F17" s="30" t="s">
        <v>252</v>
      </c>
      <c r="G17" s="12">
        <v>1</v>
      </c>
      <c r="H17" s="13">
        <v>24</v>
      </c>
      <c r="I17" s="7">
        <v>500</v>
      </c>
      <c r="J17" s="14">
        <v>556</v>
      </c>
      <c r="K17" s="15">
        <f>L17+556</f>
        <v>556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0.4754901960784314</v>
      </c>
      <c r="AF17" s="84">
        <f t="shared" si="8"/>
        <v>12</v>
      </c>
    </row>
    <row r="18" spans="1:32" ht="27" customHeight="1">
      <c r="A18" s="96">
        <v>13</v>
      </c>
      <c r="B18" s="11" t="s">
        <v>490</v>
      </c>
      <c r="C18" s="11" t="s">
        <v>120</v>
      </c>
      <c r="D18" s="52" t="s">
        <v>534</v>
      </c>
      <c r="E18" s="53">
        <v>3026700</v>
      </c>
      <c r="F18" s="30" t="s">
        <v>131</v>
      </c>
      <c r="G18" s="33">
        <v>1</v>
      </c>
      <c r="H18" s="35">
        <v>24</v>
      </c>
      <c r="I18" s="7">
        <v>1000</v>
      </c>
      <c r="J18" s="14">
        <v>1090</v>
      </c>
      <c r="K18" s="15">
        <f>L18+1090</f>
        <v>1090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0.4754901960784314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 t="s">
        <v>503</v>
      </c>
      <c r="E19" s="53" t="s">
        <v>496</v>
      </c>
      <c r="F19" s="30" t="s">
        <v>132</v>
      </c>
      <c r="G19" s="33">
        <v>1</v>
      </c>
      <c r="H19" s="35">
        <v>24</v>
      </c>
      <c r="I19" s="7">
        <v>15000</v>
      </c>
      <c r="J19" s="14">
        <v>5244</v>
      </c>
      <c r="K19" s="15">
        <f>L19+5025+4892+5342</f>
        <v>20503</v>
      </c>
      <c r="L19" s="15">
        <f>2500+2744</f>
        <v>5244</v>
      </c>
      <c r="M19" s="15">
        <f t="shared" si="0"/>
        <v>5244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0.4754901960784314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2</v>
      </c>
      <c r="H20" s="13">
        <v>28</v>
      </c>
      <c r="I20" s="31">
        <v>400000</v>
      </c>
      <c r="J20" s="5">
        <v>1974</v>
      </c>
      <c r="K20" s="15">
        <f>L20+6852+6648+9128+6400+11510+3498+11566+8822+12584+12228+12656+7910+6546+12588+12484+12546+11476+1974</f>
        <v>167416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21</v>
      </c>
      <c r="R20" s="7"/>
      <c r="S20" s="6"/>
      <c r="T20" s="16"/>
      <c r="U20" s="16"/>
      <c r="V20" s="17">
        <v>21</v>
      </c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0.4754901960784314</v>
      </c>
      <c r="AF20" s="84">
        <f t="shared" si="8"/>
        <v>15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200</v>
      </c>
      <c r="F21" s="30" t="s">
        <v>124</v>
      </c>
      <c r="G21" s="12">
        <v>4</v>
      </c>
      <c r="H21" s="13">
        <v>28</v>
      </c>
      <c r="I21" s="31">
        <v>561000</v>
      </c>
      <c r="J21" s="5">
        <v>8352</v>
      </c>
      <c r="K21" s="15">
        <f>L21+14284</f>
        <v>22636</v>
      </c>
      <c r="L21" s="15">
        <f>2784*3</f>
        <v>8352</v>
      </c>
      <c r="M21" s="15">
        <f t="shared" si="0"/>
        <v>8352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>
        <v>11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0.4754901960784314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134</v>
      </c>
      <c r="F22" s="12" t="s">
        <v>114</v>
      </c>
      <c r="G22" s="12">
        <v>4</v>
      </c>
      <c r="H22" s="35">
        <v>20</v>
      </c>
      <c r="I22" s="7">
        <v>500000</v>
      </c>
      <c r="J22" s="14">
        <v>37384</v>
      </c>
      <c r="K22" s="15">
        <f>L22+31044+37988+37244+33716+33120+36632</f>
        <v>247128</v>
      </c>
      <c r="L22" s="15">
        <f>9346*4</f>
        <v>37384</v>
      </c>
      <c r="M22" s="15">
        <f t="shared" si="0"/>
        <v>37384</v>
      </c>
      <c r="N22" s="15">
        <v>0</v>
      </c>
      <c r="O22" s="58">
        <f t="shared" si="1"/>
        <v>0</v>
      </c>
      <c r="P22" s="39">
        <f t="shared" si="2"/>
        <v>14</v>
      </c>
      <c r="Q22" s="40">
        <f t="shared" si="3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0.58333333333333337</v>
      </c>
      <c r="AD22" s="10">
        <f t="shared" si="6"/>
        <v>0.58333333333333337</v>
      </c>
      <c r="AE22" s="36">
        <f t="shared" si="7"/>
        <v>0.4754901960784314</v>
      </c>
      <c r="AF22" s="84">
        <f t="shared" si="8"/>
        <v>16</v>
      </c>
    </row>
    <row r="23" spans="1:32" ht="31.5" customHeight="1" thickBot="1">
      <c r="A23" s="529" t="s">
        <v>34</v>
      </c>
      <c r="B23" s="530"/>
      <c r="C23" s="530"/>
      <c r="D23" s="530"/>
      <c r="E23" s="530"/>
      <c r="F23" s="530"/>
      <c r="G23" s="530"/>
      <c r="H23" s="531"/>
      <c r="I23" s="22">
        <f t="shared" ref="I23:N23" si="10">SUM(I6:I22)</f>
        <v>3152900</v>
      </c>
      <c r="J23" s="19">
        <f t="shared" si="10"/>
        <v>161973</v>
      </c>
      <c r="K23" s="20">
        <f t="shared" si="10"/>
        <v>1216473</v>
      </c>
      <c r="L23" s="21">
        <f t="shared" si="10"/>
        <v>153581</v>
      </c>
      <c r="M23" s="20">
        <f t="shared" si="10"/>
        <v>153581</v>
      </c>
      <c r="N23" s="21">
        <f t="shared" si="10"/>
        <v>0</v>
      </c>
      <c r="O23" s="41">
        <f t="shared" si="1"/>
        <v>0</v>
      </c>
      <c r="P23" s="42">
        <f t="shared" ref="P23:AA23" si="11">SUM(P6:P22)</f>
        <v>194</v>
      </c>
      <c r="Q23" s="43">
        <f t="shared" si="11"/>
        <v>211</v>
      </c>
      <c r="R23" s="23">
        <f t="shared" si="11"/>
        <v>24</v>
      </c>
      <c r="S23" s="24">
        <f t="shared" si="11"/>
        <v>40</v>
      </c>
      <c r="T23" s="24">
        <f t="shared" si="11"/>
        <v>0</v>
      </c>
      <c r="U23" s="24">
        <f t="shared" si="11"/>
        <v>0</v>
      </c>
      <c r="V23" s="25">
        <f t="shared" si="11"/>
        <v>31</v>
      </c>
      <c r="W23" s="26">
        <f t="shared" si="11"/>
        <v>44</v>
      </c>
      <c r="X23" s="27">
        <f t="shared" si="11"/>
        <v>0</v>
      </c>
      <c r="Y23" s="27">
        <f t="shared" si="11"/>
        <v>0</v>
      </c>
      <c r="Z23" s="27">
        <f t="shared" si="11"/>
        <v>0</v>
      </c>
      <c r="AA23" s="27">
        <f t="shared" si="11"/>
        <v>72</v>
      </c>
      <c r="AB23" s="28">
        <f>AVERAGE(AB6:AB22)</f>
        <v>0.6470588235294118</v>
      </c>
      <c r="AC23" s="4">
        <f>AVERAGE(AC6:AC22)</f>
        <v>0.4754901960784314</v>
      </c>
      <c r="AD23" s="4">
        <f>AVERAGE(AD6:AD22)</f>
        <v>0.4754901960784314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32" t="s">
        <v>45</v>
      </c>
      <c r="B50" s="532"/>
      <c r="C50" s="532"/>
      <c r="D50" s="532"/>
      <c r="E50" s="53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33" t="s">
        <v>549</v>
      </c>
      <c r="B51" s="534"/>
      <c r="C51" s="534"/>
      <c r="D51" s="534"/>
      <c r="E51" s="534"/>
      <c r="F51" s="534"/>
      <c r="G51" s="534"/>
      <c r="H51" s="534"/>
      <c r="I51" s="534"/>
      <c r="J51" s="534"/>
      <c r="K51" s="534"/>
      <c r="L51" s="534"/>
      <c r="M51" s="535"/>
      <c r="N51" s="536" t="s">
        <v>552</v>
      </c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8"/>
    </row>
    <row r="52" spans="1:32" ht="27" customHeight="1">
      <c r="A52" s="539" t="s">
        <v>2</v>
      </c>
      <c r="B52" s="540"/>
      <c r="C52" s="368" t="s">
        <v>46</v>
      </c>
      <c r="D52" s="368" t="s">
        <v>47</v>
      </c>
      <c r="E52" s="368" t="s">
        <v>107</v>
      </c>
      <c r="F52" s="541" t="s">
        <v>106</v>
      </c>
      <c r="G52" s="542"/>
      <c r="H52" s="542"/>
      <c r="I52" s="542"/>
      <c r="J52" s="542"/>
      <c r="K52" s="542"/>
      <c r="L52" s="542"/>
      <c r="M52" s="543"/>
      <c r="N52" s="67" t="s">
        <v>110</v>
      </c>
      <c r="O52" s="368" t="s">
        <v>46</v>
      </c>
      <c r="P52" s="541" t="s">
        <v>47</v>
      </c>
      <c r="Q52" s="544"/>
      <c r="R52" s="541" t="s">
        <v>38</v>
      </c>
      <c r="S52" s="542"/>
      <c r="T52" s="542"/>
      <c r="U52" s="544"/>
      <c r="V52" s="541" t="s">
        <v>48</v>
      </c>
      <c r="W52" s="542"/>
      <c r="X52" s="542"/>
      <c r="Y52" s="542"/>
      <c r="Z52" s="542"/>
      <c r="AA52" s="542"/>
      <c r="AB52" s="542"/>
      <c r="AC52" s="542"/>
      <c r="AD52" s="543"/>
    </row>
    <row r="53" spans="1:32" ht="27" customHeight="1">
      <c r="A53" s="510" t="s">
        <v>121</v>
      </c>
      <c r="B53" s="511"/>
      <c r="C53" s="370" t="s">
        <v>203</v>
      </c>
      <c r="D53" s="370" t="s">
        <v>115</v>
      </c>
      <c r="E53" s="370" t="s">
        <v>417</v>
      </c>
      <c r="F53" s="512" t="s">
        <v>550</v>
      </c>
      <c r="G53" s="513"/>
      <c r="H53" s="513"/>
      <c r="I53" s="513"/>
      <c r="J53" s="513"/>
      <c r="K53" s="513"/>
      <c r="L53" s="513"/>
      <c r="M53" s="514"/>
      <c r="N53" s="369" t="s">
        <v>123</v>
      </c>
      <c r="O53" s="375" t="s">
        <v>169</v>
      </c>
      <c r="P53" s="524"/>
      <c r="Q53" s="525"/>
      <c r="R53" s="524" t="s">
        <v>518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123</v>
      </c>
      <c r="B54" s="511"/>
      <c r="C54" s="370" t="s">
        <v>174</v>
      </c>
      <c r="D54" s="370"/>
      <c r="E54" s="370" t="s">
        <v>509</v>
      </c>
      <c r="F54" s="512" t="s">
        <v>180</v>
      </c>
      <c r="G54" s="513"/>
      <c r="H54" s="513"/>
      <c r="I54" s="513"/>
      <c r="J54" s="513"/>
      <c r="K54" s="513"/>
      <c r="L54" s="513"/>
      <c r="M54" s="514"/>
      <c r="N54" s="369" t="s">
        <v>121</v>
      </c>
      <c r="O54" s="375" t="s">
        <v>203</v>
      </c>
      <c r="P54" s="524" t="s">
        <v>115</v>
      </c>
      <c r="Q54" s="525"/>
      <c r="R54" s="524" t="s">
        <v>417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67" t="s">
        <v>123</v>
      </c>
      <c r="B55" s="568"/>
      <c r="C55" s="379" t="s">
        <v>169</v>
      </c>
      <c r="D55" s="379"/>
      <c r="E55" s="370" t="s">
        <v>518</v>
      </c>
      <c r="F55" s="512" t="s">
        <v>551</v>
      </c>
      <c r="G55" s="513"/>
      <c r="H55" s="513"/>
      <c r="I55" s="513"/>
      <c r="J55" s="513"/>
      <c r="K55" s="513"/>
      <c r="L55" s="513"/>
      <c r="M55" s="514"/>
      <c r="N55" s="369" t="s">
        <v>112</v>
      </c>
      <c r="O55" s="375" t="s">
        <v>284</v>
      </c>
      <c r="P55" s="524" t="s">
        <v>133</v>
      </c>
      <c r="Q55" s="525"/>
      <c r="R55" s="524" t="s">
        <v>553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120</v>
      </c>
      <c r="B56" s="511"/>
      <c r="C56" s="370" t="s">
        <v>267</v>
      </c>
      <c r="D56" s="370" t="s">
        <v>547</v>
      </c>
      <c r="E56" s="370" t="s">
        <v>548</v>
      </c>
      <c r="F56" s="512" t="s">
        <v>320</v>
      </c>
      <c r="G56" s="513"/>
      <c r="H56" s="513"/>
      <c r="I56" s="513"/>
      <c r="J56" s="513"/>
      <c r="K56" s="513"/>
      <c r="L56" s="513"/>
      <c r="M56" s="514"/>
      <c r="N56" s="369" t="s">
        <v>112</v>
      </c>
      <c r="O56" s="375" t="s">
        <v>267</v>
      </c>
      <c r="P56" s="524" t="s">
        <v>115</v>
      </c>
      <c r="Q56" s="525"/>
      <c r="R56" s="524" t="s">
        <v>554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370"/>
      <c r="D57" s="370"/>
      <c r="E57" s="370"/>
      <c r="F57" s="512"/>
      <c r="G57" s="513"/>
      <c r="H57" s="513"/>
      <c r="I57" s="513"/>
      <c r="J57" s="513"/>
      <c r="K57" s="513"/>
      <c r="L57" s="513"/>
      <c r="M57" s="514"/>
      <c r="N57" s="369" t="s">
        <v>112</v>
      </c>
      <c r="O57" s="375" t="s">
        <v>201</v>
      </c>
      <c r="P57" s="524" t="s">
        <v>115</v>
      </c>
      <c r="Q57" s="525"/>
      <c r="R57" s="524" t="s">
        <v>555</v>
      </c>
      <c r="S57" s="526"/>
      <c r="T57" s="526"/>
      <c r="U57" s="525"/>
      <c r="V57" s="496" t="s">
        <v>118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/>
      <c r="B58" s="511"/>
      <c r="C58" s="370"/>
      <c r="D58" s="370"/>
      <c r="E58" s="370"/>
      <c r="F58" s="512"/>
      <c r="G58" s="513"/>
      <c r="H58" s="513"/>
      <c r="I58" s="513"/>
      <c r="J58" s="513"/>
      <c r="K58" s="513"/>
      <c r="L58" s="513"/>
      <c r="M58" s="514"/>
      <c r="N58" s="369"/>
      <c r="O58" s="375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379"/>
      <c r="D59" s="379"/>
      <c r="E59" s="370"/>
      <c r="F59" s="512"/>
      <c r="G59" s="513"/>
      <c r="H59" s="513"/>
      <c r="I59" s="513"/>
      <c r="J59" s="513"/>
      <c r="K59" s="513"/>
      <c r="L59" s="513"/>
      <c r="M59" s="514"/>
      <c r="N59" s="369"/>
      <c r="O59" s="375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/>
      <c r="B60" s="568"/>
      <c r="C60" s="379"/>
      <c r="D60" s="379"/>
      <c r="E60" s="370"/>
      <c r="F60" s="512"/>
      <c r="G60" s="513"/>
      <c r="H60" s="513"/>
      <c r="I60" s="513"/>
      <c r="J60" s="513"/>
      <c r="K60" s="513"/>
      <c r="L60" s="513"/>
      <c r="M60" s="514"/>
      <c r="N60" s="369"/>
      <c r="O60" s="375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370"/>
      <c r="D61" s="370"/>
      <c r="E61" s="370"/>
      <c r="F61" s="512"/>
      <c r="G61" s="513"/>
      <c r="H61" s="513"/>
      <c r="I61" s="513"/>
      <c r="J61" s="513"/>
      <c r="K61" s="513"/>
      <c r="L61" s="513"/>
      <c r="M61" s="514"/>
      <c r="N61" s="369"/>
      <c r="O61" s="375"/>
      <c r="P61" s="511"/>
      <c r="Q61" s="511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  <c r="AF61" s="84">
        <f>8*3000</f>
        <v>24000</v>
      </c>
    </row>
    <row r="62" spans="1:32" ht="27" customHeight="1" thickBot="1">
      <c r="A62" s="516"/>
      <c r="B62" s="517"/>
      <c r="C62" s="371"/>
      <c r="D62" s="372"/>
      <c r="E62" s="372"/>
      <c r="F62" s="518"/>
      <c r="G62" s="519"/>
      <c r="H62" s="519"/>
      <c r="I62" s="519"/>
      <c r="J62" s="519"/>
      <c r="K62" s="519"/>
      <c r="L62" s="519"/>
      <c r="M62" s="520"/>
      <c r="N62" s="112"/>
      <c r="O62" s="103"/>
      <c r="P62" s="521"/>
      <c r="Q62" s="521"/>
      <c r="R62" s="521"/>
      <c r="S62" s="521"/>
      <c r="T62" s="521"/>
      <c r="U62" s="521"/>
      <c r="V62" s="522"/>
      <c r="W62" s="522"/>
      <c r="X62" s="522"/>
      <c r="Y62" s="522"/>
      <c r="Z62" s="522"/>
      <c r="AA62" s="522"/>
      <c r="AB62" s="522"/>
      <c r="AC62" s="522"/>
      <c r="AD62" s="523"/>
      <c r="AF62" s="84">
        <f>16*3000</f>
        <v>48000</v>
      </c>
    </row>
    <row r="63" spans="1:32" ht="27.75" thickBot="1">
      <c r="A63" s="508" t="s">
        <v>556</v>
      </c>
      <c r="B63" s="508"/>
      <c r="C63" s="508"/>
      <c r="D63" s="508"/>
      <c r="E63" s="50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09" t="s">
        <v>111</v>
      </c>
      <c r="B64" s="503"/>
      <c r="C64" s="373" t="s">
        <v>2</v>
      </c>
      <c r="D64" s="373" t="s">
        <v>37</v>
      </c>
      <c r="E64" s="373" t="s">
        <v>3</v>
      </c>
      <c r="F64" s="503" t="s">
        <v>109</v>
      </c>
      <c r="G64" s="503"/>
      <c r="H64" s="503"/>
      <c r="I64" s="503"/>
      <c r="J64" s="503"/>
      <c r="K64" s="503" t="s">
        <v>39</v>
      </c>
      <c r="L64" s="503"/>
      <c r="M64" s="373" t="s">
        <v>40</v>
      </c>
      <c r="N64" s="503" t="s">
        <v>41</v>
      </c>
      <c r="O64" s="503"/>
      <c r="P64" s="500" t="s">
        <v>42</v>
      </c>
      <c r="Q64" s="502"/>
      <c r="R64" s="500" t="s">
        <v>43</v>
      </c>
      <c r="S64" s="501"/>
      <c r="T64" s="501"/>
      <c r="U64" s="501"/>
      <c r="V64" s="501"/>
      <c r="W64" s="501"/>
      <c r="X64" s="501"/>
      <c r="Y64" s="501"/>
      <c r="Z64" s="501"/>
      <c r="AA64" s="502"/>
      <c r="AB64" s="503" t="s">
        <v>44</v>
      </c>
      <c r="AC64" s="503"/>
      <c r="AD64" s="504"/>
      <c r="AF64" s="84">
        <f>SUM(AF61:AF63)</f>
        <v>96000</v>
      </c>
    </row>
    <row r="65" spans="1:32" ht="25.5" customHeight="1">
      <c r="A65" s="491">
        <v>1</v>
      </c>
      <c r="B65" s="492"/>
      <c r="C65" s="105" t="s">
        <v>120</v>
      </c>
      <c r="D65" s="377"/>
      <c r="E65" s="374" t="s">
        <v>215</v>
      </c>
      <c r="F65" s="497" t="s">
        <v>557</v>
      </c>
      <c r="G65" s="498"/>
      <c r="H65" s="498"/>
      <c r="I65" s="498"/>
      <c r="J65" s="499"/>
      <c r="K65" s="485" t="s">
        <v>406</v>
      </c>
      <c r="L65" s="485"/>
      <c r="M65" s="51" t="s">
        <v>196</v>
      </c>
      <c r="N65" s="494" t="s">
        <v>239</v>
      </c>
      <c r="O65" s="494"/>
      <c r="P65" s="495">
        <v>200</v>
      </c>
      <c r="Q65" s="495"/>
      <c r="R65" s="496" t="s">
        <v>558</v>
      </c>
      <c r="S65" s="496"/>
      <c r="T65" s="496"/>
      <c r="U65" s="496"/>
      <c r="V65" s="496"/>
      <c r="W65" s="496"/>
      <c r="X65" s="496"/>
      <c r="Y65" s="496"/>
      <c r="Z65" s="496"/>
      <c r="AA65" s="496"/>
      <c r="AB65" s="505"/>
      <c r="AC65" s="506"/>
      <c r="AD65" s="507"/>
      <c r="AF65" s="50"/>
    </row>
    <row r="66" spans="1:32" ht="25.5" customHeight="1">
      <c r="A66" s="491">
        <v>2</v>
      </c>
      <c r="B66" s="492"/>
      <c r="C66" s="105" t="s">
        <v>120</v>
      </c>
      <c r="D66" s="377"/>
      <c r="E66" s="374" t="s">
        <v>186</v>
      </c>
      <c r="F66" s="497" t="s">
        <v>559</v>
      </c>
      <c r="G66" s="498"/>
      <c r="H66" s="498"/>
      <c r="I66" s="498"/>
      <c r="J66" s="499"/>
      <c r="K66" s="485" t="s">
        <v>406</v>
      </c>
      <c r="L66" s="485"/>
      <c r="M66" s="51" t="s">
        <v>196</v>
      </c>
      <c r="N66" s="494" t="s">
        <v>239</v>
      </c>
      <c r="O66" s="494"/>
      <c r="P66" s="495">
        <v>200</v>
      </c>
      <c r="Q66" s="495"/>
      <c r="R66" s="496" t="s">
        <v>560</v>
      </c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3</v>
      </c>
      <c r="B67" s="492"/>
      <c r="C67" s="105" t="s">
        <v>120</v>
      </c>
      <c r="D67" s="377"/>
      <c r="E67" s="374" t="s">
        <v>547</v>
      </c>
      <c r="F67" s="497" t="s">
        <v>548</v>
      </c>
      <c r="G67" s="498"/>
      <c r="H67" s="498"/>
      <c r="I67" s="498"/>
      <c r="J67" s="499"/>
      <c r="K67" s="485">
        <v>7301</v>
      </c>
      <c r="L67" s="485"/>
      <c r="M67" s="51" t="s">
        <v>272</v>
      </c>
      <c r="N67" s="494" t="s">
        <v>267</v>
      </c>
      <c r="O67" s="494"/>
      <c r="P67" s="495">
        <v>50</v>
      </c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4</v>
      </c>
      <c r="B68" s="492"/>
      <c r="C68" s="105" t="s">
        <v>121</v>
      </c>
      <c r="D68" s="377"/>
      <c r="E68" s="374" t="s">
        <v>186</v>
      </c>
      <c r="F68" s="497" t="s">
        <v>286</v>
      </c>
      <c r="G68" s="498"/>
      <c r="H68" s="498"/>
      <c r="I68" s="498"/>
      <c r="J68" s="499"/>
      <c r="K68" s="485" t="s">
        <v>187</v>
      </c>
      <c r="L68" s="485"/>
      <c r="M68" s="51" t="s">
        <v>561</v>
      </c>
      <c r="N68" s="494" t="s">
        <v>148</v>
      </c>
      <c r="O68" s="494"/>
      <c r="P68" s="495">
        <v>100</v>
      </c>
      <c r="Q68" s="495"/>
      <c r="R68" s="496" t="s">
        <v>562</v>
      </c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5</v>
      </c>
      <c r="B69" s="492"/>
      <c r="C69" s="105" t="s">
        <v>121</v>
      </c>
      <c r="D69" s="377"/>
      <c r="E69" s="374" t="s">
        <v>250</v>
      </c>
      <c r="F69" s="497" t="s">
        <v>563</v>
      </c>
      <c r="G69" s="498"/>
      <c r="H69" s="498"/>
      <c r="I69" s="498"/>
      <c r="J69" s="499"/>
      <c r="K69" s="485">
        <v>8301</v>
      </c>
      <c r="L69" s="485"/>
      <c r="M69" s="51" t="s">
        <v>561</v>
      </c>
      <c r="N69" s="494" t="s">
        <v>148</v>
      </c>
      <c r="O69" s="494"/>
      <c r="P69" s="495">
        <v>500</v>
      </c>
      <c r="Q69" s="495"/>
      <c r="R69" s="496" t="s">
        <v>564</v>
      </c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6</v>
      </c>
      <c r="B70" s="492"/>
      <c r="C70" s="105" t="s">
        <v>120</v>
      </c>
      <c r="D70" s="377"/>
      <c r="E70" s="374" t="s">
        <v>141</v>
      </c>
      <c r="F70" s="497" t="s">
        <v>541</v>
      </c>
      <c r="G70" s="498"/>
      <c r="H70" s="498"/>
      <c r="I70" s="498"/>
      <c r="J70" s="499"/>
      <c r="K70" s="485" t="s">
        <v>225</v>
      </c>
      <c r="L70" s="485"/>
      <c r="M70" s="51" t="s">
        <v>196</v>
      </c>
      <c r="N70" s="494" t="s">
        <v>197</v>
      </c>
      <c r="O70" s="494"/>
      <c r="P70" s="495">
        <v>200</v>
      </c>
      <c r="Q70" s="495"/>
      <c r="R70" s="496" t="s">
        <v>565</v>
      </c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7</v>
      </c>
      <c r="B71" s="492"/>
      <c r="C71" s="105" t="s">
        <v>120</v>
      </c>
      <c r="D71" s="377"/>
      <c r="E71" s="374" t="s">
        <v>115</v>
      </c>
      <c r="F71" s="493" t="s">
        <v>566</v>
      </c>
      <c r="G71" s="485"/>
      <c r="H71" s="485"/>
      <c r="I71" s="485"/>
      <c r="J71" s="485"/>
      <c r="K71" s="485" t="s">
        <v>119</v>
      </c>
      <c r="L71" s="485"/>
      <c r="M71" s="51" t="s">
        <v>196</v>
      </c>
      <c r="N71" s="494" t="s">
        <v>197</v>
      </c>
      <c r="O71" s="494"/>
      <c r="P71" s="495"/>
      <c r="Q71" s="495"/>
      <c r="R71" s="496" t="s">
        <v>567</v>
      </c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8</v>
      </c>
      <c r="B72" s="492"/>
      <c r="C72" s="105"/>
      <c r="D72" s="377"/>
      <c r="E72" s="374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9</v>
      </c>
      <c r="B73" s="492"/>
      <c r="C73" s="105"/>
      <c r="D73" s="377"/>
      <c r="E73" s="374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10</v>
      </c>
      <c r="B74" s="492"/>
      <c r="C74" s="105"/>
      <c r="D74" s="377"/>
      <c r="E74" s="374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6.25" customHeight="1" thickBot="1">
      <c r="A75" s="465" t="s">
        <v>568</v>
      </c>
      <c r="B75" s="465"/>
      <c r="C75" s="465"/>
      <c r="D75" s="465"/>
      <c r="E75" s="46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66" t="s">
        <v>111</v>
      </c>
      <c r="B76" s="467"/>
      <c r="C76" s="376" t="s">
        <v>2</v>
      </c>
      <c r="D76" s="376" t="s">
        <v>37</v>
      </c>
      <c r="E76" s="376" t="s">
        <v>273</v>
      </c>
      <c r="F76" s="467" t="s">
        <v>38</v>
      </c>
      <c r="G76" s="467"/>
      <c r="H76" s="467"/>
      <c r="I76" s="467"/>
      <c r="J76" s="467"/>
      <c r="K76" s="487" t="s">
        <v>58</v>
      </c>
      <c r="L76" s="488"/>
      <c r="M76" s="488"/>
      <c r="N76" s="488"/>
      <c r="O76" s="488"/>
      <c r="P76" s="488"/>
      <c r="Q76" s="488"/>
      <c r="R76" s="488"/>
      <c r="S76" s="489"/>
      <c r="T76" s="467" t="s">
        <v>49</v>
      </c>
      <c r="U76" s="467"/>
      <c r="V76" s="487" t="s">
        <v>50</v>
      </c>
      <c r="W76" s="489"/>
      <c r="X76" s="488" t="s">
        <v>51</v>
      </c>
      <c r="Y76" s="488"/>
      <c r="Z76" s="488"/>
      <c r="AA76" s="488"/>
      <c r="AB76" s="488"/>
      <c r="AC76" s="488"/>
      <c r="AD76" s="490"/>
      <c r="AF76" s="50"/>
    </row>
    <row r="77" spans="1:32" ht="33.75" customHeight="1">
      <c r="A77" s="459">
        <v>1</v>
      </c>
      <c r="B77" s="460"/>
      <c r="C77" s="378" t="s">
        <v>112</v>
      </c>
      <c r="D77" s="378"/>
      <c r="E77" s="65" t="s">
        <v>117</v>
      </c>
      <c r="F77" s="474" t="s">
        <v>116</v>
      </c>
      <c r="G77" s="475"/>
      <c r="H77" s="475"/>
      <c r="I77" s="475"/>
      <c r="J77" s="476"/>
      <c r="K77" s="477" t="s">
        <v>122</v>
      </c>
      <c r="L77" s="478"/>
      <c r="M77" s="478"/>
      <c r="N77" s="478"/>
      <c r="O77" s="478"/>
      <c r="P77" s="478"/>
      <c r="Q77" s="478"/>
      <c r="R77" s="478"/>
      <c r="S77" s="479"/>
      <c r="T77" s="480">
        <v>43675</v>
      </c>
      <c r="U77" s="481"/>
      <c r="V77" s="482"/>
      <c r="W77" s="482"/>
      <c r="X77" s="483"/>
      <c r="Y77" s="483"/>
      <c r="Z77" s="483"/>
      <c r="AA77" s="483"/>
      <c r="AB77" s="483"/>
      <c r="AC77" s="483"/>
      <c r="AD77" s="484"/>
      <c r="AF77" s="50"/>
    </row>
    <row r="78" spans="1:32" ht="30" customHeight="1">
      <c r="A78" s="452">
        <f>A77+1</f>
        <v>2</v>
      </c>
      <c r="B78" s="453"/>
      <c r="C78" s="377"/>
      <c r="D78" s="377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ref="A79:A83" si="12">A78+1</f>
        <v>3</v>
      </c>
      <c r="B79" s="453"/>
      <c r="C79" s="377"/>
      <c r="D79" s="377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4</v>
      </c>
      <c r="B80" s="453"/>
      <c r="C80" s="377"/>
      <c r="D80" s="377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5</v>
      </c>
      <c r="B81" s="453"/>
      <c r="C81" s="377"/>
      <c r="D81" s="377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6</v>
      </c>
      <c r="B82" s="453"/>
      <c r="C82" s="377"/>
      <c r="D82" s="377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12"/>
        <v>7</v>
      </c>
      <c r="B83" s="453"/>
      <c r="C83" s="377"/>
      <c r="D83" s="377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6" thickBot="1">
      <c r="A84" s="465" t="s">
        <v>569</v>
      </c>
      <c r="B84" s="465"/>
      <c r="C84" s="465"/>
      <c r="D84" s="465"/>
      <c r="E84" s="46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66" t="s">
        <v>111</v>
      </c>
      <c r="B85" s="467"/>
      <c r="C85" s="457" t="s">
        <v>52</v>
      </c>
      <c r="D85" s="457"/>
      <c r="E85" s="457" t="s">
        <v>53</v>
      </c>
      <c r="F85" s="457"/>
      <c r="G85" s="457"/>
      <c r="H85" s="457"/>
      <c r="I85" s="457"/>
      <c r="J85" s="457"/>
      <c r="K85" s="457" t="s">
        <v>54</v>
      </c>
      <c r="L85" s="457"/>
      <c r="M85" s="457"/>
      <c r="N85" s="457"/>
      <c r="O85" s="457"/>
      <c r="P85" s="457"/>
      <c r="Q85" s="457"/>
      <c r="R85" s="457"/>
      <c r="S85" s="457"/>
      <c r="T85" s="457" t="s">
        <v>55</v>
      </c>
      <c r="U85" s="457"/>
      <c r="V85" s="457" t="s">
        <v>56</v>
      </c>
      <c r="W85" s="457"/>
      <c r="X85" s="457"/>
      <c r="Y85" s="457" t="s">
        <v>51</v>
      </c>
      <c r="Z85" s="457"/>
      <c r="AA85" s="457"/>
      <c r="AB85" s="457"/>
      <c r="AC85" s="457"/>
      <c r="AD85" s="458"/>
      <c r="AF85" s="50"/>
    </row>
    <row r="86" spans="1:32" ht="30.75" customHeight="1">
      <c r="A86" s="459">
        <v>1</v>
      </c>
      <c r="B86" s="460"/>
      <c r="C86" s="461">
        <v>11</v>
      </c>
      <c r="D86" s="461"/>
      <c r="E86" s="461" t="s">
        <v>295</v>
      </c>
      <c r="F86" s="461"/>
      <c r="G86" s="461"/>
      <c r="H86" s="461"/>
      <c r="I86" s="461"/>
      <c r="J86" s="461"/>
      <c r="K86" s="461" t="s">
        <v>297</v>
      </c>
      <c r="L86" s="461"/>
      <c r="M86" s="461"/>
      <c r="N86" s="461"/>
      <c r="O86" s="461"/>
      <c r="P86" s="461"/>
      <c r="Q86" s="461"/>
      <c r="R86" s="461"/>
      <c r="S86" s="461"/>
      <c r="T86" s="461" t="s">
        <v>296</v>
      </c>
      <c r="U86" s="461"/>
      <c r="V86" s="462"/>
      <c r="W86" s="462"/>
      <c r="X86" s="462"/>
      <c r="Y86" s="463" t="s">
        <v>298</v>
      </c>
      <c r="Z86" s="463"/>
      <c r="AA86" s="463"/>
      <c r="AB86" s="463"/>
      <c r="AC86" s="463"/>
      <c r="AD86" s="464"/>
      <c r="AF86" s="50"/>
    </row>
    <row r="87" spans="1:32" ht="30.75" customHeight="1">
      <c r="A87" s="452">
        <v>2</v>
      </c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5"/>
      <c r="U87" s="455"/>
      <c r="V87" s="456"/>
      <c r="W87" s="456"/>
      <c r="X87" s="456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6B30-8003-4AF3-BB0A-3A11513BDA9D}">
  <dimension ref="A1:AF88"/>
  <sheetViews>
    <sheetView view="pageBreakPreview" topLeftCell="A4" zoomScale="70" zoomScaleNormal="72" zoomScaleSheetLayoutView="70" workbookViewId="0">
      <selection activeCell="L17" sqref="L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570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91" t="s">
        <v>17</v>
      </c>
      <c r="L5" s="391" t="s">
        <v>18</v>
      </c>
      <c r="M5" s="391" t="s">
        <v>19</v>
      </c>
      <c r="N5" s="3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130</v>
      </c>
      <c r="E6" s="53" t="s">
        <v>571</v>
      </c>
      <c r="F6" s="12" t="s">
        <v>128</v>
      </c>
      <c r="G6" s="12">
        <v>1</v>
      </c>
      <c r="H6" s="13">
        <v>24</v>
      </c>
      <c r="I6" s="31">
        <v>17000</v>
      </c>
      <c r="J6" s="14">
        <v>4576</v>
      </c>
      <c r="K6" s="15">
        <f>L6</f>
        <v>4576</v>
      </c>
      <c r="L6" s="15">
        <f>3045+600+931</f>
        <v>4576</v>
      </c>
      <c r="M6" s="15">
        <f t="shared" ref="M6:M22" si="0">L6-N6</f>
        <v>4576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22</v>
      </c>
      <c r="Q6" s="40">
        <f t="shared" ref="Q6:Q22" si="3">SUM(R6:AA6)</f>
        <v>2</v>
      </c>
      <c r="R6" s="7"/>
      <c r="S6" s="6"/>
      <c r="T6" s="16"/>
      <c r="U6" s="16"/>
      <c r="V6" s="17">
        <v>2</v>
      </c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0.91666666666666663</v>
      </c>
      <c r="AD6" s="10">
        <f t="shared" ref="AD6:AD22" si="6">AC6*AB6*(1-O6)</f>
        <v>0.91666666666666663</v>
      </c>
      <c r="AE6" s="36">
        <f t="shared" ref="AE6:AE22" si="7">$AD$23</f>
        <v>0.57352941176470595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241</v>
      </c>
      <c r="F7" s="12" t="s">
        <v>327</v>
      </c>
      <c r="G7" s="12">
        <v>1</v>
      </c>
      <c r="H7" s="13">
        <v>24</v>
      </c>
      <c r="I7" s="31">
        <v>7800</v>
      </c>
      <c r="J7" s="14">
        <v>5307</v>
      </c>
      <c r="K7" s="15">
        <f>L7+2727</f>
        <v>8034</v>
      </c>
      <c r="L7" s="15">
        <f>2403+2904</f>
        <v>5307</v>
      </c>
      <c r="M7" s="15">
        <f t="shared" si="0"/>
        <v>5307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0.57352941176470595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20768</v>
      </c>
      <c r="K8" s="15">
        <f>L8+8404+12360+9142+12426+5790+11544+12480+12502+12376+12380+22896+24720+24328+24256+11504+24084+22712+24032+23532</f>
        <v>332236</v>
      </c>
      <c r="L8" s="15">
        <f>2845*4+2347*4</f>
        <v>20768</v>
      </c>
      <c r="M8" s="15">
        <f t="shared" si="0"/>
        <v>20768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0.57352941176470595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133</v>
      </c>
      <c r="E9" s="53" t="s">
        <v>553</v>
      </c>
      <c r="F9" s="30" t="s">
        <v>225</v>
      </c>
      <c r="G9" s="33">
        <v>1</v>
      </c>
      <c r="H9" s="35">
        <v>24</v>
      </c>
      <c r="I9" s="7">
        <v>17000</v>
      </c>
      <c r="J9" s="14">
        <v>3285</v>
      </c>
      <c r="K9" s="15">
        <f>L9</f>
        <v>3285</v>
      </c>
      <c r="L9" s="15">
        <f>820+2465</f>
        <v>3285</v>
      </c>
      <c r="M9" s="15">
        <f t="shared" si="0"/>
        <v>3285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0.57352941176470595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4</v>
      </c>
      <c r="H10" s="35">
        <v>24</v>
      </c>
      <c r="I10" s="7">
        <v>530000</v>
      </c>
      <c r="J10" s="5">
        <v>16004</v>
      </c>
      <c r="K10" s="15">
        <f>L10+19272+24844</f>
        <v>60120</v>
      </c>
      <c r="L10" s="15">
        <f>819*4+3182*4</f>
        <v>16004</v>
      </c>
      <c r="M10" s="15">
        <f t="shared" si="0"/>
        <v>16004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>
        <v>8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>AC10*AB10*(1-O10)</f>
        <v>0.66666666666666663</v>
      </c>
      <c r="AE10" s="36">
        <f t="shared" si="7"/>
        <v>0.57352941176470595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518</v>
      </c>
      <c r="F11" s="30" t="s">
        <v>301</v>
      </c>
      <c r="G11" s="33">
        <v>1</v>
      </c>
      <c r="H11" s="35">
        <v>24</v>
      </c>
      <c r="I11" s="7">
        <v>20000</v>
      </c>
      <c r="J11" s="14">
        <v>1326</v>
      </c>
      <c r="K11" s="15">
        <f>L11+1837+2816</f>
        <v>5979</v>
      </c>
      <c r="L11" s="15">
        <f>221+1105</f>
        <v>1326</v>
      </c>
      <c r="M11" s="15">
        <f t="shared" si="0"/>
        <v>1326</v>
      </c>
      <c r="N11" s="15">
        <v>0</v>
      </c>
      <c r="O11" s="58">
        <f t="shared" si="1"/>
        <v>0</v>
      </c>
      <c r="P11" s="39">
        <f t="shared" si="2"/>
        <v>7</v>
      </c>
      <c r="Q11" s="40">
        <f t="shared" si="3"/>
        <v>17</v>
      </c>
      <c r="R11" s="7"/>
      <c r="S11" s="6">
        <v>17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0.29166666666666669</v>
      </c>
      <c r="AD11" s="10">
        <f t="shared" ref="AD11:AD14" si="9">AC11*AB11*(1-O11)</f>
        <v>0.29166666666666669</v>
      </c>
      <c r="AE11" s="36">
        <f t="shared" si="7"/>
        <v>0.57352941176470595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554</v>
      </c>
      <c r="F12" s="30" t="s">
        <v>119</v>
      </c>
      <c r="G12" s="33">
        <v>1</v>
      </c>
      <c r="H12" s="35">
        <v>24</v>
      </c>
      <c r="I12" s="7">
        <v>11000</v>
      </c>
      <c r="J12" s="14">
        <v>4928</v>
      </c>
      <c r="K12" s="15">
        <f>L12</f>
        <v>4928</v>
      </c>
      <c r="L12" s="15">
        <f>2556+2372</f>
        <v>4928</v>
      </c>
      <c r="M12" s="15">
        <f t="shared" si="0"/>
        <v>4928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9"/>
        <v>0.95833333333333337</v>
      </c>
      <c r="AE12" s="36">
        <f t="shared" si="7"/>
        <v>0.57352941176470595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11570</v>
      </c>
      <c r="K13" s="15">
        <f>L13+10230+8758+7458+4298+5694+7524+3000+9774+6592+11326+12144+11050+10802+10910+9796+3412+4942+8464+12186+4876+12344+11648</f>
        <v>198798</v>
      </c>
      <c r="L13" s="15">
        <f>2976*2+2809*2</f>
        <v>11570</v>
      </c>
      <c r="M13" s="15">
        <f t="shared" si="0"/>
        <v>11570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0.57352941176470595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236</v>
      </c>
      <c r="F14" s="30" t="s">
        <v>249</v>
      </c>
      <c r="G14" s="33">
        <v>1</v>
      </c>
      <c r="H14" s="35">
        <v>24</v>
      </c>
      <c r="I14" s="7">
        <v>300</v>
      </c>
      <c r="J14" s="5">
        <v>329</v>
      </c>
      <c r="K14" s="15">
        <f>L14+242+329</f>
        <v>571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0.57352941176470595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509</v>
      </c>
      <c r="F15" s="12" t="s">
        <v>140</v>
      </c>
      <c r="G15" s="12">
        <v>1</v>
      </c>
      <c r="H15" s="13">
        <v>24</v>
      </c>
      <c r="I15" s="31">
        <v>20000</v>
      </c>
      <c r="J15" s="14">
        <v>5230</v>
      </c>
      <c r="K15" s="15">
        <f>L15+2236+873+2158</f>
        <v>10497</v>
      </c>
      <c r="L15" s="15">
        <f>2701+2529</f>
        <v>5230</v>
      </c>
      <c r="M15" s="15">
        <f t="shared" si="0"/>
        <v>5230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0.57352941176470595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0.57352941176470595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250</v>
      </c>
      <c r="E17" s="53" t="s">
        <v>533</v>
      </c>
      <c r="F17" s="30" t="s">
        <v>252</v>
      </c>
      <c r="G17" s="12">
        <v>1</v>
      </c>
      <c r="H17" s="13">
        <v>24</v>
      </c>
      <c r="I17" s="7">
        <v>500</v>
      </c>
      <c r="J17" s="14">
        <v>556</v>
      </c>
      <c r="K17" s="15">
        <f>L17+556</f>
        <v>556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0.57352941176470595</v>
      </c>
      <c r="AF17" s="84">
        <f t="shared" si="8"/>
        <v>12</v>
      </c>
    </row>
    <row r="18" spans="1:32" ht="27" customHeight="1">
      <c r="A18" s="96">
        <v>13</v>
      </c>
      <c r="B18" s="11" t="s">
        <v>490</v>
      </c>
      <c r="C18" s="11" t="s">
        <v>120</v>
      </c>
      <c r="D18" s="52" t="s">
        <v>534</v>
      </c>
      <c r="E18" s="53">
        <v>3026700</v>
      </c>
      <c r="F18" s="30" t="s">
        <v>131</v>
      </c>
      <c r="G18" s="33">
        <v>1</v>
      </c>
      <c r="H18" s="35">
        <v>24</v>
      </c>
      <c r="I18" s="7">
        <v>1000</v>
      </c>
      <c r="J18" s="14">
        <v>1090</v>
      </c>
      <c r="K18" s="15">
        <f>L18+1090</f>
        <v>1090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0.57352941176470595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555</v>
      </c>
      <c r="F19" s="30" t="s">
        <v>129</v>
      </c>
      <c r="G19" s="33">
        <v>1</v>
      </c>
      <c r="H19" s="35">
        <v>24</v>
      </c>
      <c r="I19" s="7">
        <v>500</v>
      </c>
      <c r="J19" s="14">
        <v>548</v>
      </c>
      <c r="K19" s="15">
        <f>L19</f>
        <v>548</v>
      </c>
      <c r="L19" s="15">
        <f>548</f>
        <v>548</v>
      </c>
      <c r="M19" s="15">
        <f t="shared" si="0"/>
        <v>548</v>
      </c>
      <c r="N19" s="15">
        <v>0</v>
      </c>
      <c r="O19" s="58">
        <f t="shared" si="1"/>
        <v>0</v>
      </c>
      <c r="P19" s="39">
        <f t="shared" si="2"/>
        <v>7</v>
      </c>
      <c r="Q19" s="40">
        <f t="shared" si="3"/>
        <v>17</v>
      </c>
      <c r="R19" s="7"/>
      <c r="S19" s="6"/>
      <c r="T19" s="16"/>
      <c r="U19" s="16"/>
      <c r="V19" s="17"/>
      <c r="W19" s="5">
        <v>17</v>
      </c>
      <c r="X19" s="16"/>
      <c r="Y19" s="16"/>
      <c r="Z19" s="16"/>
      <c r="AA19" s="18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6">
        <f t="shared" si="7"/>
        <v>0.57352941176470595</v>
      </c>
      <c r="AF19" s="84">
        <f t="shared" si="8"/>
        <v>14</v>
      </c>
    </row>
    <row r="20" spans="1:32" ht="27" customHeight="1">
      <c r="A20" s="96">
        <v>14</v>
      </c>
      <c r="B20" s="11" t="s">
        <v>57</v>
      </c>
      <c r="C20" s="11" t="s">
        <v>123</v>
      </c>
      <c r="D20" s="52" t="s">
        <v>115</v>
      </c>
      <c r="E20" s="53" t="s">
        <v>572</v>
      </c>
      <c r="F20" s="30" t="s">
        <v>119</v>
      </c>
      <c r="G20" s="33">
        <v>1</v>
      </c>
      <c r="H20" s="35">
        <v>24</v>
      </c>
      <c r="I20" s="7">
        <v>10000</v>
      </c>
      <c r="J20" s="14">
        <v>3001</v>
      </c>
      <c r="K20" s="15">
        <f>L20</f>
        <v>3001</v>
      </c>
      <c r="L20" s="15">
        <f>2521+480</f>
        <v>3001</v>
      </c>
      <c r="M20" s="15">
        <f t="shared" ref="M20" si="10">L20-N20</f>
        <v>3001</v>
      </c>
      <c r="N20" s="15">
        <v>0</v>
      </c>
      <c r="O20" s="58">
        <f t="shared" ref="O20" si="11">IF(L20=0,"0",N20/L20)</f>
        <v>0</v>
      </c>
      <c r="P20" s="39">
        <f t="shared" ref="P20" si="12">IF(L20=0,"0",(24-Q20))</f>
        <v>15</v>
      </c>
      <c r="Q20" s="40">
        <f t="shared" ref="Q20" si="13">SUM(R20:AA20)</f>
        <v>9</v>
      </c>
      <c r="R20" s="7"/>
      <c r="S20" s="6"/>
      <c r="T20" s="16">
        <v>9</v>
      </c>
      <c r="U20" s="16"/>
      <c r="V20" s="17"/>
      <c r="W20" s="5"/>
      <c r="X20" s="16"/>
      <c r="Y20" s="16"/>
      <c r="Z20" s="16"/>
      <c r="AA20" s="18"/>
      <c r="AB20" s="8">
        <f t="shared" ref="AB20" si="14">IF(J20=0,"0",(L20/J20))</f>
        <v>1</v>
      </c>
      <c r="AC20" s="9">
        <f t="shared" ref="AC20" si="15">IF(P20=0,"0",(P20/24))</f>
        <v>0.625</v>
      </c>
      <c r="AD20" s="10">
        <f t="shared" ref="AD20" si="16">AC20*AB20*(1-O20)</f>
        <v>0.625</v>
      </c>
      <c r="AE20" s="36">
        <f t="shared" si="7"/>
        <v>0.57352941176470595</v>
      </c>
      <c r="AF20" s="84">
        <f t="shared" ref="AF20" si="17">A20</f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200</v>
      </c>
      <c r="F21" s="30" t="s">
        <v>124</v>
      </c>
      <c r="G21" s="12">
        <v>4</v>
      </c>
      <c r="H21" s="13">
        <v>28</v>
      </c>
      <c r="I21" s="31">
        <v>561000</v>
      </c>
      <c r="J21" s="5">
        <v>12576</v>
      </c>
      <c r="K21" s="15">
        <f>L21+14284+8352</f>
        <v>35212</v>
      </c>
      <c r="L21" s="15">
        <f>2818*3+1374*3</f>
        <v>12576</v>
      </c>
      <c r="M21" s="15">
        <f t="shared" si="0"/>
        <v>12576</v>
      </c>
      <c r="N21" s="15">
        <v>0</v>
      </c>
      <c r="O21" s="58">
        <f t="shared" si="1"/>
        <v>0</v>
      </c>
      <c r="P21" s="39">
        <f t="shared" si="2"/>
        <v>20</v>
      </c>
      <c r="Q21" s="40">
        <f t="shared" si="3"/>
        <v>4</v>
      </c>
      <c r="R21" s="7"/>
      <c r="S21" s="6">
        <v>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0.83333333333333337</v>
      </c>
      <c r="AD21" s="10">
        <f t="shared" si="6"/>
        <v>0.83333333333333337</v>
      </c>
      <c r="AE21" s="36">
        <f t="shared" si="7"/>
        <v>0.57352941176470595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134</v>
      </c>
      <c r="F22" s="12" t="s">
        <v>114</v>
      </c>
      <c r="G22" s="12">
        <v>4</v>
      </c>
      <c r="H22" s="35">
        <v>20</v>
      </c>
      <c r="I22" s="7">
        <v>500000</v>
      </c>
      <c r="J22" s="14">
        <v>35548</v>
      </c>
      <c r="K22" s="15">
        <f>L22+31044+37988+37244+33716+33120+36632+37384</f>
        <v>282676</v>
      </c>
      <c r="L22" s="15">
        <f>8887*4</f>
        <v>35548</v>
      </c>
      <c r="M22" s="15">
        <f t="shared" si="0"/>
        <v>35548</v>
      </c>
      <c r="N22" s="15">
        <v>0</v>
      </c>
      <c r="O22" s="58">
        <f t="shared" si="1"/>
        <v>0</v>
      </c>
      <c r="P22" s="39">
        <f t="shared" si="2"/>
        <v>14</v>
      </c>
      <c r="Q22" s="40">
        <f t="shared" si="3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0.58333333333333337</v>
      </c>
      <c r="AD22" s="10">
        <f t="shared" si="6"/>
        <v>0.58333333333333337</v>
      </c>
      <c r="AE22" s="36">
        <f t="shared" si="7"/>
        <v>0.57352941176470595</v>
      </c>
      <c r="AF22" s="84">
        <f t="shared" si="8"/>
        <v>16</v>
      </c>
    </row>
    <row r="23" spans="1:32" ht="31.5" customHeight="1" thickBot="1">
      <c r="A23" s="529" t="s">
        <v>34</v>
      </c>
      <c r="B23" s="530"/>
      <c r="C23" s="530"/>
      <c r="D23" s="530"/>
      <c r="E23" s="530"/>
      <c r="F23" s="530"/>
      <c r="G23" s="530"/>
      <c r="H23" s="531"/>
      <c r="I23" s="22">
        <f t="shared" ref="I23:N23" si="18">SUM(I6:I22)</f>
        <v>2686600</v>
      </c>
      <c r="J23" s="19">
        <f t="shared" si="18"/>
        <v>127137</v>
      </c>
      <c r="K23" s="20">
        <f t="shared" si="18"/>
        <v>952602</v>
      </c>
      <c r="L23" s="21">
        <f t="shared" si="18"/>
        <v>124667</v>
      </c>
      <c r="M23" s="20">
        <f t="shared" si="18"/>
        <v>124667</v>
      </c>
      <c r="N23" s="21">
        <f t="shared" si="18"/>
        <v>0</v>
      </c>
      <c r="O23" s="41">
        <f t="shared" si="1"/>
        <v>0</v>
      </c>
      <c r="P23" s="42">
        <f t="shared" ref="P23:AA23" si="19">SUM(P6:P22)</f>
        <v>234</v>
      </c>
      <c r="Q23" s="43">
        <f t="shared" si="19"/>
        <v>174</v>
      </c>
      <c r="R23" s="23">
        <f t="shared" si="19"/>
        <v>24</v>
      </c>
      <c r="S23" s="24">
        <f t="shared" si="19"/>
        <v>39</v>
      </c>
      <c r="T23" s="24">
        <f t="shared" si="19"/>
        <v>10</v>
      </c>
      <c r="U23" s="24">
        <f t="shared" si="19"/>
        <v>0</v>
      </c>
      <c r="V23" s="25">
        <f t="shared" si="19"/>
        <v>12</v>
      </c>
      <c r="W23" s="26">
        <f t="shared" si="19"/>
        <v>41</v>
      </c>
      <c r="X23" s="27">
        <f t="shared" si="19"/>
        <v>0</v>
      </c>
      <c r="Y23" s="27">
        <f t="shared" si="19"/>
        <v>0</v>
      </c>
      <c r="Z23" s="27">
        <f t="shared" si="19"/>
        <v>0</v>
      </c>
      <c r="AA23" s="27">
        <f t="shared" si="19"/>
        <v>48</v>
      </c>
      <c r="AB23" s="28">
        <f>AVERAGE(AB6:AB22)</f>
        <v>0.76470588235294112</v>
      </c>
      <c r="AC23" s="4">
        <f>AVERAGE(AC6:AC22)</f>
        <v>0.57352941176470595</v>
      </c>
      <c r="AD23" s="4">
        <f>AVERAGE(AD6:AD22)</f>
        <v>0.57352941176470595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32" t="s">
        <v>45</v>
      </c>
      <c r="B50" s="532"/>
      <c r="C50" s="532"/>
      <c r="D50" s="532"/>
      <c r="E50" s="53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33" t="s">
        <v>573</v>
      </c>
      <c r="B51" s="534"/>
      <c r="C51" s="534"/>
      <c r="D51" s="534"/>
      <c r="E51" s="534"/>
      <c r="F51" s="534"/>
      <c r="G51" s="534"/>
      <c r="H51" s="534"/>
      <c r="I51" s="534"/>
      <c r="J51" s="534"/>
      <c r="K51" s="534"/>
      <c r="L51" s="534"/>
      <c r="M51" s="535"/>
      <c r="N51" s="536" t="s">
        <v>576</v>
      </c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8"/>
    </row>
    <row r="52" spans="1:32" ht="27" customHeight="1">
      <c r="A52" s="539" t="s">
        <v>2</v>
      </c>
      <c r="B52" s="540"/>
      <c r="C52" s="390" t="s">
        <v>46</v>
      </c>
      <c r="D52" s="390" t="s">
        <v>47</v>
      </c>
      <c r="E52" s="390" t="s">
        <v>107</v>
      </c>
      <c r="F52" s="541" t="s">
        <v>106</v>
      </c>
      <c r="G52" s="542"/>
      <c r="H52" s="542"/>
      <c r="I52" s="542"/>
      <c r="J52" s="542"/>
      <c r="K52" s="542"/>
      <c r="L52" s="542"/>
      <c r="M52" s="543"/>
      <c r="N52" s="67" t="s">
        <v>110</v>
      </c>
      <c r="O52" s="390" t="s">
        <v>46</v>
      </c>
      <c r="P52" s="541" t="s">
        <v>47</v>
      </c>
      <c r="Q52" s="544"/>
      <c r="R52" s="541" t="s">
        <v>38</v>
      </c>
      <c r="S52" s="542"/>
      <c r="T52" s="542"/>
      <c r="U52" s="544"/>
      <c r="V52" s="541" t="s">
        <v>48</v>
      </c>
      <c r="W52" s="542"/>
      <c r="X52" s="542"/>
      <c r="Y52" s="542"/>
      <c r="Z52" s="542"/>
      <c r="AA52" s="542"/>
      <c r="AB52" s="542"/>
      <c r="AC52" s="542"/>
      <c r="AD52" s="543"/>
    </row>
    <row r="53" spans="1:32" ht="27" customHeight="1">
      <c r="A53" s="510" t="s">
        <v>121</v>
      </c>
      <c r="B53" s="511"/>
      <c r="C53" s="387" t="s">
        <v>203</v>
      </c>
      <c r="D53" s="387" t="s">
        <v>115</v>
      </c>
      <c r="E53" s="387" t="s">
        <v>417</v>
      </c>
      <c r="F53" s="512" t="s">
        <v>574</v>
      </c>
      <c r="G53" s="513"/>
      <c r="H53" s="513"/>
      <c r="I53" s="513"/>
      <c r="J53" s="513"/>
      <c r="K53" s="513"/>
      <c r="L53" s="513"/>
      <c r="M53" s="514"/>
      <c r="N53" s="386" t="s">
        <v>123</v>
      </c>
      <c r="O53" s="384" t="s">
        <v>169</v>
      </c>
      <c r="P53" s="524"/>
      <c r="Q53" s="525"/>
      <c r="R53" s="524" t="s">
        <v>518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67" t="s">
        <v>123</v>
      </c>
      <c r="B54" s="568"/>
      <c r="C54" s="392" t="s">
        <v>169</v>
      </c>
      <c r="D54" s="392"/>
      <c r="E54" s="387" t="s">
        <v>518</v>
      </c>
      <c r="F54" s="512" t="s">
        <v>575</v>
      </c>
      <c r="G54" s="513"/>
      <c r="H54" s="513"/>
      <c r="I54" s="513"/>
      <c r="J54" s="513"/>
      <c r="K54" s="513"/>
      <c r="L54" s="513"/>
      <c r="M54" s="514"/>
      <c r="N54" s="386" t="s">
        <v>121</v>
      </c>
      <c r="O54" s="384" t="s">
        <v>203</v>
      </c>
      <c r="P54" s="524" t="s">
        <v>115</v>
      </c>
      <c r="Q54" s="525"/>
      <c r="R54" s="524" t="s">
        <v>417</v>
      </c>
      <c r="S54" s="526"/>
      <c r="T54" s="526"/>
      <c r="U54" s="525"/>
      <c r="V54" s="496" t="s">
        <v>577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67" t="s">
        <v>112</v>
      </c>
      <c r="B55" s="568"/>
      <c r="C55" s="392" t="s">
        <v>239</v>
      </c>
      <c r="D55" s="392" t="s">
        <v>130</v>
      </c>
      <c r="E55" s="387" t="s">
        <v>571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386" t="s">
        <v>112</v>
      </c>
      <c r="O55" s="384" t="s">
        <v>284</v>
      </c>
      <c r="P55" s="524" t="s">
        <v>133</v>
      </c>
      <c r="Q55" s="525"/>
      <c r="R55" s="524" t="s">
        <v>553</v>
      </c>
      <c r="S55" s="526"/>
      <c r="T55" s="526"/>
      <c r="U55" s="525"/>
      <c r="V55" s="496" t="s">
        <v>180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112</v>
      </c>
      <c r="B56" s="511"/>
      <c r="C56" s="387" t="s">
        <v>284</v>
      </c>
      <c r="D56" s="387" t="s">
        <v>133</v>
      </c>
      <c r="E56" s="387" t="s">
        <v>553</v>
      </c>
      <c r="F56" s="512" t="s">
        <v>427</v>
      </c>
      <c r="G56" s="513"/>
      <c r="H56" s="513"/>
      <c r="I56" s="513"/>
      <c r="J56" s="513"/>
      <c r="K56" s="513"/>
      <c r="L56" s="513"/>
      <c r="M56" s="514"/>
      <c r="N56" s="386" t="s">
        <v>112</v>
      </c>
      <c r="O56" s="384" t="s">
        <v>267</v>
      </c>
      <c r="P56" s="524" t="s">
        <v>115</v>
      </c>
      <c r="Q56" s="525"/>
      <c r="R56" s="524" t="s">
        <v>554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112</v>
      </c>
      <c r="B57" s="511"/>
      <c r="C57" s="387" t="s">
        <v>267</v>
      </c>
      <c r="D57" s="387" t="s">
        <v>115</v>
      </c>
      <c r="E57" s="387" t="s">
        <v>554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386" t="s">
        <v>121</v>
      </c>
      <c r="O57" s="384" t="s">
        <v>192</v>
      </c>
      <c r="P57" s="524" t="s">
        <v>150</v>
      </c>
      <c r="Q57" s="525"/>
      <c r="R57" s="524" t="s">
        <v>190</v>
      </c>
      <c r="S57" s="526"/>
      <c r="T57" s="526"/>
      <c r="U57" s="525"/>
      <c r="V57" s="496" t="s">
        <v>180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112</v>
      </c>
      <c r="B58" s="511"/>
      <c r="C58" s="387" t="s">
        <v>201</v>
      </c>
      <c r="D58" s="387" t="s">
        <v>115</v>
      </c>
      <c r="E58" s="387" t="s">
        <v>555</v>
      </c>
      <c r="F58" s="512" t="s">
        <v>118</v>
      </c>
      <c r="G58" s="513"/>
      <c r="H58" s="513"/>
      <c r="I58" s="513"/>
      <c r="J58" s="513"/>
      <c r="K58" s="513"/>
      <c r="L58" s="513"/>
      <c r="M58" s="514"/>
      <c r="N58" s="386"/>
      <c r="O58" s="384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 t="s">
        <v>123</v>
      </c>
      <c r="B59" s="568"/>
      <c r="C59" s="392" t="s">
        <v>201</v>
      </c>
      <c r="D59" s="392"/>
      <c r="E59" s="387" t="s">
        <v>572</v>
      </c>
      <c r="F59" s="512" t="s">
        <v>118</v>
      </c>
      <c r="G59" s="513"/>
      <c r="H59" s="513"/>
      <c r="I59" s="513"/>
      <c r="J59" s="513"/>
      <c r="K59" s="513"/>
      <c r="L59" s="513"/>
      <c r="M59" s="514"/>
      <c r="N59" s="386"/>
      <c r="O59" s="384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 t="s">
        <v>121</v>
      </c>
      <c r="B60" s="568"/>
      <c r="C60" s="392" t="s">
        <v>192</v>
      </c>
      <c r="D60" s="392" t="s">
        <v>150</v>
      </c>
      <c r="E60" s="387" t="s">
        <v>190</v>
      </c>
      <c r="F60" s="512" t="s">
        <v>578</v>
      </c>
      <c r="G60" s="513"/>
      <c r="H60" s="513"/>
      <c r="I60" s="513"/>
      <c r="J60" s="513"/>
      <c r="K60" s="513"/>
      <c r="L60" s="513"/>
      <c r="M60" s="514"/>
      <c r="N60" s="386"/>
      <c r="O60" s="384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387"/>
      <c r="D61" s="387"/>
      <c r="E61" s="387"/>
      <c r="F61" s="512"/>
      <c r="G61" s="513"/>
      <c r="H61" s="513"/>
      <c r="I61" s="513"/>
      <c r="J61" s="513"/>
      <c r="K61" s="513"/>
      <c r="L61" s="513"/>
      <c r="M61" s="514"/>
      <c r="N61" s="386"/>
      <c r="O61" s="384"/>
      <c r="P61" s="511"/>
      <c r="Q61" s="511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  <c r="AF61" s="84">
        <f>8*3000</f>
        <v>24000</v>
      </c>
    </row>
    <row r="62" spans="1:32" ht="27" customHeight="1" thickBot="1">
      <c r="A62" s="516"/>
      <c r="B62" s="517"/>
      <c r="C62" s="388"/>
      <c r="D62" s="389"/>
      <c r="E62" s="389"/>
      <c r="F62" s="518"/>
      <c r="G62" s="519"/>
      <c r="H62" s="519"/>
      <c r="I62" s="519"/>
      <c r="J62" s="519"/>
      <c r="K62" s="519"/>
      <c r="L62" s="519"/>
      <c r="M62" s="520"/>
      <c r="N62" s="112"/>
      <c r="O62" s="103"/>
      <c r="P62" s="521"/>
      <c r="Q62" s="521"/>
      <c r="R62" s="521"/>
      <c r="S62" s="521"/>
      <c r="T62" s="521"/>
      <c r="U62" s="521"/>
      <c r="V62" s="522"/>
      <c r="W62" s="522"/>
      <c r="X62" s="522"/>
      <c r="Y62" s="522"/>
      <c r="Z62" s="522"/>
      <c r="AA62" s="522"/>
      <c r="AB62" s="522"/>
      <c r="AC62" s="522"/>
      <c r="AD62" s="523"/>
      <c r="AF62" s="84">
        <f>16*3000</f>
        <v>48000</v>
      </c>
    </row>
    <row r="63" spans="1:32" ht="27.75" thickBot="1">
      <c r="A63" s="508" t="s">
        <v>579</v>
      </c>
      <c r="B63" s="508"/>
      <c r="C63" s="508"/>
      <c r="D63" s="508"/>
      <c r="E63" s="50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09" t="s">
        <v>111</v>
      </c>
      <c r="B64" s="503"/>
      <c r="C64" s="385" t="s">
        <v>2</v>
      </c>
      <c r="D64" s="385" t="s">
        <v>37</v>
      </c>
      <c r="E64" s="385" t="s">
        <v>3</v>
      </c>
      <c r="F64" s="503" t="s">
        <v>109</v>
      </c>
      <c r="G64" s="503"/>
      <c r="H64" s="503"/>
      <c r="I64" s="503"/>
      <c r="J64" s="503"/>
      <c r="K64" s="503" t="s">
        <v>39</v>
      </c>
      <c r="L64" s="503"/>
      <c r="M64" s="385" t="s">
        <v>40</v>
      </c>
      <c r="N64" s="503" t="s">
        <v>41</v>
      </c>
      <c r="O64" s="503"/>
      <c r="P64" s="500" t="s">
        <v>42</v>
      </c>
      <c r="Q64" s="502"/>
      <c r="R64" s="500" t="s">
        <v>43</v>
      </c>
      <c r="S64" s="501"/>
      <c r="T64" s="501"/>
      <c r="U64" s="501"/>
      <c r="V64" s="501"/>
      <c r="W64" s="501"/>
      <c r="X64" s="501"/>
      <c r="Y64" s="501"/>
      <c r="Z64" s="501"/>
      <c r="AA64" s="502"/>
      <c r="AB64" s="503" t="s">
        <v>44</v>
      </c>
      <c r="AC64" s="503"/>
      <c r="AD64" s="504"/>
      <c r="AF64" s="84">
        <f>SUM(AF61:AF63)</f>
        <v>96000</v>
      </c>
    </row>
    <row r="65" spans="1:32" ht="25.5" customHeight="1">
      <c r="A65" s="491">
        <v>1</v>
      </c>
      <c r="B65" s="492"/>
      <c r="C65" s="105" t="s">
        <v>120</v>
      </c>
      <c r="D65" s="380"/>
      <c r="E65" s="383" t="s">
        <v>130</v>
      </c>
      <c r="F65" s="497" t="s">
        <v>485</v>
      </c>
      <c r="G65" s="498"/>
      <c r="H65" s="498"/>
      <c r="I65" s="498"/>
      <c r="J65" s="499"/>
      <c r="K65" s="485" t="s">
        <v>128</v>
      </c>
      <c r="L65" s="485"/>
      <c r="M65" s="51" t="s">
        <v>188</v>
      </c>
      <c r="N65" s="494" t="s">
        <v>148</v>
      </c>
      <c r="O65" s="494"/>
      <c r="P65" s="495">
        <v>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505"/>
      <c r="AC65" s="506"/>
      <c r="AD65" s="507"/>
      <c r="AF65" s="50"/>
    </row>
    <row r="66" spans="1:32" ht="25.5" customHeight="1">
      <c r="A66" s="491">
        <v>2</v>
      </c>
      <c r="B66" s="492"/>
      <c r="C66" s="105" t="s">
        <v>112</v>
      </c>
      <c r="D66" s="380"/>
      <c r="E66" s="383" t="s">
        <v>346</v>
      </c>
      <c r="F66" s="497" t="s">
        <v>343</v>
      </c>
      <c r="G66" s="498"/>
      <c r="H66" s="498"/>
      <c r="I66" s="498"/>
      <c r="J66" s="499"/>
      <c r="K66" s="485" t="s">
        <v>580</v>
      </c>
      <c r="L66" s="485"/>
      <c r="M66" s="51" t="s">
        <v>581</v>
      </c>
      <c r="N66" s="494" t="s">
        <v>197</v>
      </c>
      <c r="O66" s="494"/>
      <c r="P66" s="495">
        <v>50</v>
      </c>
      <c r="Q66" s="495"/>
      <c r="R66" s="496" t="s">
        <v>582</v>
      </c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3</v>
      </c>
      <c r="B67" s="492"/>
      <c r="C67" s="105" t="s">
        <v>120</v>
      </c>
      <c r="D67" s="380"/>
      <c r="E67" s="383" t="s">
        <v>115</v>
      </c>
      <c r="F67" s="493" t="s">
        <v>566</v>
      </c>
      <c r="G67" s="485"/>
      <c r="H67" s="485"/>
      <c r="I67" s="485"/>
      <c r="J67" s="485"/>
      <c r="K67" s="485" t="s">
        <v>119</v>
      </c>
      <c r="L67" s="485"/>
      <c r="M67" s="51" t="s">
        <v>196</v>
      </c>
      <c r="N67" s="494" t="s">
        <v>197</v>
      </c>
      <c r="O67" s="494"/>
      <c r="P67" s="495">
        <v>200</v>
      </c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4</v>
      </c>
      <c r="B68" s="492"/>
      <c r="C68" s="105"/>
      <c r="D68" s="380"/>
      <c r="E68" s="383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5</v>
      </c>
      <c r="B69" s="492"/>
      <c r="C69" s="105"/>
      <c r="D69" s="380"/>
      <c r="E69" s="383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6</v>
      </c>
      <c r="B70" s="492"/>
      <c r="C70" s="105"/>
      <c r="D70" s="380"/>
      <c r="E70" s="383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7</v>
      </c>
      <c r="B71" s="492"/>
      <c r="C71" s="105"/>
      <c r="D71" s="380"/>
      <c r="E71" s="383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8</v>
      </c>
      <c r="B72" s="492"/>
      <c r="C72" s="105"/>
      <c r="D72" s="380"/>
      <c r="E72" s="383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9</v>
      </c>
      <c r="B73" s="492"/>
      <c r="C73" s="105"/>
      <c r="D73" s="380"/>
      <c r="E73" s="383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10</v>
      </c>
      <c r="B74" s="492"/>
      <c r="C74" s="105"/>
      <c r="D74" s="380"/>
      <c r="E74" s="383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6.25" customHeight="1" thickBot="1">
      <c r="A75" s="465" t="s">
        <v>583</v>
      </c>
      <c r="B75" s="465"/>
      <c r="C75" s="465"/>
      <c r="D75" s="465"/>
      <c r="E75" s="46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66" t="s">
        <v>111</v>
      </c>
      <c r="B76" s="467"/>
      <c r="C76" s="382" t="s">
        <v>2</v>
      </c>
      <c r="D76" s="382" t="s">
        <v>37</v>
      </c>
      <c r="E76" s="382" t="s">
        <v>273</v>
      </c>
      <c r="F76" s="467" t="s">
        <v>38</v>
      </c>
      <c r="G76" s="467"/>
      <c r="H76" s="467"/>
      <c r="I76" s="467"/>
      <c r="J76" s="467"/>
      <c r="K76" s="487" t="s">
        <v>58</v>
      </c>
      <c r="L76" s="488"/>
      <c r="M76" s="488"/>
      <c r="N76" s="488"/>
      <c r="O76" s="488"/>
      <c r="P76" s="488"/>
      <c r="Q76" s="488"/>
      <c r="R76" s="488"/>
      <c r="S76" s="489"/>
      <c r="T76" s="467" t="s">
        <v>49</v>
      </c>
      <c r="U76" s="467"/>
      <c r="V76" s="487" t="s">
        <v>50</v>
      </c>
      <c r="W76" s="489"/>
      <c r="X76" s="488" t="s">
        <v>51</v>
      </c>
      <c r="Y76" s="488"/>
      <c r="Z76" s="488"/>
      <c r="AA76" s="488"/>
      <c r="AB76" s="488"/>
      <c r="AC76" s="488"/>
      <c r="AD76" s="490"/>
      <c r="AF76" s="50"/>
    </row>
    <row r="77" spans="1:32" ht="33.75" customHeight="1">
      <c r="A77" s="459">
        <v>1</v>
      </c>
      <c r="B77" s="460"/>
      <c r="C77" s="381" t="s">
        <v>112</v>
      </c>
      <c r="D77" s="381"/>
      <c r="E77" s="65" t="s">
        <v>117</v>
      </c>
      <c r="F77" s="474" t="s">
        <v>116</v>
      </c>
      <c r="G77" s="475"/>
      <c r="H77" s="475"/>
      <c r="I77" s="475"/>
      <c r="J77" s="476"/>
      <c r="K77" s="477" t="s">
        <v>122</v>
      </c>
      <c r="L77" s="478"/>
      <c r="M77" s="478"/>
      <c r="N77" s="478"/>
      <c r="O77" s="478"/>
      <c r="P77" s="478"/>
      <c r="Q77" s="478"/>
      <c r="R77" s="478"/>
      <c r="S77" s="479"/>
      <c r="T77" s="480">
        <v>43675</v>
      </c>
      <c r="U77" s="481"/>
      <c r="V77" s="482"/>
      <c r="W77" s="482"/>
      <c r="X77" s="483"/>
      <c r="Y77" s="483"/>
      <c r="Z77" s="483"/>
      <c r="AA77" s="483"/>
      <c r="AB77" s="483"/>
      <c r="AC77" s="483"/>
      <c r="AD77" s="484"/>
      <c r="AF77" s="50"/>
    </row>
    <row r="78" spans="1:32" ht="30" customHeight="1">
      <c r="A78" s="452">
        <f>A77+1</f>
        <v>2</v>
      </c>
      <c r="B78" s="453"/>
      <c r="C78" s="380"/>
      <c r="D78" s="380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ref="A79:A83" si="20">A78+1</f>
        <v>3</v>
      </c>
      <c r="B79" s="453"/>
      <c r="C79" s="380"/>
      <c r="D79" s="380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20"/>
        <v>4</v>
      </c>
      <c r="B80" s="453"/>
      <c r="C80" s="380"/>
      <c r="D80" s="380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20"/>
        <v>5</v>
      </c>
      <c r="B81" s="453"/>
      <c r="C81" s="380"/>
      <c r="D81" s="380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20"/>
        <v>6</v>
      </c>
      <c r="B82" s="453"/>
      <c r="C82" s="380"/>
      <c r="D82" s="380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20"/>
        <v>7</v>
      </c>
      <c r="B83" s="453"/>
      <c r="C83" s="380"/>
      <c r="D83" s="380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6" thickBot="1">
      <c r="A84" s="465" t="s">
        <v>584</v>
      </c>
      <c r="B84" s="465"/>
      <c r="C84" s="465"/>
      <c r="D84" s="465"/>
      <c r="E84" s="46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66" t="s">
        <v>111</v>
      </c>
      <c r="B85" s="467"/>
      <c r="C85" s="457" t="s">
        <v>52</v>
      </c>
      <c r="D85" s="457"/>
      <c r="E85" s="457" t="s">
        <v>53</v>
      </c>
      <c r="F85" s="457"/>
      <c r="G85" s="457"/>
      <c r="H85" s="457"/>
      <c r="I85" s="457"/>
      <c r="J85" s="457"/>
      <c r="K85" s="457" t="s">
        <v>54</v>
      </c>
      <c r="L85" s="457"/>
      <c r="M85" s="457"/>
      <c r="N85" s="457"/>
      <c r="O85" s="457"/>
      <c r="P85" s="457"/>
      <c r="Q85" s="457"/>
      <c r="R85" s="457"/>
      <c r="S85" s="457"/>
      <c r="T85" s="457" t="s">
        <v>55</v>
      </c>
      <c r="U85" s="457"/>
      <c r="V85" s="457" t="s">
        <v>56</v>
      </c>
      <c r="W85" s="457"/>
      <c r="X85" s="457"/>
      <c r="Y85" s="457" t="s">
        <v>51</v>
      </c>
      <c r="Z85" s="457"/>
      <c r="AA85" s="457"/>
      <c r="AB85" s="457"/>
      <c r="AC85" s="457"/>
      <c r="AD85" s="458"/>
      <c r="AF85" s="50"/>
    </row>
    <row r="86" spans="1:32" ht="30.75" customHeight="1">
      <c r="A86" s="459">
        <v>1</v>
      </c>
      <c r="B86" s="460"/>
      <c r="C86" s="461">
        <v>11</v>
      </c>
      <c r="D86" s="461"/>
      <c r="E86" s="461" t="s">
        <v>295</v>
      </c>
      <c r="F86" s="461"/>
      <c r="G86" s="461"/>
      <c r="H86" s="461"/>
      <c r="I86" s="461"/>
      <c r="J86" s="461"/>
      <c r="K86" s="461" t="s">
        <v>297</v>
      </c>
      <c r="L86" s="461"/>
      <c r="M86" s="461"/>
      <c r="N86" s="461"/>
      <c r="O86" s="461"/>
      <c r="P86" s="461"/>
      <c r="Q86" s="461"/>
      <c r="R86" s="461"/>
      <c r="S86" s="461"/>
      <c r="T86" s="461" t="s">
        <v>296</v>
      </c>
      <c r="U86" s="461"/>
      <c r="V86" s="462"/>
      <c r="W86" s="462"/>
      <c r="X86" s="462"/>
      <c r="Y86" s="463" t="s">
        <v>298</v>
      </c>
      <c r="Z86" s="463"/>
      <c r="AA86" s="463"/>
      <c r="AB86" s="463"/>
      <c r="AC86" s="463"/>
      <c r="AD86" s="464"/>
      <c r="AF86" s="50"/>
    </row>
    <row r="87" spans="1:32" ht="30.75" customHeight="1">
      <c r="A87" s="452">
        <v>2</v>
      </c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5"/>
      <c r="U87" s="455"/>
      <c r="V87" s="456"/>
      <c r="W87" s="456"/>
      <c r="X87" s="456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323D-3BBE-434B-9D81-A3FEBE36C429}">
  <dimension ref="A1:AF88"/>
  <sheetViews>
    <sheetView view="pageBreakPreview" zoomScale="70" zoomScaleNormal="72" zoomScaleSheetLayoutView="70" workbookViewId="0">
      <selection activeCell="F60" sqref="F60:M6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585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393" t="s">
        <v>17</v>
      </c>
      <c r="L5" s="393" t="s">
        <v>18</v>
      </c>
      <c r="M5" s="393" t="s">
        <v>19</v>
      </c>
      <c r="N5" s="3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130</v>
      </c>
      <c r="E6" s="53" t="s">
        <v>571</v>
      </c>
      <c r="F6" s="12" t="s">
        <v>128</v>
      </c>
      <c r="G6" s="12">
        <v>1</v>
      </c>
      <c r="H6" s="13">
        <v>24</v>
      </c>
      <c r="I6" s="31">
        <v>17000</v>
      </c>
      <c r="J6" s="14">
        <v>6348</v>
      </c>
      <c r="K6" s="15">
        <f>L6+4576</f>
        <v>10924</v>
      </c>
      <c r="L6" s="15">
        <f>3083+3265</f>
        <v>6348</v>
      </c>
      <c r="M6" s="15">
        <f t="shared" ref="M6:M22" si="0">L6-N6</f>
        <v>6348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24</v>
      </c>
      <c r="Q6" s="40">
        <f t="shared" ref="Q6:Q22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1</v>
      </c>
      <c r="AD6" s="10">
        <f t="shared" ref="AD6:AD22" si="6">AC6*AB6*(1-O6)</f>
        <v>1</v>
      </c>
      <c r="AE6" s="36">
        <f t="shared" ref="AE6:AE22" si="7">$AD$23</f>
        <v>0.52696078431372562</v>
      </c>
      <c r="AF6" s="84">
        <f t="shared" ref="AF6:AF22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241</v>
      </c>
      <c r="F7" s="12" t="s">
        <v>327</v>
      </c>
      <c r="G7" s="12">
        <v>1</v>
      </c>
      <c r="H7" s="13">
        <v>24</v>
      </c>
      <c r="I7" s="31">
        <v>7800</v>
      </c>
      <c r="J7" s="14">
        <v>5307</v>
      </c>
      <c r="K7" s="15">
        <f>L7+2727+5307</f>
        <v>8034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0.52696078431372562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23268</v>
      </c>
      <c r="K8" s="15">
        <f>L8+8404+12360+9142+12426+5790+11544+12480+12502+12376+12380+22896+24720+24328+24256+11504+24084+22712+24032+23532+20768</f>
        <v>355504</v>
      </c>
      <c r="L8" s="15">
        <f>2870*4+2947*4</f>
        <v>23268</v>
      </c>
      <c r="M8" s="15">
        <f t="shared" si="0"/>
        <v>23268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0.52696078431372562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133</v>
      </c>
      <c r="E9" s="53" t="s">
        <v>553</v>
      </c>
      <c r="F9" s="30" t="s">
        <v>225</v>
      </c>
      <c r="G9" s="33">
        <v>1</v>
      </c>
      <c r="H9" s="35">
        <v>24</v>
      </c>
      <c r="I9" s="7">
        <v>17000</v>
      </c>
      <c r="J9" s="14">
        <v>2911</v>
      </c>
      <c r="K9" s="15">
        <f>L9+3285</f>
        <v>6196</v>
      </c>
      <c r="L9" s="15">
        <f>2725+186</f>
        <v>2911</v>
      </c>
      <c r="M9" s="15">
        <f t="shared" si="0"/>
        <v>2911</v>
      </c>
      <c r="N9" s="15">
        <v>0</v>
      </c>
      <c r="O9" s="58">
        <f t="shared" si="1"/>
        <v>0</v>
      </c>
      <c r="P9" s="39">
        <f t="shared" si="2"/>
        <v>14</v>
      </c>
      <c r="Q9" s="40">
        <f t="shared" si="3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6">
        <f t="shared" si="7"/>
        <v>0.52696078431372562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4</v>
      </c>
      <c r="H10" s="35">
        <v>24</v>
      </c>
      <c r="I10" s="7">
        <v>530000</v>
      </c>
      <c r="J10" s="5">
        <v>13948</v>
      </c>
      <c r="K10" s="15">
        <f>L10+19272+24844+16004</f>
        <v>74068</v>
      </c>
      <c r="L10" s="15">
        <f>2988*4+499*4</f>
        <v>13948</v>
      </c>
      <c r="M10" s="15">
        <f t="shared" si="0"/>
        <v>13948</v>
      </c>
      <c r="N10" s="15">
        <v>0</v>
      </c>
      <c r="O10" s="58">
        <f t="shared" si="1"/>
        <v>0</v>
      </c>
      <c r="P10" s="39">
        <f t="shared" si="2"/>
        <v>15</v>
      </c>
      <c r="Q10" s="40">
        <f t="shared" si="3"/>
        <v>9</v>
      </c>
      <c r="R10" s="7"/>
      <c r="S10" s="6">
        <v>9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0.625</v>
      </c>
      <c r="AD10" s="10">
        <f>AC10*AB10*(1-O10)</f>
        <v>0.625</v>
      </c>
      <c r="AE10" s="36">
        <f t="shared" si="7"/>
        <v>0.52696078431372562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518</v>
      </c>
      <c r="F11" s="30" t="s">
        <v>301</v>
      </c>
      <c r="G11" s="33">
        <v>1</v>
      </c>
      <c r="H11" s="35">
        <v>24</v>
      </c>
      <c r="I11" s="7">
        <v>20000</v>
      </c>
      <c r="J11" s="14">
        <v>1326</v>
      </c>
      <c r="K11" s="15">
        <f>L11+1837+2816+1326</f>
        <v>5979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0.52696078431372562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554</v>
      </c>
      <c r="F12" s="30" t="s">
        <v>119</v>
      </c>
      <c r="G12" s="33">
        <v>1</v>
      </c>
      <c r="H12" s="35">
        <v>24</v>
      </c>
      <c r="I12" s="7">
        <v>11000</v>
      </c>
      <c r="J12" s="14">
        <v>5210</v>
      </c>
      <c r="K12" s="15">
        <f>L12+4928</f>
        <v>10138</v>
      </c>
      <c r="L12" s="15">
        <f>2488+2722</f>
        <v>5210</v>
      </c>
      <c r="M12" s="15">
        <f t="shared" si="0"/>
        <v>5210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9"/>
        <v>1</v>
      </c>
      <c r="AE12" s="36">
        <f t="shared" si="7"/>
        <v>0.52696078431372562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12232</v>
      </c>
      <c r="K13" s="15">
        <f>L13+10230+8758+7458+4298+5694+7524+3000+9774+6592+11326+12144+11050+10802+10910+9796+3412+4942+8464+12186+4876+12344+11648+11570</f>
        <v>211030</v>
      </c>
      <c r="L13" s="15">
        <f>2971*2+3145*2</f>
        <v>12232</v>
      </c>
      <c r="M13" s="15">
        <f t="shared" si="0"/>
        <v>12232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0.52696078431372562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205</v>
      </c>
      <c r="F14" s="30" t="s">
        <v>132</v>
      </c>
      <c r="G14" s="33">
        <v>1</v>
      </c>
      <c r="H14" s="35">
        <v>24</v>
      </c>
      <c r="I14" s="7">
        <v>300</v>
      </c>
      <c r="J14" s="5">
        <v>329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0.52696078431372562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509</v>
      </c>
      <c r="F15" s="12" t="s">
        <v>140</v>
      </c>
      <c r="G15" s="12">
        <v>1</v>
      </c>
      <c r="H15" s="13">
        <v>24</v>
      </c>
      <c r="I15" s="31">
        <v>20000</v>
      </c>
      <c r="J15" s="14">
        <v>5277</v>
      </c>
      <c r="K15" s="15">
        <f>L15+2236+873+2158+5230</f>
        <v>15774</v>
      </c>
      <c r="L15" s="15">
        <f>2558+2719</f>
        <v>5277</v>
      </c>
      <c r="M15" s="15">
        <f t="shared" si="0"/>
        <v>5277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0.52696078431372562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0.52696078431372562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250</v>
      </c>
      <c r="E17" s="53" t="s">
        <v>533</v>
      </c>
      <c r="F17" s="30" t="s">
        <v>252</v>
      </c>
      <c r="G17" s="12">
        <v>1</v>
      </c>
      <c r="H17" s="13">
        <v>24</v>
      </c>
      <c r="I17" s="7">
        <v>500</v>
      </c>
      <c r="J17" s="14">
        <v>556</v>
      </c>
      <c r="K17" s="15">
        <f>L17+556</f>
        <v>556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0.52696078431372562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346</v>
      </c>
      <c r="E18" s="53" t="s">
        <v>343</v>
      </c>
      <c r="F18" s="30" t="s">
        <v>352</v>
      </c>
      <c r="G18" s="33">
        <v>1</v>
      </c>
      <c r="H18" s="35">
        <v>24</v>
      </c>
      <c r="I18" s="7">
        <v>2000</v>
      </c>
      <c r="J18" s="14">
        <v>2100</v>
      </c>
      <c r="K18" s="15">
        <f>L18</f>
        <v>2100</v>
      </c>
      <c r="L18" s="15">
        <v>2100</v>
      </c>
      <c r="M18" s="15">
        <f t="shared" si="0"/>
        <v>2100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0.52696078431372562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215</v>
      </c>
      <c r="E19" s="53" t="s">
        <v>586</v>
      </c>
      <c r="F19" s="30" t="s">
        <v>225</v>
      </c>
      <c r="G19" s="33">
        <v>1</v>
      </c>
      <c r="H19" s="35">
        <v>24</v>
      </c>
      <c r="I19" s="7">
        <v>33000</v>
      </c>
      <c r="J19" s="14">
        <v>2330</v>
      </c>
      <c r="K19" s="15">
        <f>L19</f>
        <v>2330</v>
      </c>
      <c r="L19" s="15">
        <v>2330</v>
      </c>
      <c r="M19" s="15">
        <f t="shared" si="0"/>
        <v>2330</v>
      </c>
      <c r="N19" s="15">
        <v>0</v>
      </c>
      <c r="O19" s="58">
        <f t="shared" si="1"/>
        <v>0</v>
      </c>
      <c r="P19" s="39">
        <f t="shared" si="2"/>
        <v>13</v>
      </c>
      <c r="Q19" s="40">
        <f t="shared" si="3"/>
        <v>11</v>
      </c>
      <c r="R19" s="7"/>
      <c r="S19" s="6">
        <v>11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6">
        <f t="shared" si="7"/>
        <v>0.52696078431372562</v>
      </c>
      <c r="AF19" s="84">
        <f t="shared" si="8"/>
        <v>14</v>
      </c>
    </row>
    <row r="20" spans="1:32" ht="27" customHeight="1">
      <c r="A20" s="96">
        <v>14</v>
      </c>
      <c r="B20" s="11" t="s">
        <v>57</v>
      </c>
      <c r="C20" s="11" t="s">
        <v>123</v>
      </c>
      <c r="D20" s="52" t="s">
        <v>115</v>
      </c>
      <c r="E20" s="53" t="s">
        <v>572</v>
      </c>
      <c r="F20" s="30" t="s">
        <v>119</v>
      </c>
      <c r="G20" s="33">
        <v>1</v>
      </c>
      <c r="H20" s="35">
        <v>24</v>
      </c>
      <c r="I20" s="7">
        <v>10000</v>
      </c>
      <c r="J20" s="14">
        <v>2262</v>
      </c>
      <c r="K20" s="15">
        <f>L20+3001</f>
        <v>5263</v>
      </c>
      <c r="L20" s="15">
        <v>2262</v>
      </c>
      <c r="M20" s="15">
        <f t="shared" si="0"/>
        <v>2262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0.52696078431372562</v>
      </c>
      <c r="AF20" s="84">
        <f t="shared" si="8"/>
        <v>14</v>
      </c>
    </row>
    <row r="21" spans="1:32" ht="27" customHeight="1">
      <c r="A21" s="113">
        <v>15</v>
      </c>
      <c r="B21" s="11" t="s">
        <v>57</v>
      </c>
      <c r="C21" s="34" t="s">
        <v>121</v>
      </c>
      <c r="D21" s="52" t="s">
        <v>115</v>
      </c>
      <c r="E21" s="53" t="s">
        <v>200</v>
      </c>
      <c r="F21" s="30" t="s">
        <v>124</v>
      </c>
      <c r="G21" s="12">
        <v>4</v>
      </c>
      <c r="H21" s="13">
        <v>28</v>
      </c>
      <c r="I21" s="31">
        <v>561000</v>
      </c>
      <c r="J21" s="5">
        <v>8310</v>
      </c>
      <c r="K21" s="15">
        <f>L21+14284+8352+12576</f>
        <v>43522</v>
      </c>
      <c r="L21" s="15">
        <f>1264*4+1627*2</f>
        <v>8310</v>
      </c>
      <c r="M21" s="15">
        <f t="shared" si="0"/>
        <v>8310</v>
      </c>
      <c r="N21" s="15">
        <v>0</v>
      </c>
      <c r="O21" s="58">
        <f t="shared" si="1"/>
        <v>0</v>
      </c>
      <c r="P21" s="39">
        <f t="shared" si="2"/>
        <v>19</v>
      </c>
      <c r="Q21" s="40">
        <f t="shared" si="3"/>
        <v>5</v>
      </c>
      <c r="R21" s="7"/>
      <c r="S21" s="6">
        <v>5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0.79166666666666663</v>
      </c>
      <c r="AD21" s="10">
        <f t="shared" si="6"/>
        <v>0.79166666666666663</v>
      </c>
      <c r="AE21" s="36">
        <f t="shared" si="7"/>
        <v>0.52696078431372562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134</v>
      </c>
      <c r="F22" s="12" t="s">
        <v>114</v>
      </c>
      <c r="G22" s="12">
        <v>4</v>
      </c>
      <c r="H22" s="35">
        <v>20</v>
      </c>
      <c r="I22" s="7">
        <v>500000</v>
      </c>
      <c r="J22" s="14">
        <v>36784</v>
      </c>
      <c r="K22" s="15">
        <f>L22+31044+37988+37244+33716+33120+36632+37384+35548</f>
        <v>319460</v>
      </c>
      <c r="L22" s="15">
        <f>9196*4</f>
        <v>36784</v>
      </c>
      <c r="M22" s="15">
        <f t="shared" si="0"/>
        <v>36784</v>
      </c>
      <c r="N22" s="15">
        <v>0</v>
      </c>
      <c r="O22" s="58">
        <f t="shared" si="1"/>
        <v>0</v>
      </c>
      <c r="P22" s="39">
        <f t="shared" si="2"/>
        <v>14</v>
      </c>
      <c r="Q22" s="40">
        <f t="shared" si="3"/>
        <v>10</v>
      </c>
      <c r="R22" s="7"/>
      <c r="S22" s="6"/>
      <c r="T22" s="16"/>
      <c r="U22" s="16"/>
      <c r="V22" s="17">
        <v>10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0.58333333333333337</v>
      </c>
      <c r="AD22" s="10">
        <f t="shared" si="6"/>
        <v>0.58333333333333337</v>
      </c>
      <c r="AE22" s="36">
        <f t="shared" si="7"/>
        <v>0.52696078431372562</v>
      </c>
      <c r="AF22" s="84">
        <f t="shared" si="8"/>
        <v>16</v>
      </c>
    </row>
    <row r="23" spans="1:32" ht="31.5" customHeight="1" thickBot="1">
      <c r="A23" s="529" t="s">
        <v>34</v>
      </c>
      <c r="B23" s="530"/>
      <c r="C23" s="530"/>
      <c r="D23" s="530"/>
      <c r="E23" s="530"/>
      <c r="F23" s="530"/>
      <c r="G23" s="530"/>
      <c r="H23" s="531"/>
      <c r="I23" s="22">
        <f t="shared" ref="I23:N23" si="10">SUM(I6:I22)</f>
        <v>2720100</v>
      </c>
      <c r="J23" s="19">
        <f t="shared" si="10"/>
        <v>128993</v>
      </c>
      <c r="K23" s="20">
        <f t="shared" si="10"/>
        <v>1071373</v>
      </c>
      <c r="L23" s="21">
        <f t="shared" si="10"/>
        <v>120980</v>
      </c>
      <c r="M23" s="20">
        <f t="shared" si="10"/>
        <v>120980</v>
      </c>
      <c r="N23" s="21">
        <f t="shared" si="10"/>
        <v>0</v>
      </c>
      <c r="O23" s="41">
        <f t="shared" si="1"/>
        <v>0</v>
      </c>
      <c r="P23" s="42">
        <f t="shared" ref="P23:AA23" si="11">SUM(P6:P22)</f>
        <v>215</v>
      </c>
      <c r="Q23" s="43">
        <f t="shared" si="11"/>
        <v>193</v>
      </c>
      <c r="R23" s="23">
        <f t="shared" si="11"/>
        <v>24</v>
      </c>
      <c r="S23" s="24">
        <f t="shared" si="11"/>
        <v>97</v>
      </c>
      <c r="T23" s="24">
        <f t="shared" si="11"/>
        <v>0</v>
      </c>
      <c r="U23" s="24">
        <f t="shared" si="11"/>
        <v>0</v>
      </c>
      <c r="V23" s="25">
        <f t="shared" si="11"/>
        <v>10</v>
      </c>
      <c r="W23" s="26">
        <f t="shared" si="11"/>
        <v>14</v>
      </c>
      <c r="X23" s="27">
        <f t="shared" si="11"/>
        <v>0</v>
      </c>
      <c r="Y23" s="27">
        <f t="shared" si="11"/>
        <v>0</v>
      </c>
      <c r="Z23" s="27">
        <f t="shared" si="11"/>
        <v>0</v>
      </c>
      <c r="AA23" s="27">
        <f t="shared" si="11"/>
        <v>48</v>
      </c>
      <c r="AB23" s="28">
        <f>AVERAGE(AB6:AB22)</f>
        <v>0.70588235294117652</v>
      </c>
      <c r="AC23" s="4">
        <f>AVERAGE(AC6:AC22)</f>
        <v>0.52696078431372562</v>
      </c>
      <c r="AD23" s="4">
        <f>AVERAGE(AD6:AD22)</f>
        <v>0.52696078431372562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32" t="s">
        <v>45</v>
      </c>
      <c r="B50" s="532"/>
      <c r="C50" s="532"/>
      <c r="D50" s="532"/>
      <c r="E50" s="53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33" t="s">
        <v>587</v>
      </c>
      <c r="B51" s="534"/>
      <c r="C51" s="534"/>
      <c r="D51" s="534"/>
      <c r="E51" s="534"/>
      <c r="F51" s="534"/>
      <c r="G51" s="534"/>
      <c r="H51" s="534"/>
      <c r="I51" s="534"/>
      <c r="J51" s="534"/>
      <c r="K51" s="534"/>
      <c r="L51" s="534"/>
      <c r="M51" s="535"/>
      <c r="N51" s="536" t="s">
        <v>590</v>
      </c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8"/>
    </row>
    <row r="52" spans="1:32" ht="27" customHeight="1">
      <c r="A52" s="539" t="s">
        <v>2</v>
      </c>
      <c r="B52" s="540"/>
      <c r="C52" s="394" t="s">
        <v>46</v>
      </c>
      <c r="D52" s="394" t="s">
        <v>47</v>
      </c>
      <c r="E52" s="394" t="s">
        <v>107</v>
      </c>
      <c r="F52" s="541" t="s">
        <v>106</v>
      </c>
      <c r="G52" s="542"/>
      <c r="H52" s="542"/>
      <c r="I52" s="542"/>
      <c r="J52" s="542"/>
      <c r="K52" s="542"/>
      <c r="L52" s="542"/>
      <c r="M52" s="543"/>
      <c r="N52" s="67" t="s">
        <v>110</v>
      </c>
      <c r="O52" s="394" t="s">
        <v>46</v>
      </c>
      <c r="P52" s="541" t="s">
        <v>47</v>
      </c>
      <c r="Q52" s="544"/>
      <c r="R52" s="541" t="s">
        <v>38</v>
      </c>
      <c r="S52" s="542"/>
      <c r="T52" s="542"/>
      <c r="U52" s="544"/>
      <c r="V52" s="541" t="s">
        <v>48</v>
      </c>
      <c r="W52" s="542"/>
      <c r="X52" s="542"/>
      <c r="Y52" s="542"/>
      <c r="Z52" s="542"/>
      <c r="AA52" s="542"/>
      <c r="AB52" s="542"/>
      <c r="AC52" s="542"/>
      <c r="AD52" s="543"/>
    </row>
    <row r="53" spans="1:32" ht="27" customHeight="1">
      <c r="A53" s="510" t="s">
        <v>121</v>
      </c>
      <c r="B53" s="511"/>
      <c r="C53" s="396" t="s">
        <v>203</v>
      </c>
      <c r="D53" s="396" t="s">
        <v>115</v>
      </c>
      <c r="E53" s="396" t="s">
        <v>417</v>
      </c>
      <c r="F53" s="512" t="s">
        <v>588</v>
      </c>
      <c r="G53" s="513"/>
      <c r="H53" s="513"/>
      <c r="I53" s="513"/>
      <c r="J53" s="513"/>
      <c r="K53" s="513"/>
      <c r="L53" s="513"/>
      <c r="M53" s="514"/>
      <c r="N53" s="395" t="s">
        <v>123</v>
      </c>
      <c r="O53" s="401" t="s">
        <v>169</v>
      </c>
      <c r="P53" s="524"/>
      <c r="Q53" s="525"/>
      <c r="R53" s="524" t="s">
        <v>518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10" t="s">
        <v>112</v>
      </c>
      <c r="B54" s="511"/>
      <c r="C54" s="396" t="s">
        <v>284</v>
      </c>
      <c r="D54" s="396" t="s">
        <v>133</v>
      </c>
      <c r="E54" s="396" t="s">
        <v>553</v>
      </c>
      <c r="F54" s="512" t="s">
        <v>180</v>
      </c>
      <c r="G54" s="513"/>
      <c r="H54" s="513"/>
      <c r="I54" s="513"/>
      <c r="J54" s="513"/>
      <c r="K54" s="513"/>
      <c r="L54" s="513"/>
      <c r="M54" s="514"/>
      <c r="N54" s="395" t="s">
        <v>121</v>
      </c>
      <c r="O54" s="401" t="s">
        <v>203</v>
      </c>
      <c r="P54" s="524" t="s">
        <v>115</v>
      </c>
      <c r="Q54" s="525"/>
      <c r="R54" s="524" t="s">
        <v>417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67" t="s">
        <v>112</v>
      </c>
      <c r="B55" s="568"/>
      <c r="C55" s="405" t="s">
        <v>210</v>
      </c>
      <c r="D55" s="405" t="s">
        <v>115</v>
      </c>
      <c r="E55" s="396" t="s">
        <v>205</v>
      </c>
      <c r="F55" s="512" t="s">
        <v>589</v>
      </c>
      <c r="G55" s="513"/>
      <c r="H55" s="513"/>
      <c r="I55" s="513"/>
      <c r="J55" s="513"/>
      <c r="K55" s="513"/>
      <c r="L55" s="513"/>
      <c r="M55" s="514"/>
      <c r="N55" s="395" t="s">
        <v>121</v>
      </c>
      <c r="O55" s="401" t="s">
        <v>197</v>
      </c>
      <c r="P55" s="524" t="s">
        <v>591</v>
      </c>
      <c r="Q55" s="525"/>
      <c r="R55" s="524" t="s">
        <v>363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67" t="s">
        <v>121</v>
      </c>
      <c r="B56" s="568"/>
      <c r="C56" s="405" t="s">
        <v>192</v>
      </c>
      <c r="D56" s="405" t="s">
        <v>150</v>
      </c>
      <c r="E56" s="396" t="s">
        <v>190</v>
      </c>
      <c r="F56" s="512" t="s">
        <v>322</v>
      </c>
      <c r="G56" s="513"/>
      <c r="H56" s="513"/>
      <c r="I56" s="513"/>
      <c r="J56" s="513"/>
      <c r="K56" s="513"/>
      <c r="L56" s="513"/>
      <c r="M56" s="514"/>
      <c r="N56" s="395" t="s">
        <v>112</v>
      </c>
      <c r="O56" s="401" t="s">
        <v>210</v>
      </c>
      <c r="P56" s="524" t="s">
        <v>115</v>
      </c>
      <c r="Q56" s="525"/>
      <c r="R56" s="524" t="s">
        <v>205</v>
      </c>
      <c r="S56" s="526"/>
      <c r="T56" s="526"/>
      <c r="U56" s="525"/>
      <c r="V56" s="496" t="s">
        <v>180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112</v>
      </c>
      <c r="B57" s="511"/>
      <c r="C57" s="396" t="s">
        <v>197</v>
      </c>
      <c r="D57" s="396" t="s">
        <v>346</v>
      </c>
      <c r="E57" s="396" t="s">
        <v>343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395"/>
      <c r="O57" s="401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10" t="s">
        <v>123</v>
      </c>
      <c r="B58" s="511"/>
      <c r="C58" s="396" t="s">
        <v>201</v>
      </c>
      <c r="D58" s="396" t="s">
        <v>115</v>
      </c>
      <c r="E58" s="396" t="s">
        <v>572</v>
      </c>
      <c r="F58" s="512" t="s">
        <v>314</v>
      </c>
      <c r="G58" s="513"/>
      <c r="H58" s="513"/>
      <c r="I58" s="513"/>
      <c r="J58" s="513"/>
      <c r="K58" s="513"/>
      <c r="L58" s="513"/>
      <c r="M58" s="514"/>
      <c r="N58" s="395"/>
      <c r="O58" s="401"/>
      <c r="P58" s="524"/>
      <c r="Q58" s="525"/>
      <c r="R58" s="524"/>
      <c r="S58" s="526"/>
      <c r="T58" s="526"/>
      <c r="U58" s="525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405"/>
      <c r="D59" s="405"/>
      <c r="E59" s="396"/>
      <c r="F59" s="512"/>
      <c r="G59" s="513"/>
      <c r="H59" s="513"/>
      <c r="I59" s="513"/>
      <c r="J59" s="513"/>
      <c r="K59" s="513"/>
      <c r="L59" s="513"/>
      <c r="M59" s="514"/>
      <c r="N59" s="395"/>
      <c r="O59" s="401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67"/>
      <c r="B60" s="568"/>
      <c r="C60" s="405"/>
      <c r="D60" s="405"/>
      <c r="E60" s="396"/>
      <c r="F60" s="512"/>
      <c r="G60" s="513"/>
      <c r="H60" s="513"/>
      <c r="I60" s="513"/>
      <c r="J60" s="513"/>
      <c r="K60" s="513"/>
      <c r="L60" s="513"/>
      <c r="M60" s="514"/>
      <c r="N60" s="395"/>
      <c r="O60" s="401"/>
      <c r="P60" s="524"/>
      <c r="Q60" s="525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</row>
    <row r="61" spans="1:32" ht="27" customHeight="1">
      <c r="A61" s="510"/>
      <c r="B61" s="511"/>
      <c r="C61" s="396"/>
      <c r="D61" s="396"/>
      <c r="E61" s="396"/>
      <c r="F61" s="512"/>
      <c r="G61" s="513"/>
      <c r="H61" s="513"/>
      <c r="I61" s="513"/>
      <c r="J61" s="513"/>
      <c r="K61" s="513"/>
      <c r="L61" s="513"/>
      <c r="M61" s="514"/>
      <c r="N61" s="395"/>
      <c r="O61" s="401"/>
      <c r="P61" s="511"/>
      <c r="Q61" s="511"/>
      <c r="R61" s="511"/>
      <c r="S61" s="511"/>
      <c r="T61" s="511"/>
      <c r="U61" s="511"/>
      <c r="V61" s="496"/>
      <c r="W61" s="496"/>
      <c r="X61" s="496"/>
      <c r="Y61" s="496"/>
      <c r="Z61" s="496"/>
      <c r="AA61" s="496"/>
      <c r="AB61" s="496"/>
      <c r="AC61" s="496"/>
      <c r="AD61" s="515"/>
      <c r="AF61" s="84">
        <f>8*3000</f>
        <v>24000</v>
      </c>
    </row>
    <row r="62" spans="1:32" ht="27" customHeight="1" thickBot="1">
      <c r="A62" s="516"/>
      <c r="B62" s="517"/>
      <c r="C62" s="397"/>
      <c r="D62" s="398"/>
      <c r="E62" s="398"/>
      <c r="F62" s="518"/>
      <c r="G62" s="519"/>
      <c r="H62" s="519"/>
      <c r="I62" s="519"/>
      <c r="J62" s="519"/>
      <c r="K62" s="519"/>
      <c r="L62" s="519"/>
      <c r="M62" s="520"/>
      <c r="N62" s="112"/>
      <c r="O62" s="103"/>
      <c r="P62" s="521"/>
      <c r="Q62" s="521"/>
      <c r="R62" s="521"/>
      <c r="S62" s="521"/>
      <c r="T62" s="521"/>
      <c r="U62" s="521"/>
      <c r="V62" s="522"/>
      <c r="W62" s="522"/>
      <c r="X62" s="522"/>
      <c r="Y62" s="522"/>
      <c r="Z62" s="522"/>
      <c r="AA62" s="522"/>
      <c r="AB62" s="522"/>
      <c r="AC62" s="522"/>
      <c r="AD62" s="523"/>
      <c r="AF62" s="84">
        <f>16*3000</f>
        <v>48000</v>
      </c>
    </row>
    <row r="63" spans="1:32" ht="27.75" thickBot="1">
      <c r="A63" s="508" t="s">
        <v>592</v>
      </c>
      <c r="B63" s="508"/>
      <c r="C63" s="508"/>
      <c r="D63" s="508"/>
      <c r="E63" s="508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509" t="s">
        <v>111</v>
      </c>
      <c r="B64" s="503"/>
      <c r="C64" s="399" t="s">
        <v>2</v>
      </c>
      <c r="D64" s="399" t="s">
        <v>37</v>
      </c>
      <c r="E64" s="399" t="s">
        <v>3</v>
      </c>
      <c r="F64" s="503" t="s">
        <v>109</v>
      </c>
      <c r="G64" s="503"/>
      <c r="H64" s="503"/>
      <c r="I64" s="503"/>
      <c r="J64" s="503"/>
      <c r="K64" s="503" t="s">
        <v>39</v>
      </c>
      <c r="L64" s="503"/>
      <c r="M64" s="399" t="s">
        <v>40</v>
      </c>
      <c r="N64" s="503" t="s">
        <v>41</v>
      </c>
      <c r="O64" s="503"/>
      <c r="P64" s="500" t="s">
        <v>42</v>
      </c>
      <c r="Q64" s="502"/>
      <c r="R64" s="500" t="s">
        <v>43</v>
      </c>
      <c r="S64" s="501"/>
      <c r="T64" s="501"/>
      <c r="U64" s="501"/>
      <c r="V64" s="501"/>
      <c r="W64" s="501"/>
      <c r="X64" s="501"/>
      <c r="Y64" s="501"/>
      <c r="Z64" s="501"/>
      <c r="AA64" s="502"/>
      <c r="AB64" s="503" t="s">
        <v>44</v>
      </c>
      <c r="AC64" s="503"/>
      <c r="AD64" s="504"/>
      <c r="AF64" s="84">
        <f>SUM(AF61:AF63)</f>
        <v>96000</v>
      </c>
    </row>
    <row r="65" spans="1:32" ht="25.5" customHeight="1">
      <c r="A65" s="491">
        <v>1</v>
      </c>
      <c r="B65" s="492"/>
      <c r="C65" s="105" t="s">
        <v>112</v>
      </c>
      <c r="D65" s="403"/>
      <c r="E65" s="400" t="s">
        <v>215</v>
      </c>
      <c r="F65" s="497" t="s">
        <v>586</v>
      </c>
      <c r="G65" s="498"/>
      <c r="H65" s="498"/>
      <c r="I65" s="498"/>
      <c r="J65" s="499"/>
      <c r="K65" s="485" t="s">
        <v>225</v>
      </c>
      <c r="L65" s="485"/>
      <c r="M65" s="51" t="s">
        <v>188</v>
      </c>
      <c r="N65" s="494" t="s">
        <v>201</v>
      </c>
      <c r="O65" s="494"/>
      <c r="P65" s="495">
        <v>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505"/>
      <c r="AC65" s="506"/>
      <c r="AD65" s="507"/>
      <c r="AF65" s="50"/>
    </row>
    <row r="66" spans="1:32" ht="25.5" customHeight="1">
      <c r="A66" s="491">
        <v>2</v>
      </c>
      <c r="B66" s="492"/>
      <c r="C66" s="105"/>
      <c r="D66" s="403"/>
      <c r="E66" s="400"/>
      <c r="F66" s="497"/>
      <c r="G66" s="498"/>
      <c r="H66" s="498"/>
      <c r="I66" s="498"/>
      <c r="J66" s="499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3</v>
      </c>
      <c r="B67" s="492"/>
      <c r="C67" s="105"/>
      <c r="D67" s="403"/>
      <c r="E67" s="400"/>
      <c r="F67" s="493"/>
      <c r="G67" s="485"/>
      <c r="H67" s="485"/>
      <c r="I67" s="485"/>
      <c r="J67" s="485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4</v>
      </c>
      <c r="B68" s="492"/>
      <c r="C68" s="105"/>
      <c r="D68" s="403"/>
      <c r="E68" s="400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5</v>
      </c>
      <c r="B69" s="492"/>
      <c r="C69" s="105"/>
      <c r="D69" s="403"/>
      <c r="E69" s="400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6</v>
      </c>
      <c r="B70" s="492"/>
      <c r="C70" s="105"/>
      <c r="D70" s="403"/>
      <c r="E70" s="400"/>
      <c r="F70" s="497"/>
      <c r="G70" s="498"/>
      <c r="H70" s="498"/>
      <c r="I70" s="498"/>
      <c r="J70" s="499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7</v>
      </c>
      <c r="B71" s="492"/>
      <c r="C71" s="105"/>
      <c r="D71" s="403"/>
      <c r="E71" s="400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8</v>
      </c>
      <c r="B72" s="492"/>
      <c r="C72" s="105"/>
      <c r="D72" s="403"/>
      <c r="E72" s="400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9</v>
      </c>
      <c r="B73" s="492"/>
      <c r="C73" s="105"/>
      <c r="D73" s="403"/>
      <c r="E73" s="400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5.5" customHeight="1">
      <c r="A74" s="491">
        <v>10</v>
      </c>
      <c r="B74" s="492"/>
      <c r="C74" s="105"/>
      <c r="D74" s="403"/>
      <c r="E74" s="400"/>
      <c r="F74" s="493"/>
      <c r="G74" s="485"/>
      <c r="H74" s="485"/>
      <c r="I74" s="485"/>
      <c r="J74" s="485"/>
      <c r="K74" s="485"/>
      <c r="L74" s="485"/>
      <c r="M74" s="51"/>
      <c r="N74" s="494"/>
      <c r="O74" s="494"/>
      <c r="P74" s="495"/>
      <c r="Q74" s="495"/>
      <c r="R74" s="496"/>
      <c r="S74" s="496"/>
      <c r="T74" s="496"/>
      <c r="U74" s="496"/>
      <c r="V74" s="496"/>
      <c r="W74" s="496"/>
      <c r="X74" s="496"/>
      <c r="Y74" s="496"/>
      <c r="Z74" s="496"/>
      <c r="AA74" s="496"/>
      <c r="AB74" s="485"/>
      <c r="AC74" s="485"/>
      <c r="AD74" s="486"/>
      <c r="AF74" s="50"/>
    </row>
    <row r="75" spans="1:32" ht="26.25" customHeight="1" thickBot="1">
      <c r="A75" s="465" t="s">
        <v>593</v>
      </c>
      <c r="B75" s="465"/>
      <c r="C75" s="465"/>
      <c r="D75" s="465"/>
      <c r="E75" s="465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66" t="s">
        <v>111</v>
      </c>
      <c r="B76" s="467"/>
      <c r="C76" s="402" t="s">
        <v>2</v>
      </c>
      <c r="D76" s="402" t="s">
        <v>37</v>
      </c>
      <c r="E76" s="402" t="s">
        <v>273</v>
      </c>
      <c r="F76" s="467" t="s">
        <v>38</v>
      </c>
      <c r="G76" s="467"/>
      <c r="H76" s="467"/>
      <c r="I76" s="467"/>
      <c r="J76" s="467"/>
      <c r="K76" s="487" t="s">
        <v>58</v>
      </c>
      <c r="L76" s="488"/>
      <c r="M76" s="488"/>
      <c r="N76" s="488"/>
      <c r="O76" s="488"/>
      <c r="P76" s="488"/>
      <c r="Q76" s="488"/>
      <c r="R76" s="488"/>
      <c r="S76" s="489"/>
      <c r="T76" s="467" t="s">
        <v>49</v>
      </c>
      <c r="U76" s="467"/>
      <c r="V76" s="487" t="s">
        <v>50</v>
      </c>
      <c r="W76" s="489"/>
      <c r="X76" s="488" t="s">
        <v>51</v>
      </c>
      <c r="Y76" s="488"/>
      <c r="Z76" s="488"/>
      <c r="AA76" s="488"/>
      <c r="AB76" s="488"/>
      <c r="AC76" s="488"/>
      <c r="AD76" s="490"/>
      <c r="AF76" s="50"/>
    </row>
    <row r="77" spans="1:32" ht="33.75" customHeight="1">
      <c r="A77" s="459">
        <v>1</v>
      </c>
      <c r="B77" s="460"/>
      <c r="C77" s="404" t="s">
        <v>112</v>
      </c>
      <c r="D77" s="404"/>
      <c r="E77" s="65" t="s">
        <v>117</v>
      </c>
      <c r="F77" s="474" t="s">
        <v>116</v>
      </c>
      <c r="G77" s="475"/>
      <c r="H77" s="475"/>
      <c r="I77" s="475"/>
      <c r="J77" s="476"/>
      <c r="K77" s="477" t="s">
        <v>122</v>
      </c>
      <c r="L77" s="478"/>
      <c r="M77" s="478"/>
      <c r="N77" s="478"/>
      <c r="O77" s="478"/>
      <c r="P77" s="478"/>
      <c r="Q77" s="478"/>
      <c r="R77" s="478"/>
      <c r="S77" s="479"/>
      <c r="T77" s="480">
        <v>43675</v>
      </c>
      <c r="U77" s="481"/>
      <c r="V77" s="482"/>
      <c r="W77" s="482"/>
      <c r="X77" s="483"/>
      <c r="Y77" s="483"/>
      <c r="Z77" s="483"/>
      <c r="AA77" s="483"/>
      <c r="AB77" s="483"/>
      <c r="AC77" s="483"/>
      <c r="AD77" s="484"/>
      <c r="AF77" s="50"/>
    </row>
    <row r="78" spans="1:32" ht="30" customHeight="1">
      <c r="A78" s="452">
        <f>A77+1</f>
        <v>2</v>
      </c>
      <c r="B78" s="453"/>
      <c r="C78" s="403"/>
      <c r="D78" s="403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ref="A79:A83" si="12">A78+1</f>
        <v>3</v>
      </c>
      <c r="B79" s="453"/>
      <c r="C79" s="403"/>
      <c r="D79" s="403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4</v>
      </c>
      <c r="B80" s="453"/>
      <c r="C80" s="403"/>
      <c r="D80" s="403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5</v>
      </c>
      <c r="B81" s="453"/>
      <c r="C81" s="403"/>
      <c r="D81" s="403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6</v>
      </c>
      <c r="B82" s="453"/>
      <c r="C82" s="403"/>
      <c r="D82" s="403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0" customHeight="1">
      <c r="A83" s="452">
        <f t="shared" si="12"/>
        <v>7</v>
      </c>
      <c r="B83" s="453"/>
      <c r="C83" s="403"/>
      <c r="D83" s="403"/>
      <c r="E83" s="32"/>
      <c r="F83" s="453"/>
      <c r="G83" s="453"/>
      <c r="H83" s="453"/>
      <c r="I83" s="453"/>
      <c r="J83" s="453"/>
      <c r="K83" s="468"/>
      <c r="L83" s="469"/>
      <c r="M83" s="469"/>
      <c r="N83" s="469"/>
      <c r="O83" s="469"/>
      <c r="P83" s="469"/>
      <c r="Q83" s="469"/>
      <c r="R83" s="469"/>
      <c r="S83" s="470"/>
      <c r="T83" s="471"/>
      <c r="U83" s="471"/>
      <c r="V83" s="471"/>
      <c r="W83" s="471"/>
      <c r="X83" s="472"/>
      <c r="Y83" s="472"/>
      <c r="Z83" s="472"/>
      <c r="AA83" s="472"/>
      <c r="AB83" s="472"/>
      <c r="AC83" s="472"/>
      <c r="AD83" s="473"/>
      <c r="AF83" s="50"/>
    </row>
    <row r="84" spans="1:32" ht="36" thickBot="1">
      <c r="A84" s="465" t="s">
        <v>594</v>
      </c>
      <c r="B84" s="465"/>
      <c r="C84" s="465"/>
      <c r="D84" s="465"/>
      <c r="E84" s="465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66" t="s">
        <v>111</v>
      </c>
      <c r="B85" s="467"/>
      <c r="C85" s="457" t="s">
        <v>52</v>
      </c>
      <c r="D85" s="457"/>
      <c r="E85" s="457" t="s">
        <v>53</v>
      </c>
      <c r="F85" s="457"/>
      <c r="G85" s="457"/>
      <c r="H85" s="457"/>
      <c r="I85" s="457"/>
      <c r="J85" s="457"/>
      <c r="K85" s="457" t="s">
        <v>54</v>
      </c>
      <c r="L85" s="457"/>
      <c r="M85" s="457"/>
      <c r="N85" s="457"/>
      <c r="O85" s="457"/>
      <c r="P85" s="457"/>
      <c r="Q85" s="457"/>
      <c r="R85" s="457"/>
      <c r="S85" s="457"/>
      <c r="T85" s="457" t="s">
        <v>55</v>
      </c>
      <c r="U85" s="457"/>
      <c r="V85" s="457" t="s">
        <v>56</v>
      </c>
      <c r="W85" s="457"/>
      <c r="X85" s="457"/>
      <c r="Y85" s="457" t="s">
        <v>51</v>
      </c>
      <c r="Z85" s="457"/>
      <c r="AA85" s="457"/>
      <c r="AB85" s="457"/>
      <c r="AC85" s="457"/>
      <c r="AD85" s="458"/>
      <c r="AF85" s="50"/>
    </row>
    <row r="86" spans="1:32" ht="30.75" customHeight="1">
      <c r="A86" s="459">
        <v>1</v>
      </c>
      <c r="B86" s="460"/>
      <c r="C86" s="461">
        <v>11</v>
      </c>
      <c r="D86" s="461"/>
      <c r="E86" s="461" t="s">
        <v>295</v>
      </c>
      <c r="F86" s="461"/>
      <c r="G86" s="461"/>
      <c r="H86" s="461"/>
      <c r="I86" s="461"/>
      <c r="J86" s="461"/>
      <c r="K86" s="461" t="s">
        <v>297</v>
      </c>
      <c r="L86" s="461"/>
      <c r="M86" s="461"/>
      <c r="N86" s="461"/>
      <c r="O86" s="461"/>
      <c r="P86" s="461"/>
      <c r="Q86" s="461"/>
      <c r="R86" s="461"/>
      <c r="S86" s="461"/>
      <c r="T86" s="461" t="s">
        <v>296</v>
      </c>
      <c r="U86" s="461"/>
      <c r="V86" s="462"/>
      <c r="W86" s="462"/>
      <c r="X86" s="462"/>
      <c r="Y86" s="463" t="s">
        <v>298</v>
      </c>
      <c r="Z86" s="463"/>
      <c r="AA86" s="463"/>
      <c r="AB86" s="463"/>
      <c r="AC86" s="463"/>
      <c r="AD86" s="464"/>
      <c r="AF86" s="50"/>
    </row>
    <row r="87" spans="1:32" ht="30.75" customHeight="1">
      <c r="A87" s="452">
        <v>2</v>
      </c>
      <c r="B87" s="453"/>
      <c r="C87" s="454"/>
      <c r="D87" s="454"/>
      <c r="E87" s="454"/>
      <c r="F87" s="454"/>
      <c r="G87" s="454"/>
      <c r="H87" s="454"/>
      <c r="I87" s="454"/>
      <c r="J87" s="454"/>
      <c r="K87" s="454"/>
      <c r="L87" s="454"/>
      <c r="M87" s="454"/>
      <c r="N87" s="454"/>
      <c r="O87" s="454"/>
      <c r="P87" s="454"/>
      <c r="Q87" s="454"/>
      <c r="R87" s="454"/>
      <c r="S87" s="454"/>
      <c r="T87" s="455"/>
      <c r="U87" s="455"/>
      <c r="V87" s="456"/>
      <c r="W87" s="456"/>
      <c r="X87" s="456"/>
      <c r="Y87" s="445"/>
      <c r="Z87" s="445"/>
      <c r="AA87" s="445"/>
      <c r="AB87" s="445"/>
      <c r="AC87" s="445"/>
      <c r="AD87" s="446"/>
      <c r="AF87" s="50"/>
    </row>
    <row r="88" spans="1:32" ht="30.75" customHeight="1" thickBot="1">
      <c r="A88" s="447">
        <v>3</v>
      </c>
      <c r="B88" s="448"/>
      <c r="C88" s="449"/>
      <c r="D88" s="449"/>
      <c r="E88" s="449"/>
      <c r="F88" s="449"/>
      <c r="G88" s="449"/>
      <c r="H88" s="449"/>
      <c r="I88" s="449"/>
      <c r="J88" s="449"/>
      <c r="K88" s="449"/>
      <c r="L88" s="449"/>
      <c r="M88" s="449"/>
      <c r="N88" s="449"/>
      <c r="O88" s="449"/>
      <c r="P88" s="449"/>
      <c r="Q88" s="449"/>
      <c r="R88" s="449"/>
      <c r="S88" s="449"/>
      <c r="T88" s="449"/>
      <c r="U88" s="449"/>
      <c r="V88" s="449"/>
      <c r="W88" s="449"/>
      <c r="X88" s="449"/>
      <c r="Y88" s="450"/>
      <c r="Z88" s="450"/>
      <c r="AA88" s="450"/>
      <c r="AB88" s="450"/>
      <c r="AC88" s="450"/>
      <c r="AD88" s="451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9416-40EB-4EF9-95A2-DBB07EAA49BE}">
  <dimension ref="A1:AF87"/>
  <sheetViews>
    <sheetView view="pageBreakPreview" topLeftCell="A31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595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417" t="s">
        <v>17</v>
      </c>
      <c r="L5" s="417" t="s">
        <v>18</v>
      </c>
      <c r="M5" s="417" t="s">
        <v>19</v>
      </c>
      <c r="N5" s="41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130</v>
      </c>
      <c r="E6" s="53" t="s">
        <v>571</v>
      </c>
      <c r="F6" s="12" t="s">
        <v>128</v>
      </c>
      <c r="G6" s="12">
        <v>1</v>
      </c>
      <c r="H6" s="13">
        <v>24</v>
      </c>
      <c r="I6" s="31">
        <v>17000</v>
      </c>
      <c r="J6" s="14">
        <v>6537</v>
      </c>
      <c r="K6" s="15">
        <f>L6+4576+6348</f>
        <v>17461</v>
      </c>
      <c r="L6" s="15">
        <f>3511+3026</f>
        <v>6537</v>
      </c>
      <c r="M6" s="15">
        <f t="shared" ref="M6:M21" si="0">L6-N6</f>
        <v>6537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0.53645833333333337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120</v>
      </c>
      <c r="D7" s="52" t="s">
        <v>130</v>
      </c>
      <c r="E7" s="53" t="s">
        <v>241</v>
      </c>
      <c r="F7" s="12" t="s">
        <v>327</v>
      </c>
      <c r="G7" s="12">
        <v>1</v>
      </c>
      <c r="H7" s="13">
        <v>24</v>
      </c>
      <c r="I7" s="31">
        <v>7800</v>
      </c>
      <c r="J7" s="14">
        <v>5307</v>
      </c>
      <c r="K7" s="15">
        <f>L7+2727+5307</f>
        <v>8034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0.53645833333333337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23880</v>
      </c>
      <c r="K8" s="15">
        <f>L8+8404+12360+9142+12426+5790+11544+12480+12502+12376+12380+22896+24720+24328+24256+11504+24084+22712+24032+23532+20768+23268</f>
        <v>379384</v>
      </c>
      <c r="L8" s="15">
        <f>3189*4+2781*4</f>
        <v>23880</v>
      </c>
      <c r="M8" s="15">
        <f t="shared" si="0"/>
        <v>23880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0.53645833333333337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133</v>
      </c>
      <c r="E9" s="53" t="s">
        <v>553</v>
      </c>
      <c r="F9" s="30" t="s">
        <v>225</v>
      </c>
      <c r="G9" s="33">
        <v>1</v>
      </c>
      <c r="H9" s="35">
        <v>24</v>
      </c>
      <c r="I9" s="7">
        <v>17000</v>
      </c>
      <c r="J9" s="14">
        <v>5720</v>
      </c>
      <c r="K9" s="15">
        <f>L9+3285+2911</f>
        <v>11916</v>
      </c>
      <c r="L9" s="15">
        <f>3049+2671</f>
        <v>5720</v>
      </c>
      <c r="M9" s="15">
        <f t="shared" si="0"/>
        <v>5720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0.53645833333333337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4</v>
      </c>
      <c r="H10" s="35">
        <v>24</v>
      </c>
      <c r="I10" s="7">
        <v>530000</v>
      </c>
      <c r="J10" s="5">
        <v>24828</v>
      </c>
      <c r="K10" s="15">
        <f>L10+19272+24844+16004+13948</f>
        <v>98896</v>
      </c>
      <c r="L10" s="15">
        <f>3225*4+2982*4</f>
        <v>24828</v>
      </c>
      <c r="M10" s="15">
        <f t="shared" si="0"/>
        <v>24828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0.53645833333333337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518</v>
      </c>
      <c r="F11" s="30" t="s">
        <v>301</v>
      </c>
      <c r="G11" s="33">
        <v>1</v>
      </c>
      <c r="H11" s="35">
        <v>24</v>
      </c>
      <c r="I11" s="7">
        <v>20000</v>
      </c>
      <c r="J11" s="14">
        <v>1326</v>
      </c>
      <c r="K11" s="15">
        <f>L11+1837+2816+1326</f>
        <v>5979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ref="AD11:AD14" si="9">AC11*AB11*(1-O11)</f>
        <v>0</v>
      </c>
      <c r="AE11" s="36">
        <f t="shared" si="7"/>
        <v>0.53645833333333337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112</v>
      </c>
      <c r="D12" s="52" t="s">
        <v>115</v>
      </c>
      <c r="E12" s="53" t="s">
        <v>554</v>
      </c>
      <c r="F12" s="30" t="s">
        <v>119</v>
      </c>
      <c r="G12" s="33">
        <v>1</v>
      </c>
      <c r="H12" s="35">
        <v>24</v>
      </c>
      <c r="I12" s="7">
        <v>11000</v>
      </c>
      <c r="J12" s="14">
        <v>3367</v>
      </c>
      <c r="K12" s="15">
        <f>L12+4928+5210</f>
        <v>13505</v>
      </c>
      <c r="L12" s="15">
        <f>936+2431</f>
        <v>3367</v>
      </c>
      <c r="M12" s="15">
        <f t="shared" si="0"/>
        <v>3367</v>
      </c>
      <c r="N12" s="15">
        <v>0</v>
      </c>
      <c r="O12" s="58">
        <f t="shared" si="1"/>
        <v>0</v>
      </c>
      <c r="P12" s="39">
        <f t="shared" si="2"/>
        <v>17</v>
      </c>
      <c r="Q12" s="40">
        <f t="shared" si="3"/>
        <v>7</v>
      </c>
      <c r="R12" s="7"/>
      <c r="S12" s="6"/>
      <c r="T12" s="16"/>
      <c r="U12" s="16"/>
      <c r="V12" s="17"/>
      <c r="W12" s="5">
        <v>7</v>
      </c>
      <c r="X12" s="16"/>
      <c r="Y12" s="16"/>
      <c r="Z12" s="16"/>
      <c r="AA12" s="18"/>
      <c r="AB12" s="8">
        <f t="shared" si="4"/>
        <v>1</v>
      </c>
      <c r="AC12" s="9">
        <f t="shared" si="5"/>
        <v>0.70833333333333337</v>
      </c>
      <c r="AD12" s="10">
        <f t="shared" si="9"/>
        <v>0.70833333333333337</v>
      </c>
      <c r="AE12" s="36">
        <f t="shared" si="7"/>
        <v>0.53645833333333337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12946</v>
      </c>
      <c r="K13" s="15">
        <f>L13+10230+8758+7458+4298+5694+7524+3000+9774+6592+11326+12144+11050+10802+10910+9796+3412+4942+8464+12186+4876+12344+11648+11570+12232</f>
        <v>223976</v>
      </c>
      <c r="L13" s="15">
        <f>3574*2+2899*2</f>
        <v>12946</v>
      </c>
      <c r="M13" s="15">
        <f t="shared" si="0"/>
        <v>12946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0.53645833333333337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205</v>
      </c>
      <c r="F14" s="30" t="s">
        <v>132</v>
      </c>
      <c r="G14" s="33">
        <v>1</v>
      </c>
      <c r="H14" s="35">
        <v>24</v>
      </c>
      <c r="I14" s="7">
        <v>300</v>
      </c>
      <c r="J14" s="5">
        <v>329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0.53645833333333337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509</v>
      </c>
      <c r="F15" s="12" t="s">
        <v>140</v>
      </c>
      <c r="G15" s="12">
        <v>1</v>
      </c>
      <c r="H15" s="13">
        <v>24</v>
      </c>
      <c r="I15" s="31">
        <v>20000</v>
      </c>
      <c r="J15" s="14">
        <v>5226</v>
      </c>
      <c r="K15" s="15">
        <f>L15+2236+873+2158+5230+5277</f>
        <v>21000</v>
      </c>
      <c r="L15" s="15">
        <f>2753+2473</f>
        <v>5226</v>
      </c>
      <c r="M15" s="15">
        <f t="shared" si="0"/>
        <v>5226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0.53645833333333337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0.53645833333333337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250</v>
      </c>
      <c r="E17" s="53" t="s">
        <v>533</v>
      </c>
      <c r="F17" s="30" t="s">
        <v>252</v>
      </c>
      <c r="G17" s="12">
        <v>1</v>
      </c>
      <c r="H17" s="13">
        <v>24</v>
      </c>
      <c r="I17" s="7">
        <v>500</v>
      </c>
      <c r="J17" s="14">
        <v>556</v>
      </c>
      <c r="K17" s="15">
        <f>L17+556</f>
        <v>556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0.53645833333333337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591</v>
      </c>
      <c r="E18" s="53" t="s">
        <v>363</v>
      </c>
      <c r="F18" s="30" t="s">
        <v>129</v>
      </c>
      <c r="G18" s="33" t="s">
        <v>164</v>
      </c>
      <c r="H18" s="35">
        <v>24</v>
      </c>
      <c r="I18" s="7">
        <v>1600</v>
      </c>
      <c r="J18" s="14">
        <v>1778</v>
      </c>
      <c r="K18" s="15">
        <f>L18</f>
        <v>1778</v>
      </c>
      <c r="L18" s="15">
        <f>1778</f>
        <v>1778</v>
      </c>
      <c r="M18" s="15">
        <f t="shared" si="0"/>
        <v>1778</v>
      </c>
      <c r="N18" s="15">
        <v>0</v>
      </c>
      <c r="O18" s="58">
        <f t="shared" si="1"/>
        <v>0</v>
      </c>
      <c r="P18" s="39">
        <f t="shared" si="2"/>
        <v>13</v>
      </c>
      <c r="Q18" s="40">
        <f t="shared" si="3"/>
        <v>11</v>
      </c>
      <c r="R18" s="7"/>
      <c r="S18" s="6"/>
      <c r="T18" s="16"/>
      <c r="U18" s="16"/>
      <c r="V18" s="17"/>
      <c r="W18" s="5">
        <v>11</v>
      </c>
      <c r="X18" s="16"/>
      <c r="Y18" s="16"/>
      <c r="Z18" s="16"/>
      <c r="AA18" s="18"/>
      <c r="AB18" s="8">
        <f t="shared" si="4"/>
        <v>1</v>
      </c>
      <c r="AC18" s="9">
        <f t="shared" si="5"/>
        <v>0.54166666666666663</v>
      </c>
      <c r="AD18" s="10">
        <f t="shared" si="6"/>
        <v>0.54166666666666663</v>
      </c>
      <c r="AE18" s="36">
        <f t="shared" si="7"/>
        <v>0.53645833333333337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215</v>
      </c>
      <c r="E19" s="53" t="s">
        <v>586</v>
      </c>
      <c r="F19" s="30" t="s">
        <v>225</v>
      </c>
      <c r="G19" s="33">
        <v>1</v>
      </c>
      <c r="H19" s="35">
        <v>24</v>
      </c>
      <c r="I19" s="7">
        <v>33000</v>
      </c>
      <c r="J19" s="14">
        <v>2075</v>
      </c>
      <c r="K19" s="15">
        <f>L19+2330</f>
        <v>4405</v>
      </c>
      <c r="L19" s="15">
        <v>2075</v>
      </c>
      <c r="M19" s="15">
        <f t="shared" si="0"/>
        <v>2075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/>
      <c r="T19" s="16"/>
      <c r="U19" s="16"/>
      <c r="V19" s="17">
        <v>12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 t="shared" si="7"/>
        <v>0.53645833333333337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4</v>
      </c>
      <c r="H20" s="13">
        <v>28</v>
      </c>
      <c r="I20" s="31">
        <v>561000</v>
      </c>
      <c r="J20" s="5">
        <v>15524</v>
      </c>
      <c r="K20" s="15">
        <f>L20+14284+8352+12576+8310</f>
        <v>59046</v>
      </c>
      <c r="L20" s="15">
        <f>1859*4+2022*4</f>
        <v>15524</v>
      </c>
      <c r="M20" s="15">
        <f t="shared" si="0"/>
        <v>15524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>
        <v>4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0.53645833333333337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134</v>
      </c>
      <c r="F21" s="12" t="s">
        <v>114</v>
      </c>
      <c r="G21" s="12">
        <v>4</v>
      </c>
      <c r="H21" s="35">
        <v>20</v>
      </c>
      <c r="I21" s="7">
        <v>500000</v>
      </c>
      <c r="J21" s="14">
        <v>36784</v>
      </c>
      <c r="K21" s="15">
        <f>L21+31044+37988+37244+33716+33120+36632+37384+35548+36784</f>
        <v>319460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0.53645833333333337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2709700</v>
      </c>
      <c r="J22" s="19">
        <f t="shared" si="10"/>
        <v>146678</v>
      </c>
      <c r="K22" s="20">
        <f t="shared" si="10"/>
        <v>1165891</v>
      </c>
      <c r="L22" s="21">
        <f t="shared" si="10"/>
        <v>101881</v>
      </c>
      <c r="M22" s="20">
        <f t="shared" si="10"/>
        <v>101881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206</v>
      </c>
      <c r="Q22" s="43">
        <f t="shared" si="11"/>
        <v>178</v>
      </c>
      <c r="R22" s="23">
        <f t="shared" si="11"/>
        <v>28</v>
      </c>
      <c r="S22" s="24">
        <f t="shared" si="11"/>
        <v>48</v>
      </c>
      <c r="T22" s="24">
        <f t="shared" si="11"/>
        <v>0</v>
      </c>
      <c r="U22" s="24">
        <f t="shared" si="11"/>
        <v>0</v>
      </c>
      <c r="V22" s="25">
        <f t="shared" si="11"/>
        <v>36</v>
      </c>
      <c r="W22" s="26">
        <f t="shared" si="11"/>
        <v>18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0.625</v>
      </c>
      <c r="AC22" s="4">
        <f>AVERAGE(AC6:AC21)</f>
        <v>0.53645833333333337</v>
      </c>
      <c r="AD22" s="4">
        <f>AVERAGE(AD6:AD21)</f>
        <v>0.53645833333333337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596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598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416" t="s">
        <v>46</v>
      </c>
      <c r="D51" s="416" t="s">
        <v>47</v>
      </c>
      <c r="E51" s="416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416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413" t="s">
        <v>203</v>
      </c>
      <c r="D52" s="413" t="s">
        <v>115</v>
      </c>
      <c r="E52" s="413" t="s">
        <v>417</v>
      </c>
      <c r="F52" s="512" t="s">
        <v>492</v>
      </c>
      <c r="G52" s="513"/>
      <c r="H52" s="513"/>
      <c r="I52" s="513"/>
      <c r="J52" s="513"/>
      <c r="K52" s="513"/>
      <c r="L52" s="513"/>
      <c r="M52" s="514"/>
      <c r="N52" s="412" t="s">
        <v>123</v>
      </c>
      <c r="O52" s="410" t="s">
        <v>169</v>
      </c>
      <c r="P52" s="524"/>
      <c r="Q52" s="525"/>
      <c r="R52" s="524" t="s">
        <v>518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67" t="s">
        <v>112</v>
      </c>
      <c r="B53" s="568"/>
      <c r="C53" s="418" t="s">
        <v>210</v>
      </c>
      <c r="D53" s="418" t="s">
        <v>115</v>
      </c>
      <c r="E53" s="413" t="s">
        <v>205</v>
      </c>
      <c r="F53" s="512" t="s">
        <v>597</v>
      </c>
      <c r="G53" s="513"/>
      <c r="H53" s="513"/>
      <c r="I53" s="513"/>
      <c r="J53" s="513"/>
      <c r="K53" s="513"/>
      <c r="L53" s="513"/>
      <c r="M53" s="514"/>
      <c r="N53" s="412" t="s">
        <v>121</v>
      </c>
      <c r="O53" s="410" t="s">
        <v>203</v>
      </c>
      <c r="P53" s="524" t="s">
        <v>115</v>
      </c>
      <c r="Q53" s="525"/>
      <c r="R53" s="524" t="s">
        <v>417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67" t="s">
        <v>123</v>
      </c>
      <c r="B54" s="568"/>
      <c r="C54" s="418" t="s">
        <v>169</v>
      </c>
      <c r="D54" s="418"/>
      <c r="E54" s="413" t="s">
        <v>518</v>
      </c>
      <c r="F54" s="512" t="s">
        <v>551</v>
      </c>
      <c r="G54" s="513"/>
      <c r="H54" s="513"/>
      <c r="I54" s="513"/>
      <c r="J54" s="513"/>
      <c r="K54" s="513"/>
      <c r="L54" s="513"/>
      <c r="M54" s="514"/>
      <c r="N54" s="412" t="s">
        <v>112</v>
      </c>
      <c r="O54" s="410" t="s">
        <v>210</v>
      </c>
      <c r="P54" s="524" t="s">
        <v>115</v>
      </c>
      <c r="Q54" s="525"/>
      <c r="R54" s="524" t="s">
        <v>205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67" t="s">
        <v>121</v>
      </c>
      <c r="B55" s="568"/>
      <c r="C55" s="418" t="s">
        <v>197</v>
      </c>
      <c r="D55" s="418" t="s">
        <v>591</v>
      </c>
      <c r="E55" s="413" t="s">
        <v>363</v>
      </c>
      <c r="F55" s="512" t="s">
        <v>118</v>
      </c>
      <c r="G55" s="513"/>
      <c r="H55" s="513"/>
      <c r="I55" s="513"/>
      <c r="J55" s="513"/>
      <c r="K55" s="513"/>
      <c r="L55" s="513"/>
      <c r="M55" s="514"/>
      <c r="N55" s="412" t="s">
        <v>121</v>
      </c>
      <c r="O55" s="410" t="s">
        <v>267</v>
      </c>
      <c r="P55" s="524" t="s">
        <v>115</v>
      </c>
      <c r="Q55" s="525"/>
      <c r="R55" s="524" t="s">
        <v>572</v>
      </c>
      <c r="S55" s="526"/>
      <c r="T55" s="526"/>
      <c r="U55" s="525"/>
      <c r="V55" s="496" t="s">
        <v>180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/>
      <c r="B56" s="511"/>
      <c r="C56" s="413"/>
      <c r="D56" s="413"/>
      <c r="E56" s="413"/>
      <c r="F56" s="512"/>
      <c r="G56" s="513"/>
      <c r="H56" s="513"/>
      <c r="I56" s="513"/>
      <c r="J56" s="513"/>
      <c r="K56" s="513"/>
      <c r="L56" s="513"/>
      <c r="M56" s="514"/>
      <c r="N56" s="412"/>
      <c r="O56" s="410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413"/>
      <c r="D57" s="413"/>
      <c r="E57" s="413"/>
      <c r="F57" s="512"/>
      <c r="G57" s="513"/>
      <c r="H57" s="513"/>
      <c r="I57" s="513"/>
      <c r="J57" s="513"/>
      <c r="K57" s="513"/>
      <c r="L57" s="513"/>
      <c r="M57" s="514"/>
      <c r="N57" s="412"/>
      <c r="O57" s="410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418"/>
      <c r="D58" s="418"/>
      <c r="E58" s="413"/>
      <c r="F58" s="512"/>
      <c r="G58" s="513"/>
      <c r="H58" s="513"/>
      <c r="I58" s="513"/>
      <c r="J58" s="513"/>
      <c r="K58" s="513"/>
      <c r="L58" s="513"/>
      <c r="M58" s="514"/>
      <c r="N58" s="412"/>
      <c r="O58" s="410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418"/>
      <c r="D59" s="418"/>
      <c r="E59" s="413"/>
      <c r="F59" s="512"/>
      <c r="G59" s="513"/>
      <c r="H59" s="513"/>
      <c r="I59" s="513"/>
      <c r="J59" s="513"/>
      <c r="K59" s="513"/>
      <c r="L59" s="513"/>
      <c r="M59" s="514"/>
      <c r="N59" s="412"/>
      <c r="O59" s="410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413"/>
      <c r="D60" s="413"/>
      <c r="E60" s="413"/>
      <c r="F60" s="512"/>
      <c r="G60" s="513"/>
      <c r="H60" s="513"/>
      <c r="I60" s="513"/>
      <c r="J60" s="513"/>
      <c r="K60" s="513"/>
      <c r="L60" s="513"/>
      <c r="M60" s="514"/>
      <c r="N60" s="412"/>
      <c r="O60" s="410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414"/>
      <c r="D61" s="415"/>
      <c r="E61" s="415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599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411" t="s">
        <v>2</v>
      </c>
      <c r="D63" s="411" t="s">
        <v>37</v>
      </c>
      <c r="E63" s="411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411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121</v>
      </c>
      <c r="D64" s="406"/>
      <c r="E64" s="409" t="s">
        <v>600</v>
      </c>
      <c r="F64" s="497" t="s">
        <v>601</v>
      </c>
      <c r="G64" s="498"/>
      <c r="H64" s="498"/>
      <c r="I64" s="498"/>
      <c r="J64" s="499"/>
      <c r="K64" s="485">
        <v>8301</v>
      </c>
      <c r="L64" s="485"/>
      <c r="M64" s="51" t="s">
        <v>242</v>
      </c>
      <c r="N64" s="494" t="s">
        <v>189</v>
      </c>
      <c r="O64" s="494"/>
      <c r="P64" s="495">
        <v>100</v>
      </c>
      <c r="Q64" s="495"/>
      <c r="R64" s="496"/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120</v>
      </c>
      <c r="D65" s="406"/>
      <c r="E65" s="409" t="s">
        <v>130</v>
      </c>
      <c r="F65" s="497" t="s">
        <v>485</v>
      </c>
      <c r="G65" s="498"/>
      <c r="H65" s="498"/>
      <c r="I65" s="498"/>
      <c r="J65" s="499"/>
      <c r="K65" s="485" t="s">
        <v>128</v>
      </c>
      <c r="L65" s="485"/>
      <c r="M65" s="51" t="s">
        <v>602</v>
      </c>
      <c r="N65" s="494" t="s">
        <v>148</v>
      </c>
      <c r="O65" s="494"/>
      <c r="P65" s="495">
        <v>450</v>
      </c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/>
      <c r="D66" s="406"/>
      <c r="E66" s="409"/>
      <c r="F66" s="493"/>
      <c r="G66" s="485"/>
      <c r="H66" s="485"/>
      <c r="I66" s="485"/>
      <c r="J66" s="485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406"/>
      <c r="E67" s="409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406"/>
      <c r="E68" s="409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406"/>
      <c r="E69" s="409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406"/>
      <c r="E70" s="409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406"/>
      <c r="E71" s="409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406"/>
      <c r="E72" s="409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406"/>
      <c r="E73" s="409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603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408" t="s">
        <v>2</v>
      </c>
      <c r="D75" s="408" t="s">
        <v>37</v>
      </c>
      <c r="E75" s="408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407" t="s">
        <v>112</v>
      </c>
      <c r="D76" s="407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406"/>
      <c r="D77" s="406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406"/>
      <c r="D78" s="406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406"/>
      <c r="D79" s="406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406"/>
      <c r="D80" s="406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406"/>
      <c r="D81" s="406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406"/>
      <c r="D82" s="406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604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DA4-55FE-4C07-8583-0BF74BCAD221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605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419" t="s">
        <v>17</v>
      </c>
      <c r="L5" s="419" t="s">
        <v>18</v>
      </c>
      <c r="M5" s="419" t="s">
        <v>19</v>
      </c>
      <c r="N5" s="4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130</v>
      </c>
      <c r="E6" s="53" t="s">
        <v>571</v>
      </c>
      <c r="F6" s="12" t="s">
        <v>128</v>
      </c>
      <c r="G6" s="12">
        <v>1</v>
      </c>
      <c r="H6" s="13">
        <v>24</v>
      </c>
      <c r="I6" s="31">
        <v>17000</v>
      </c>
      <c r="J6" s="14">
        <v>617</v>
      </c>
      <c r="K6" s="15">
        <f>L6+4576+6348+6537</f>
        <v>18078</v>
      </c>
      <c r="L6" s="15">
        <v>617</v>
      </c>
      <c r="M6" s="15">
        <f t="shared" ref="M6:M21" si="0">L6-N6</f>
        <v>617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4</v>
      </c>
      <c r="Q6" s="40">
        <f t="shared" ref="Q6:Q21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0.16666666666666666</v>
      </c>
      <c r="AD6" s="10">
        <f t="shared" ref="AD6:AD21" si="6">AC6*AB6*(1-O6)</f>
        <v>0.16666666666666666</v>
      </c>
      <c r="AE6" s="36">
        <f t="shared" ref="AE6:AE21" si="7">$AD$22</f>
        <v>0.44791666666666669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600</v>
      </c>
      <c r="E7" s="53" t="s">
        <v>601</v>
      </c>
      <c r="F7" s="12">
        <v>8301</v>
      </c>
      <c r="G7" s="12">
        <v>1</v>
      </c>
      <c r="H7" s="13">
        <v>24</v>
      </c>
      <c r="I7" s="31">
        <v>2500</v>
      </c>
      <c r="J7" s="14">
        <v>2639</v>
      </c>
      <c r="K7" s="15">
        <f>L7</f>
        <v>2639</v>
      </c>
      <c r="L7" s="15">
        <v>2639</v>
      </c>
      <c r="M7" s="15">
        <f t="shared" si="0"/>
        <v>2639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/>
      <c r="T7" s="16"/>
      <c r="U7" s="16"/>
      <c r="V7" s="17">
        <v>10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0.44791666666666669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22096</v>
      </c>
      <c r="K8" s="15">
        <f>L8+8404+12360+9142+12426+5790+11544+12480+12502+12376+12380+22896+24720+24328+24256+11504+24084+22712+24032+23532+20768+23268+23880</f>
        <v>401480</v>
      </c>
      <c r="L8" s="15">
        <f>2868*4+2656*4</f>
        <v>22096</v>
      </c>
      <c r="M8" s="15">
        <f t="shared" si="0"/>
        <v>22096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0.44791666666666669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133</v>
      </c>
      <c r="E9" s="53" t="s">
        <v>553</v>
      </c>
      <c r="F9" s="30" t="s">
        <v>225</v>
      </c>
      <c r="G9" s="33">
        <v>1</v>
      </c>
      <c r="H9" s="35">
        <v>24</v>
      </c>
      <c r="I9" s="7">
        <v>17000</v>
      </c>
      <c r="J9" s="14">
        <v>5202</v>
      </c>
      <c r="K9" s="15">
        <f>L9+3285+2911+5720</f>
        <v>17118</v>
      </c>
      <c r="L9" s="15">
        <f>2506+2696</f>
        <v>5202</v>
      </c>
      <c r="M9" s="15">
        <f t="shared" si="0"/>
        <v>5202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0.44791666666666669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4</v>
      </c>
      <c r="H10" s="35">
        <v>24</v>
      </c>
      <c r="I10" s="7">
        <v>530000</v>
      </c>
      <c r="J10" s="5">
        <v>23236</v>
      </c>
      <c r="K10" s="15">
        <f>L10+19272+24844+16004+13948+24828</f>
        <v>122132</v>
      </c>
      <c r="L10" s="15">
        <f>2832*4+2977*4</f>
        <v>23236</v>
      </c>
      <c r="M10" s="15">
        <f t="shared" si="0"/>
        <v>23236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0.44791666666666669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518</v>
      </c>
      <c r="F11" s="30" t="s">
        <v>301</v>
      </c>
      <c r="G11" s="33">
        <v>1</v>
      </c>
      <c r="H11" s="35">
        <v>24</v>
      </c>
      <c r="I11" s="7">
        <v>20000</v>
      </c>
      <c r="J11" s="14">
        <v>2915</v>
      </c>
      <c r="K11" s="15">
        <f>L11+1837+2816+1326</f>
        <v>8894</v>
      </c>
      <c r="L11" s="15">
        <f>366+2549</f>
        <v>2915</v>
      </c>
      <c r="M11" s="15">
        <f t="shared" si="0"/>
        <v>2915</v>
      </c>
      <c r="N11" s="15">
        <v>0</v>
      </c>
      <c r="O11" s="58">
        <f t="shared" si="1"/>
        <v>0</v>
      </c>
      <c r="P11" s="39">
        <f t="shared" si="2"/>
        <v>15</v>
      </c>
      <c r="Q11" s="40">
        <f t="shared" si="3"/>
        <v>9</v>
      </c>
      <c r="R11" s="7"/>
      <c r="S11" s="6">
        <v>9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0.625</v>
      </c>
      <c r="AD11" s="10">
        <f t="shared" ref="AD11:AD14" si="9">AC11*AB11*(1-O11)</f>
        <v>0.625</v>
      </c>
      <c r="AE11" s="36">
        <f t="shared" si="7"/>
        <v>0.44791666666666669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123</v>
      </c>
      <c r="D12" s="52" t="s">
        <v>115</v>
      </c>
      <c r="E12" s="53" t="s">
        <v>572</v>
      </c>
      <c r="F12" s="30" t="s">
        <v>119</v>
      </c>
      <c r="G12" s="33">
        <v>1</v>
      </c>
      <c r="H12" s="35">
        <v>24</v>
      </c>
      <c r="I12" s="7">
        <v>10000</v>
      </c>
      <c r="J12" s="14">
        <v>3367</v>
      </c>
      <c r="K12" s="15">
        <f>L12</f>
        <v>0</v>
      </c>
      <c r="L12" s="15">
        <f>0</f>
        <v>0</v>
      </c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0.44791666666666669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5214</v>
      </c>
      <c r="K13" s="15">
        <f>L13+10230+8758+7458+4298+5694+7524+3000+9774+6592+11326+12144+11050+10802+10910+9796+3412+4942+8464+12186+4876+12344+11648+11570+12232+12946</f>
        <v>229190</v>
      </c>
      <c r="L13" s="15">
        <f>2607*2</f>
        <v>5214</v>
      </c>
      <c r="M13" s="15">
        <f t="shared" si="0"/>
        <v>5214</v>
      </c>
      <c r="N13" s="15">
        <v>0</v>
      </c>
      <c r="O13" s="58">
        <f t="shared" si="1"/>
        <v>0</v>
      </c>
      <c r="P13" s="39">
        <f t="shared" si="2"/>
        <v>13</v>
      </c>
      <c r="Q13" s="40">
        <f t="shared" si="3"/>
        <v>11</v>
      </c>
      <c r="R13" s="7"/>
      <c r="S13" s="6">
        <v>11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0.54166666666666663</v>
      </c>
      <c r="AD13" s="10">
        <f>AC13*AB13*(1-O13)</f>
        <v>0.54166666666666663</v>
      </c>
      <c r="AE13" s="36">
        <f t="shared" si="7"/>
        <v>0.44791666666666669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205</v>
      </c>
      <c r="F14" s="30" t="s">
        <v>132</v>
      </c>
      <c r="G14" s="33">
        <v>1</v>
      </c>
      <c r="H14" s="35">
        <v>24</v>
      </c>
      <c r="I14" s="7">
        <v>300</v>
      </c>
      <c r="J14" s="5">
        <v>329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9"/>
        <v>0</v>
      </c>
      <c r="AE14" s="36">
        <f t="shared" si="7"/>
        <v>0.44791666666666669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509</v>
      </c>
      <c r="F15" s="12" t="s">
        <v>140</v>
      </c>
      <c r="G15" s="12">
        <v>1</v>
      </c>
      <c r="H15" s="13">
        <v>24</v>
      </c>
      <c r="I15" s="31">
        <v>20000</v>
      </c>
      <c r="J15" s="14">
        <v>625</v>
      </c>
      <c r="K15" s="15">
        <f>L15+2236+873+2158+5230+5277+5226</f>
        <v>21625</v>
      </c>
      <c r="L15" s="15">
        <v>625</v>
      </c>
      <c r="M15" s="15">
        <f t="shared" si="0"/>
        <v>625</v>
      </c>
      <c r="N15" s="15">
        <v>0</v>
      </c>
      <c r="O15" s="58">
        <f t="shared" si="1"/>
        <v>0</v>
      </c>
      <c r="P15" s="39">
        <f t="shared" si="2"/>
        <v>4</v>
      </c>
      <c r="Q15" s="40">
        <f t="shared" si="3"/>
        <v>20</v>
      </c>
      <c r="R15" s="7"/>
      <c r="S15" s="6">
        <v>20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6">
        <f t="shared" si="7"/>
        <v>0.44791666666666669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0.44791666666666669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250</v>
      </c>
      <c r="E17" s="53" t="s">
        <v>533</v>
      </c>
      <c r="F17" s="30" t="s">
        <v>252</v>
      </c>
      <c r="G17" s="12">
        <v>1</v>
      </c>
      <c r="H17" s="13">
        <v>24</v>
      </c>
      <c r="I17" s="7">
        <v>500</v>
      </c>
      <c r="J17" s="14">
        <v>556</v>
      </c>
      <c r="K17" s="15">
        <f>L17+556</f>
        <v>556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0.44791666666666669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591</v>
      </c>
      <c r="E18" s="53" t="s">
        <v>363</v>
      </c>
      <c r="F18" s="30" t="s">
        <v>129</v>
      </c>
      <c r="G18" s="33" t="s">
        <v>164</v>
      </c>
      <c r="H18" s="35">
        <v>24</v>
      </c>
      <c r="I18" s="7">
        <v>1600</v>
      </c>
      <c r="J18" s="14">
        <v>1778</v>
      </c>
      <c r="K18" s="15">
        <f>L18+1778</f>
        <v>1778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0.44791666666666669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215</v>
      </c>
      <c r="E19" s="53" t="s">
        <v>586</v>
      </c>
      <c r="F19" s="30" t="s">
        <v>225</v>
      </c>
      <c r="G19" s="33">
        <v>1</v>
      </c>
      <c r="H19" s="35">
        <v>24</v>
      </c>
      <c r="I19" s="7">
        <v>33000</v>
      </c>
      <c r="J19" s="14">
        <v>3595</v>
      </c>
      <c r="K19" s="15">
        <f>L19+2330+2075</f>
        <v>8000</v>
      </c>
      <c r="L19" s="15">
        <f>942+2653</f>
        <v>3595</v>
      </c>
      <c r="M19" s="15">
        <f t="shared" si="0"/>
        <v>3595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/>
      <c r="T19" s="16"/>
      <c r="U19" s="16"/>
      <c r="V19" s="17">
        <v>6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0.44791666666666669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4</v>
      </c>
      <c r="H20" s="13">
        <v>28</v>
      </c>
      <c r="I20" s="31">
        <v>561000</v>
      </c>
      <c r="J20" s="5">
        <v>17860</v>
      </c>
      <c r="K20" s="15">
        <f>L20+14284+8352+12576+8310+15524</f>
        <v>76906</v>
      </c>
      <c r="L20" s="15">
        <f>1812*4+2653*4</f>
        <v>17860</v>
      </c>
      <c r="M20" s="15">
        <f t="shared" si="0"/>
        <v>17860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>
        <v>3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0.44791666666666669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134</v>
      </c>
      <c r="F21" s="12" t="s">
        <v>114</v>
      </c>
      <c r="G21" s="12">
        <v>4</v>
      </c>
      <c r="H21" s="35">
        <v>20</v>
      </c>
      <c r="I21" s="7">
        <v>500000</v>
      </c>
      <c r="J21" s="14">
        <v>32300</v>
      </c>
      <c r="K21" s="15">
        <f>L21+31044+37988+37244+33716+33120+36632+37384+35548+36784</f>
        <v>351760</v>
      </c>
      <c r="L21" s="15">
        <f>8075*4</f>
        <v>32300</v>
      </c>
      <c r="M21" s="15">
        <f t="shared" si="0"/>
        <v>32300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0.44791666666666669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2703400</v>
      </c>
      <c r="J22" s="19">
        <f t="shared" si="10"/>
        <v>122824</v>
      </c>
      <c r="K22" s="20">
        <f t="shared" si="10"/>
        <v>1260651</v>
      </c>
      <c r="L22" s="21">
        <f t="shared" si="10"/>
        <v>116299</v>
      </c>
      <c r="M22" s="20">
        <f t="shared" si="10"/>
        <v>116299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172</v>
      </c>
      <c r="Q22" s="43">
        <f t="shared" si="11"/>
        <v>212</v>
      </c>
      <c r="R22" s="23">
        <f t="shared" si="11"/>
        <v>27</v>
      </c>
      <c r="S22" s="24">
        <f t="shared" si="11"/>
        <v>88</v>
      </c>
      <c r="T22" s="24">
        <f t="shared" si="11"/>
        <v>0</v>
      </c>
      <c r="U22" s="24">
        <f t="shared" si="11"/>
        <v>0</v>
      </c>
      <c r="V22" s="25">
        <f t="shared" si="11"/>
        <v>29</v>
      </c>
      <c r="W22" s="26">
        <f t="shared" si="11"/>
        <v>20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0.6875</v>
      </c>
      <c r="AC22" s="4">
        <f>AVERAGE(AC6:AC21)</f>
        <v>0.44791666666666669</v>
      </c>
      <c r="AD22" s="4">
        <f>AVERAGE(AD6:AD21)</f>
        <v>0.44791666666666669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607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608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420" t="s">
        <v>46</v>
      </c>
      <c r="D51" s="420" t="s">
        <v>47</v>
      </c>
      <c r="E51" s="420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420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10" t="s">
        <v>121</v>
      </c>
      <c r="B52" s="511"/>
      <c r="C52" s="422" t="s">
        <v>203</v>
      </c>
      <c r="D52" s="422" t="s">
        <v>115</v>
      </c>
      <c r="E52" s="422" t="s">
        <v>417</v>
      </c>
      <c r="F52" s="512" t="s">
        <v>180</v>
      </c>
      <c r="G52" s="513"/>
      <c r="H52" s="513"/>
      <c r="I52" s="513"/>
      <c r="J52" s="513"/>
      <c r="K52" s="513"/>
      <c r="L52" s="513"/>
      <c r="M52" s="514"/>
      <c r="N52" s="421" t="s">
        <v>123</v>
      </c>
      <c r="O52" s="427" t="s">
        <v>267</v>
      </c>
      <c r="P52" s="524" t="s">
        <v>115</v>
      </c>
      <c r="Q52" s="525"/>
      <c r="R52" s="524" t="s">
        <v>572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67" t="s">
        <v>112</v>
      </c>
      <c r="B53" s="568"/>
      <c r="C53" s="431" t="s">
        <v>210</v>
      </c>
      <c r="D53" s="431" t="s">
        <v>115</v>
      </c>
      <c r="E53" s="422" t="s">
        <v>205</v>
      </c>
      <c r="F53" s="512" t="s">
        <v>551</v>
      </c>
      <c r="G53" s="513"/>
      <c r="H53" s="513"/>
      <c r="I53" s="513"/>
      <c r="J53" s="513"/>
      <c r="K53" s="513"/>
      <c r="L53" s="513"/>
      <c r="M53" s="514"/>
      <c r="N53" s="421" t="s">
        <v>112</v>
      </c>
      <c r="O53" s="427" t="s">
        <v>210</v>
      </c>
      <c r="P53" s="524" t="s">
        <v>115</v>
      </c>
      <c r="Q53" s="525"/>
      <c r="R53" s="524" t="s">
        <v>205</v>
      </c>
      <c r="S53" s="526"/>
      <c r="T53" s="526"/>
      <c r="U53" s="525"/>
      <c r="V53" s="496" t="s">
        <v>180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67" t="s">
        <v>123</v>
      </c>
      <c r="B54" s="568"/>
      <c r="C54" s="431" t="s">
        <v>169</v>
      </c>
      <c r="D54" s="431"/>
      <c r="E54" s="422" t="s">
        <v>518</v>
      </c>
      <c r="F54" s="512" t="s">
        <v>180</v>
      </c>
      <c r="G54" s="513"/>
      <c r="H54" s="513"/>
      <c r="I54" s="513"/>
      <c r="J54" s="513"/>
      <c r="K54" s="513"/>
      <c r="L54" s="513"/>
      <c r="M54" s="514"/>
      <c r="N54" s="421" t="s">
        <v>123</v>
      </c>
      <c r="O54" s="427" t="s">
        <v>174</v>
      </c>
      <c r="P54" s="524"/>
      <c r="Q54" s="525"/>
      <c r="R54" s="524" t="s">
        <v>509</v>
      </c>
      <c r="S54" s="526"/>
      <c r="T54" s="526"/>
      <c r="U54" s="525"/>
      <c r="V54" s="496" t="s">
        <v>180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67" t="s">
        <v>123</v>
      </c>
      <c r="B55" s="568"/>
      <c r="C55" s="431" t="s">
        <v>267</v>
      </c>
      <c r="D55" s="431"/>
      <c r="E55" s="422" t="s">
        <v>572</v>
      </c>
      <c r="F55" s="512" t="s">
        <v>606</v>
      </c>
      <c r="G55" s="513"/>
      <c r="H55" s="513"/>
      <c r="I55" s="513"/>
      <c r="J55" s="513"/>
      <c r="K55" s="513"/>
      <c r="L55" s="513"/>
      <c r="M55" s="514"/>
      <c r="N55" s="421"/>
      <c r="O55" s="427"/>
      <c r="P55" s="524"/>
      <c r="Q55" s="525"/>
      <c r="R55" s="524"/>
      <c r="S55" s="526"/>
      <c r="T55" s="526"/>
      <c r="U55" s="525"/>
      <c r="V55" s="496"/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 t="s">
        <v>121</v>
      </c>
      <c r="B56" s="511"/>
      <c r="C56" s="422" t="s">
        <v>144</v>
      </c>
      <c r="D56" s="422" t="s">
        <v>115</v>
      </c>
      <c r="E56" s="422" t="s">
        <v>160</v>
      </c>
      <c r="F56" s="512" t="s">
        <v>322</v>
      </c>
      <c r="G56" s="513"/>
      <c r="H56" s="513"/>
      <c r="I56" s="513"/>
      <c r="J56" s="513"/>
      <c r="K56" s="513"/>
      <c r="L56" s="513"/>
      <c r="M56" s="514"/>
      <c r="N56" s="421"/>
      <c r="O56" s="427"/>
      <c r="P56" s="524"/>
      <c r="Q56" s="525"/>
      <c r="R56" s="524"/>
      <c r="S56" s="526"/>
      <c r="T56" s="526"/>
      <c r="U56" s="525"/>
      <c r="V56" s="496"/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 t="s">
        <v>121</v>
      </c>
      <c r="B57" s="511"/>
      <c r="C57" s="422" t="s">
        <v>189</v>
      </c>
      <c r="D57" s="422" t="s">
        <v>600</v>
      </c>
      <c r="E57" s="422" t="s">
        <v>601</v>
      </c>
      <c r="F57" s="512" t="s">
        <v>118</v>
      </c>
      <c r="G57" s="513"/>
      <c r="H57" s="513"/>
      <c r="I57" s="513"/>
      <c r="J57" s="513"/>
      <c r="K57" s="513"/>
      <c r="L57" s="513"/>
      <c r="M57" s="514"/>
      <c r="N57" s="421"/>
      <c r="O57" s="427"/>
      <c r="P57" s="524"/>
      <c r="Q57" s="525"/>
      <c r="R57" s="524"/>
      <c r="S57" s="526"/>
      <c r="T57" s="526"/>
      <c r="U57" s="525"/>
      <c r="V57" s="496"/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 t="s">
        <v>123</v>
      </c>
      <c r="B58" s="568"/>
      <c r="C58" s="431" t="s">
        <v>174</v>
      </c>
      <c r="D58" s="431"/>
      <c r="E58" s="422" t="s">
        <v>509</v>
      </c>
      <c r="F58" s="512" t="s">
        <v>353</v>
      </c>
      <c r="G58" s="513"/>
      <c r="H58" s="513"/>
      <c r="I58" s="513"/>
      <c r="J58" s="513"/>
      <c r="K58" s="513"/>
      <c r="L58" s="513"/>
      <c r="M58" s="514"/>
      <c r="N58" s="421"/>
      <c r="O58" s="427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431"/>
      <c r="D59" s="431"/>
      <c r="E59" s="422"/>
      <c r="F59" s="512"/>
      <c r="G59" s="513"/>
      <c r="H59" s="513"/>
      <c r="I59" s="513"/>
      <c r="J59" s="513"/>
      <c r="K59" s="513"/>
      <c r="L59" s="513"/>
      <c r="M59" s="514"/>
      <c r="N59" s="421"/>
      <c r="O59" s="427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422"/>
      <c r="D60" s="422"/>
      <c r="E60" s="422"/>
      <c r="F60" s="512"/>
      <c r="G60" s="513"/>
      <c r="H60" s="513"/>
      <c r="I60" s="513"/>
      <c r="J60" s="513"/>
      <c r="K60" s="513"/>
      <c r="L60" s="513"/>
      <c r="M60" s="514"/>
      <c r="N60" s="421"/>
      <c r="O60" s="427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423"/>
      <c r="D61" s="424"/>
      <c r="E61" s="424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609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425" t="s">
        <v>2</v>
      </c>
      <c r="D63" s="425" t="s">
        <v>37</v>
      </c>
      <c r="E63" s="425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425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120</v>
      </c>
      <c r="D64" s="429"/>
      <c r="E64" s="426" t="s">
        <v>115</v>
      </c>
      <c r="F64" s="497" t="s">
        <v>147</v>
      </c>
      <c r="G64" s="498"/>
      <c r="H64" s="498"/>
      <c r="I64" s="498"/>
      <c r="J64" s="499"/>
      <c r="K64" s="485">
        <v>7301</v>
      </c>
      <c r="L64" s="485"/>
      <c r="M64" s="51" t="s">
        <v>188</v>
      </c>
      <c r="N64" s="494" t="s">
        <v>197</v>
      </c>
      <c r="O64" s="494"/>
      <c r="P64" s="495">
        <v>50</v>
      </c>
      <c r="Q64" s="495"/>
      <c r="R64" s="496" t="s">
        <v>610</v>
      </c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/>
      <c r="D65" s="429"/>
      <c r="E65" s="426"/>
      <c r="F65" s="497"/>
      <c r="G65" s="498"/>
      <c r="H65" s="498"/>
      <c r="I65" s="498"/>
      <c r="J65" s="499"/>
      <c r="K65" s="485"/>
      <c r="L65" s="485"/>
      <c r="M65" s="51"/>
      <c r="N65" s="494"/>
      <c r="O65" s="494"/>
      <c r="P65" s="495"/>
      <c r="Q65" s="495"/>
      <c r="R65" s="496"/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/>
      <c r="D66" s="429"/>
      <c r="E66" s="426"/>
      <c r="F66" s="493"/>
      <c r="G66" s="485"/>
      <c r="H66" s="485"/>
      <c r="I66" s="485"/>
      <c r="J66" s="485"/>
      <c r="K66" s="485"/>
      <c r="L66" s="485"/>
      <c r="M66" s="51"/>
      <c r="N66" s="494"/>
      <c r="O66" s="494"/>
      <c r="P66" s="495"/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429"/>
      <c r="E67" s="426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429"/>
      <c r="E68" s="426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429"/>
      <c r="E69" s="426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429"/>
      <c r="E70" s="426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429"/>
      <c r="E71" s="426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429"/>
      <c r="E72" s="426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429"/>
      <c r="E73" s="426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611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428" t="s">
        <v>2</v>
      </c>
      <c r="D75" s="428" t="s">
        <v>37</v>
      </c>
      <c r="E75" s="428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430" t="s">
        <v>112</v>
      </c>
      <c r="D76" s="430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429"/>
      <c r="D77" s="429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429"/>
      <c r="D78" s="429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429"/>
      <c r="D79" s="429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429"/>
      <c r="D80" s="429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429"/>
      <c r="D81" s="429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429"/>
      <c r="D82" s="429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612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78D0-83E5-4562-8C06-DEF2184E7359}">
  <dimension ref="A1:AF87"/>
  <sheetViews>
    <sheetView view="pageBreakPreview" topLeftCell="A13" zoomScale="70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0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2" width="7.75" style="50" bestFit="1" customWidth="1"/>
    <col min="23" max="23" width="9.25" style="50" bestFit="1" customWidth="1"/>
    <col min="24" max="24" width="7.25" style="50" bestFit="1" customWidth="1"/>
    <col min="25" max="26" width="6.25" style="50" bestFit="1" customWidth="1"/>
    <col min="27" max="27" width="7.7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555" t="s">
        <v>613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5"/>
      <c r="M1" s="555"/>
      <c r="N1" s="555"/>
      <c r="O1" s="555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55"/>
      <c r="B2" s="555"/>
      <c r="C2" s="555"/>
      <c r="D2" s="555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56"/>
      <c r="B3" s="556"/>
      <c r="C3" s="556"/>
      <c r="D3" s="556"/>
      <c r="E3" s="556"/>
      <c r="F3" s="556"/>
      <c r="G3" s="556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57" t="s">
        <v>0</v>
      </c>
      <c r="B4" s="559" t="s">
        <v>1</v>
      </c>
      <c r="C4" s="559" t="s">
        <v>2</v>
      </c>
      <c r="D4" s="562" t="s">
        <v>3</v>
      </c>
      <c r="E4" s="564" t="s">
        <v>4</v>
      </c>
      <c r="F4" s="562" t="s">
        <v>5</v>
      </c>
      <c r="G4" s="559" t="s">
        <v>6</v>
      </c>
      <c r="H4" s="565" t="s">
        <v>7</v>
      </c>
      <c r="I4" s="545" t="s">
        <v>8</v>
      </c>
      <c r="J4" s="546"/>
      <c r="K4" s="546"/>
      <c r="L4" s="546"/>
      <c r="M4" s="546"/>
      <c r="N4" s="546"/>
      <c r="O4" s="547"/>
      <c r="P4" s="548" t="s">
        <v>9</v>
      </c>
      <c r="Q4" s="549"/>
      <c r="R4" s="550" t="s">
        <v>10</v>
      </c>
      <c r="S4" s="550"/>
      <c r="T4" s="550"/>
      <c r="U4" s="550"/>
      <c r="V4" s="550"/>
      <c r="W4" s="551" t="s">
        <v>11</v>
      </c>
      <c r="X4" s="550"/>
      <c r="Y4" s="550"/>
      <c r="Z4" s="550"/>
      <c r="AA4" s="552"/>
      <c r="AB4" s="553" t="s">
        <v>12</v>
      </c>
      <c r="AC4" s="527" t="s">
        <v>13</v>
      </c>
      <c r="AD4" s="527" t="s">
        <v>14</v>
      </c>
      <c r="AE4" s="54"/>
    </row>
    <row r="5" spans="1:32" ht="51" customHeight="1" thickBot="1">
      <c r="A5" s="558"/>
      <c r="B5" s="560"/>
      <c r="C5" s="561"/>
      <c r="D5" s="563"/>
      <c r="E5" s="563"/>
      <c r="F5" s="563"/>
      <c r="G5" s="560"/>
      <c r="H5" s="566"/>
      <c r="I5" s="55" t="s">
        <v>15</v>
      </c>
      <c r="J5" s="56" t="s">
        <v>16</v>
      </c>
      <c r="K5" s="443" t="s">
        <v>17</v>
      </c>
      <c r="L5" s="443" t="s">
        <v>18</v>
      </c>
      <c r="M5" s="443" t="s">
        <v>19</v>
      </c>
      <c r="N5" s="44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54"/>
      <c r="AC5" s="528"/>
      <c r="AD5" s="528"/>
      <c r="AE5" s="54"/>
    </row>
    <row r="6" spans="1:32" ht="27" customHeight="1">
      <c r="A6" s="113">
        <v>1</v>
      </c>
      <c r="B6" s="11" t="s">
        <v>57</v>
      </c>
      <c r="C6" s="34" t="s">
        <v>112</v>
      </c>
      <c r="D6" s="52" t="s">
        <v>130</v>
      </c>
      <c r="E6" s="53" t="s">
        <v>571</v>
      </c>
      <c r="F6" s="12" t="s">
        <v>128</v>
      </c>
      <c r="G6" s="12">
        <v>1</v>
      </c>
      <c r="H6" s="13">
        <v>24</v>
      </c>
      <c r="I6" s="31">
        <v>17000</v>
      </c>
      <c r="J6" s="14">
        <v>617</v>
      </c>
      <c r="K6" s="15">
        <f>L6+4576+6348+6537+617</f>
        <v>18078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0.52604166666666674</v>
      </c>
      <c r="AF6" s="84">
        <f t="shared" ref="AF6:AF21" si="8">A6</f>
        <v>1</v>
      </c>
    </row>
    <row r="7" spans="1:32" ht="27" customHeight="1">
      <c r="A7" s="113">
        <v>2</v>
      </c>
      <c r="B7" s="11" t="s">
        <v>57</v>
      </c>
      <c r="C7" s="34" t="s">
        <v>121</v>
      </c>
      <c r="D7" s="52" t="s">
        <v>600</v>
      </c>
      <c r="E7" s="53" t="s">
        <v>601</v>
      </c>
      <c r="F7" s="12">
        <v>8301</v>
      </c>
      <c r="G7" s="12">
        <v>1</v>
      </c>
      <c r="H7" s="13">
        <v>24</v>
      </c>
      <c r="I7" s="31">
        <v>2500</v>
      </c>
      <c r="J7" s="14">
        <v>2639</v>
      </c>
      <c r="K7" s="15">
        <f>L7+2639</f>
        <v>2639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0.52604166666666674</v>
      </c>
      <c r="AF7" s="84">
        <f t="shared" si="8"/>
        <v>2</v>
      </c>
    </row>
    <row r="8" spans="1:32" ht="27" customHeight="1">
      <c r="A8" s="95">
        <v>3</v>
      </c>
      <c r="B8" s="11" t="s">
        <v>57</v>
      </c>
      <c r="C8" s="11" t="s">
        <v>121</v>
      </c>
      <c r="D8" s="52" t="s">
        <v>141</v>
      </c>
      <c r="E8" s="53" t="s">
        <v>202</v>
      </c>
      <c r="F8" s="30" t="s">
        <v>124</v>
      </c>
      <c r="G8" s="33">
        <v>4</v>
      </c>
      <c r="H8" s="35">
        <v>24</v>
      </c>
      <c r="I8" s="7">
        <v>720000</v>
      </c>
      <c r="J8" s="14">
        <v>24340</v>
      </c>
      <c r="K8" s="15">
        <f>L8+8404+12360+9142+12426+5790+11544+12480+12502+12376+12380+22896+24720+24328+24256+11504+24084+22712+24032+23532+20768+23268+23880+22096</f>
        <v>425820</v>
      </c>
      <c r="L8" s="15">
        <f>2917*4+3168*4</f>
        <v>24340</v>
      </c>
      <c r="M8" s="15">
        <f t="shared" si="0"/>
        <v>24340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0.52604166666666674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11" t="s">
        <v>112</v>
      </c>
      <c r="D9" s="52" t="s">
        <v>133</v>
      </c>
      <c r="E9" s="53" t="s">
        <v>553</v>
      </c>
      <c r="F9" s="30" t="s">
        <v>225</v>
      </c>
      <c r="G9" s="33">
        <v>1</v>
      </c>
      <c r="H9" s="35">
        <v>24</v>
      </c>
      <c r="I9" s="7">
        <v>17000</v>
      </c>
      <c r="J9" s="14">
        <v>4071</v>
      </c>
      <c r="K9" s="15">
        <f>L9+3285+2911+5720+5202</f>
        <v>21189</v>
      </c>
      <c r="L9" s="15">
        <f>1124+2947</f>
        <v>4071</v>
      </c>
      <c r="M9" s="15">
        <f t="shared" si="0"/>
        <v>4071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/>
      <c r="T9" s="16"/>
      <c r="U9" s="16"/>
      <c r="V9" s="17"/>
      <c r="W9" s="5">
        <v>4</v>
      </c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0.52604166666666674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34" t="s">
        <v>121</v>
      </c>
      <c r="D10" s="52" t="s">
        <v>150</v>
      </c>
      <c r="E10" s="53" t="s">
        <v>190</v>
      </c>
      <c r="F10" s="30" t="s">
        <v>124</v>
      </c>
      <c r="G10" s="33">
        <v>4</v>
      </c>
      <c r="H10" s="35">
        <v>24</v>
      </c>
      <c r="I10" s="7">
        <v>530000</v>
      </c>
      <c r="J10" s="5">
        <v>25072</v>
      </c>
      <c r="K10" s="15">
        <f>L10+19272+24844+16004+13948+24828+23236</f>
        <v>147204</v>
      </c>
      <c r="L10" s="15">
        <f>2993*4+3275*4</f>
        <v>25072</v>
      </c>
      <c r="M10" s="15">
        <f t="shared" si="0"/>
        <v>25072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>AC10*AB10*(1-O10)</f>
        <v>1</v>
      </c>
      <c r="AE10" s="36">
        <f t="shared" si="7"/>
        <v>0.52604166666666674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123</v>
      </c>
      <c r="D11" s="52"/>
      <c r="E11" s="53" t="s">
        <v>518</v>
      </c>
      <c r="F11" s="30" t="s">
        <v>301</v>
      </c>
      <c r="G11" s="33">
        <v>1</v>
      </c>
      <c r="H11" s="35">
        <v>24</v>
      </c>
      <c r="I11" s="7">
        <v>20000</v>
      </c>
      <c r="J11" s="14">
        <v>5354</v>
      </c>
      <c r="K11" s="15">
        <f>L11+1837+2816+1326+2915</f>
        <v>14248</v>
      </c>
      <c r="L11" s="15">
        <f>2553+2801</f>
        <v>5354</v>
      </c>
      <c r="M11" s="15">
        <f t="shared" si="0"/>
        <v>5354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ref="AD11:AD14" si="9">AC11*AB11*(1-O11)</f>
        <v>1</v>
      </c>
      <c r="AE11" s="36">
        <f t="shared" si="7"/>
        <v>0.52604166666666674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11" t="s">
        <v>123</v>
      </c>
      <c r="D12" s="52" t="s">
        <v>115</v>
      </c>
      <c r="E12" s="53" t="s">
        <v>572</v>
      </c>
      <c r="F12" s="30" t="s">
        <v>119</v>
      </c>
      <c r="G12" s="33">
        <v>1</v>
      </c>
      <c r="H12" s="35">
        <v>24</v>
      </c>
      <c r="I12" s="7">
        <v>10000</v>
      </c>
      <c r="J12" s="14">
        <v>3367</v>
      </c>
      <c r="K12" s="15">
        <f>L12</f>
        <v>0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9"/>
        <v>0</v>
      </c>
      <c r="AE12" s="36">
        <f t="shared" si="7"/>
        <v>0.52604166666666674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121</v>
      </c>
      <c r="D13" s="52" t="s">
        <v>115</v>
      </c>
      <c r="E13" s="53" t="s">
        <v>160</v>
      </c>
      <c r="F13" s="30" t="s">
        <v>124</v>
      </c>
      <c r="G13" s="33">
        <v>2</v>
      </c>
      <c r="H13" s="35">
        <v>24</v>
      </c>
      <c r="I13" s="7">
        <v>270000</v>
      </c>
      <c r="J13" s="5">
        <v>12358</v>
      </c>
      <c r="K13" s="15">
        <f>L13+10230+8758+7458+4298+5694+7524+3000+9774+6592+11326+12144+11050+10802+10910+9796+3412+4942+8464+12186+4876+12344+11648+11570+12232+12946+5214</f>
        <v>241548</v>
      </c>
      <c r="L13" s="15">
        <f>2964*2+3215*2</f>
        <v>12358</v>
      </c>
      <c r="M13" s="15">
        <f t="shared" si="0"/>
        <v>12358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>AC13*AB13*(1-O13)</f>
        <v>1</v>
      </c>
      <c r="AE13" s="36">
        <f t="shared" si="7"/>
        <v>0.52604166666666674</v>
      </c>
      <c r="AF13" s="84">
        <f t="shared" si="8"/>
        <v>8</v>
      </c>
    </row>
    <row r="14" spans="1:32" ht="27" customHeight="1">
      <c r="A14" s="106">
        <v>9</v>
      </c>
      <c r="B14" s="11" t="s">
        <v>57</v>
      </c>
      <c r="C14" s="34" t="s">
        <v>112</v>
      </c>
      <c r="D14" s="52" t="s">
        <v>115</v>
      </c>
      <c r="E14" s="53" t="s">
        <v>205</v>
      </c>
      <c r="F14" s="30" t="s">
        <v>132</v>
      </c>
      <c r="G14" s="33">
        <v>1</v>
      </c>
      <c r="H14" s="35">
        <v>24</v>
      </c>
      <c r="I14" s="7">
        <v>300</v>
      </c>
      <c r="J14" s="5">
        <v>260</v>
      </c>
      <c r="K14" s="15">
        <f>L14</f>
        <v>260</v>
      </c>
      <c r="L14" s="15">
        <v>260</v>
      </c>
      <c r="M14" s="15">
        <f t="shared" si="0"/>
        <v>260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9"/>
        <v>0.25</v>
      </c>
      <c r="AE14" s="36">
        <f t="shared" si="7"/>
        <v>0.52604166666666674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123</v>
      </c>
      <c r="D15" s="52"/>
      <c r="E15" s="53" t="s">
        <v>509</v>
      </c>
      <c r="F15" s="12" t="s">
        <v>140</v>
      </c>
      <c r="G15" s="12">
        <v>1</v>
      </c>
      <c r="H15" s="13">
        <v>24</v>
      </c>
      <c r="I15" s="31">
        <v>20000</v>
      </c>
      <c r="J15" s="14">
        <v>4849</v>
      </c>
      <c r="K15" s="15">
        <f>L15+2236+873+2158+5230+5277+5226+625</f>
        <v>26474</v>
      </c>
      <c r="L15" s="15">
        <f>2535+2314</f>
        <v>4849</v>
      </c>
      <c r="M15" s="15">
        <f t="shared" si="0"/>
        <v>4849</v>
      </c>
      <c r="N15" s="15">
        <v>0</v>
      </c>
      <c r="O15" s="58">
        <f t="shared" si="1"/>
        <v>0</v>
      </c>
      <c r="P15" s="39">
        <f t="shared" si="2"/>
        <v>22</v>
      </c>
      <c r="Q15" s="40">
        <f t="shared" si="3"/>
        <v>2</v>
      </c>
      <c r="R15" s="7"/>
      <c r="S15" s="6">
        <v>2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0.91666666666666663</v>
      </c>
      <c r="AD15" s="10">
        <f t="shared" si="6"/>
        <v>0.91666666666666663</v>
      </c>
      <c r="AE15" s="36">
        <f t="shared" si="7"/>
        <v>0.52604166666666674</v>
      </c>
      <c r="AF15" s="84">
        <f t="shared" si="8"/>
        <v>10</v>
      </c>
    </row>
    <row r="16" spans="1:32" ht="30" customHeight="1">
      <c r="A16" s="95">
        <v>11</v>
      </c>
      <c r="B16" s="11" t="s">
        <v>57</v>
      </c>
      <c r="C16" s="34" t="s">
        <v>120</v>
      </c>
      <c r="D16" s="52" t="s">
        <v>215</v>
      </c>
      <c r="E16" s="53" t="s">
        <v>216</v>
      </c>
      <c r="F16" s="30" t="s">
        <v>225</v>
      </c>
      <c r="G16" s="12">
        <v>1</v>
      </c>
      <c r="H16" s="13">
        <v>24</v>
      </c>
      <c r="I16" s="7">
        <v>500</v>
      </c>
      <c r="J16" s="14">
        <v>495</v>
      </c>
      <c r="K16" s="15">
        <f>L16+495</f>
        <v>495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>
        <v>24</v>
      </c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0.52604166666666674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121</v>
      </c>
      <c r="D17" s="52" t="s">
        <v>250</v>
      </c>
      <c r="E17" s="53" t="s">
        <v>533</v>
      </c>
      <c r="F17" s="30" t="s">
        <v>252</v>
      </c>
      <c r="G17" s="12">
        <v>1</v>
      </c>
      <c r="H17" s="13">
        <v>24</v>
      </c>
      <c r="I17" s="7">
        <v>500</v>
      </c>
      <c r="J17" s="14">
        <v>556</v>
      </c>
      <c r="K17" s="15">
        <f>L17+556</f>
        <v>556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0.52604166666666674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591</v>
      </c>
      <c r="E18" s="53" t="s">
        <v>363</v>
      </c>
      <c r="F18" s="30" t="s">
        <v>129</v>
      </c>
      <c r="G18" s="33" t="s">
        <v>164</v>
      </c>
      <c r="H18" s="35">
        <v>24</v>
      </c>
      <c r="I18" s="7">
        <v>1600</v>
      </c>
      <c r="J18" s="14">
        <v>1778</v>
      </c>
      <c r="K18" s="15">
        <f>L18+1778</f>
        <v>1778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0.52604166666666674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215</v>
      </c>
      <c r="E19" s="53" t="s">
        <v>586</v>
      </c>
      <c r="F19" s="30" t="s">
        <v>225</v>
      </c>
      <c r="G19" s="33">
        <v>1</v>
      </c>
      <c r="H19" s="35">
        <v>24</v>
      </c>
      <c r="I19" s="7">
        <v>33000</v>
      </c>
      <c r="J19" s="14">
        <v>5570</v>
      </c>
      <c r="K19" s="15">
        <f>L19+2330+2075+3595</f>
        <v>13570</v>
      </c>
      <c r="L19" s="15">
        <f>2663+2907</f>
        <v>5570</v>
      </c>
      <c r="M19" s="15">
        <f t="shared" si="0"/>
        <v>5570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0.52604166666666674</v>
      </c>
      <c r="AF19" s="84">
        <f t="shared" si="8"/>
        <v>14</v>
      </c>
    </row>
    <row r="20" spans="1:32" ht="27" customHeight="1">
      <c r="A20" s="113">
        <v>15</v>
      </c>
      <c r="B20" s="11" t="s">
        <v>57</v>
      </c>
      <c r="C20" s="34" t="s">
        <v>121</v>
      </c>
      <c r="D20" s="52" t="s">
        <v>115</v>
      </c>
      <c r="E20" s="53" t="s">
        <v>200</v>
      </c>
      <c r="F20" s="30" t="s">
        <v>124</v>
      </c>
      <c r="G20" s="12">
        <v>4</v>
      </c>
      <c r="H20" s="13">
        <v>28</v>
      </c>
      <c r="I20" s="31">
        <v>561000</v>
      </c>
      <c r="J20" s="5">
        <v>22424</v>
      </c>
      <c r="K20" s="15">
        <f>L20+14284+8352+12576+8310+15524+17860</f>
        <v>99330</v>
      </c>
      <c r="L20" s="15">
        <f>2644*4+2962*4</f>
        <v>22424</v>
      </c>
      <c r="M20" s="15">
        <f t="shared" si="0"/>
        <v>22424</v>
      </c>
      <c r="N20" s="15">
        <v>0</v>
      </c>
      <c r="O20" s="58">
        <f t="shared" si="1"/>
        <v>0</v>
      </c>
      <c r="P20" s="39">
        <f t="shared" si="2"/>
        <v>21</v>
      </c>
      <c r="Q20" s="40">
        <f t="shared" si="3"/>
        <v>3</v>
      </c>
      <c r="R20" s="7">
        <v>3</v>
      </c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0.875</v>
      </c>
      <c r="AD20" s="10">
        <f t="shared" si="6"/>
        <v>0.875</v>
      </c>
      <c r="AE20" s="36">
        <f t="shared" si="7"/>
        <v>0.52604166666666674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134</v>
      </c>
      <c r="F21" s="12" t="s">
        <v>114</v>
      </c>
      <c r="G21" s="12">
        <v>4</v>
      </c>
      <c r="H21" s="35">
        <v>20</v>
      </c>
      <c r="I21" s="7">
        <v>500000</v>
      </c>
      <c r="J21" s="14">
        <v>35864</v>
      </c>
      <c r="K21" s="15">
        <f>L21+31044+37988+37244+33716+33120+36632+37384+35548+36784+32300</f>
        <v>387624</v>
      </c>
      <c r="L21" s="15">
        <f>8966*4</f>
        <v>35864</v>
      </c>
      <c r="M21" s="15">
        <f t="shared" si="0"/>
        <v>35864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/>
      <c r="T21" s="16"/>
      <c r="U21" s="16"/>
      <c r="V21" s="17">
        <v>11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0.52604166666666674</v>
      </c>
      <c r="AF21" s="84">
        <f t="shared" si="8"/>
        <v>16</v>
      </c>
    </row>
    <row r="22" spans="1:32" ht="31.5" customHeight="1" thickBot="1">
      <c r="A22" s="529" t="s">
        <v>34</v>
      </c>
      <c r="B22" s="530"/>
      <c r="C22" s="530"/>
      <c r="D22" s="530"/>
      <c r="E22" s="530"/>
      <c r="F22" s="530"/>
      <c r="G22" s="530"/>
      <c r="H22" s="531"/>
      <c r="I22" s="22">
        <f t="shared" ref="I22:N22" si="10">SUM(I6:I21)</f>
        <v>2703400</v>
      </c>
      <c r="J22" s="19">
        <f t="shared" si="10"/>
        <v>149614</v>
      </c>
      <c r="K22" s="20">
        <f t="shared" si="10"/>
        <v>1400813</v>
      </c>
      <c r="L22" s="21">
        <f t="shared" si="10"/>
        <v>140162</v>
      </c>
      <c r="M22" s="20">
        <f t="shared" si="10"/>
        <v>140162</v>
      </c>
      <c r="N22" s="21">
        <f t="shared" si="10"/>
        <v>0</v>
      </c>
      <c r="O22" s="41">
        <f t="shared" si="1"/>
        <v>0</v>
      </c>
      <c r="P22" s="42">
        <f t="shared" ref="P22:AA22" si="11">SUM(P6:P21)</f>
        <v>202</v>
      </c>
      <c r="Q22" s="43">
        <f t="shared" si="11"/>
        <v>182</v>
      </c>
      <c r="R22" s="23">
        <f t="shared" si="11"/>
        <v>27</v>
      </c>
      <c r="S22" s="24">
        <f t="shared" si="11"/>
        <v>44</v>
      </c>
      <c r="T22" s="24">
        <f t="shared" si="11"/>
        <v>0</v>
      </c>
      <c r="U22" s="24">
        <f t="shared" si="11"/>
        <v>0</v>
      </c>
      <c r="V22" s="25">
        <f t="shared" si="11"/>
        <v>11</v>
      </c>
      <c r="W22" s="26">
        <f t="shared" si="11"/>
        <v>52</v>
      </c>
      <c r="X22" s="27">
        <f t="shared" si="11"/>
        <v>0</v>
      </c>
      <c r="Y22" s="27">
        <f t="shared" si="11"/>
        <v>0</v>
      </c>
      <c r="Z22" s="27">
        <f t="shared" si="11"/>
        <v>0</v>
      </c>
      <c r="AA22" s="27">
        <f t="shared" si="11"/>
        <v>48</v>
      </c>
      <c r="AB22" s="28">
        <f>AVERAGE(AB6:AB21)</f>
        <v>0.625</v>
      </c>
      <c r="AC22" s="4">
        <f>AVERAGE(AC6:AC21)</f>
        <v>0.52604166666666674</v>
      </c>
      <c r="AD22" s="4">
        <f>AVERAGE(AD6:AD21)</f>
        <v>0.52604166666666674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32" t="s">
        <v>45</v>
      </c>
      <c r="B49" s="532"/>
      <c r="C49" s="532"/>
      <c r="D49" s="532"/>
      <c r="E49" s="53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33" t="s">
        <v>614</v>
      </c>
      <c r="B50" s="534"/>
      <c r="C50" s="534"/>
      <c r="D50" s="534"/>
      <c r="E50" s="534"/>
      <c r="F50" s="534"/>
      <c r="G50" s="534"/>
      <c r="H50" s="534"/>
      <c r="I50" s="534"/>
      <c r="J50" s="534"/>
      <c r="K50" s="534"/>
      <c r="L50" s="534"/>
      <c r="M50" s="535"/>
      <c r="N50" s="536" t="s">
        <v>617</v>
      </c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8"/>
    </row>
    <row r="51" spans="1:32" ht="27" customHeight="1">
      <c r="A51" s="539" t="s">
        <v>2</v>
      </c>
      <c r="B51" s="540"/>
      <c r="C51" s="442" t="s">
        <v>46</v>
      </c>
      <c r="D51" s="442" t="s">
        <v>47</v>
      </c>
      <c r="E51" s="442" t="s">
        <v>107</v>
      </c>
      <c r="F51" s="541" t="s">
        <v>106</v>
      </c>
      <c r="G51" s="542"/>
      <c r="H51" s="542"/>
      <c r="I51" s="542"/>
      <c r="J51" s="542"/>
      <c r="K51" s="542"/>
      <c r="L51" s="542"/>
      <c r="M51" s="543"/>
      <c r="N51" s="67" t="s">
        <v>110</v>
      </c>
      <c r="O51" s="442" t="s">
        <v>46</v>
      </c>
      <c r="P51" s="541" t="s">
        <v>47</v>
      </c>
      <c r="Q51" s="544"/>
      <c r="R51" s="541" t="s">
        <v>38</v>
      </c>
      <c r="S51" s="542"/>
      <c r="T51" s="542"/>
      <c r="U51" s="544"/>
      <c r="V51" s="541" t="s">
        <v>48</v>
      </c>
      <c r="W51" s="542"/>
      <c r="X51" s="542"/>
      <c r="Y51" s="542"/>
      <c r="Z51" s="542"/>
      <c r="AA51" s="542"/>
      <c r="AB51" s="542"/>
      <c r="AC51" s="542"/>
      <c r="AD51" s="543"/>
    </row>
    <row r="52" spans="1:32" ht="27" customHeight="1">
      <c r="A52" s="567" t="s">
        <v>112</v>
      </c>
      <c r="B52" s="568"/>
      <c r="C52" s="444" t="s">
        <v>210</v>
      </c>
      <c r="D52" s="444" t="s">
        <v>115</v>
      </c>
      <c r="E52" s="439" t="s">
        <v>205</v>
      </c>
      <c r="F52" s="512" t="s">
        <v>597</v>
      </c>
      <c r="G52" s="513"/>
      <c r="H52" s="513"/>
      <c r="I52" s="513"/>
      <c r="J52" s="513"/>
      <c r="K52" s="513"/>
      <c r="L52" s="513"/>
      <c r="M52" s="514"/>
      <c r="N52" s="438" t="s">
        <v>123</v>
      </c>
      <c r="O52" s="436" t="s">
        <v>267</v>
      </c>
      <c r="P52" s="524" t="s">
        <v>115</v>
      </c>
      <c r="Q52" s="525"/>
      <c r="R52" s="524" t="s">
        <v>572</v>
      </c>
      <c r="S52" s="526"/>
      <c r="T52" s="526"/>
      <c r="U52" s="525"/>
      <c r="V52" s="496" t="s">
        <v>180</v>
      </c>
      <c r="W52" s="496"/>
      <c r="X52" s="496"/>
      <c r="Y52" s="496"/>
      <c r="Z52" s="496"/>
      <c r="AA52" s="496"/>
      <c r="AB52" s="496"/>
      <c r="AC52" s="496"/>
      <c r="AD52" s="515"/>
    </row>
    <row r="53" spans="1:32" ht="27" customHeight="1">
      <c r="A53" s="567" t="s">
        <v>123</v>
      </c>
      <c r="B53" s="568"/>
      <c r="C53" s="444" t="s">
        <v>267</v>
      </c>
      <c r="D53" s="444"/>
      <c r="E53" s="439" t="s">
        <v>572</v>
      </c>
      <c r="F53" s="512" t="s">
        <v>615</v>
      </c>
      <c r="G53" s="513"/>
      <c r="H53" s="513"/>
      <c r="I53" s="513"/>
      <c r="J53" s="513"/>
      <c r="K53" s="513"/>
      <c r="L53" s="513"/>
      <c r="M53" s="514"/>
      <c r="N53" s="438" t="s">
        <v>123</v>
      </c>
      <c r="O53" s="436" t="s">
        <v>284</v>
      </c>
      <c r="P53" s="524"/>
      <c r="Q53" s="525"/>
      <c r="R53" s="524" t="s">
        <v>618</v>
      </c>
      <c r="S53" s="526"/>
      <c r="T53" s="526"/>
      <c r="U53" s="525"/>
      <c r="V53" s="496" t="s">
        <v>118</v>
      </c>
      <c r="W53" s="496"/>
      <c r="X53" s="496"/>
      <c r="Y53" s="496"/>
      <c r="Z53" s="496"/>
      <c r="AA53" s="496"/>
      <c r="AB53" s="496"/>
      <c r="AC53" s="496"/>
      <c r="AD53" s="515"/>
    </row>
    <row r="54" spans="1:32" ht="27" customHeight="1">
      <c r="A54" s="567" t="s">
        <v>123</v>
      </c>
      <c r="B54" s="568"/>
      <c r="C54" s="444" t="s">
        <v>174</v>
      </c>
      <c r="D54" s="444"/>
      <c r="E54" s="439" t="s">
        <v>509</v>
      </c>
      <c r="F54" s="512" t="s">
        <v>180</v>
      </c>
      <c r="G54" s="513"/>
      <c r="H54" s="513"/>
      <c r="I54" s="513"/>
      <c r="J54" s="513"/>
      <c r="K54" s="513"/>
      <c r="L54" s="513"/>
      <c r="M54" s="514"/>
      <c r="N54" s="438" t="s">
        <v>123</v>
      </c>
      <c r="O54" s="436" t="s">
        <v>284</v>
      </c>
      <c r="P54" s="524"/>
      <c r="Q54" s="525"/>
      <c r="R54" s="524" t="s">
        <v>619</v>
      </c>
      <c r="S54" s="526"/>
      <c r="T54" s="526"/>
      <c r="U54" s="525"/>
      <c r="V54" s="496" t="s">
        <v>118</v>
      </c>
      <c r="W54" s="496"/>
      <c r="X54" s="496"/>
      <c r="Y54" s="496"/>
      <c r="Z54" s="496"/>
      <c r="AA54" s="496"/>
      <c r="AB54" s="496"/>
      <c r="AC54" s="496"/>
      <c r="AD54" s="515"/>
    </row>
    <row r="55" spans="1:32" ht="27" customHeight="1">
      <c r="A55" s="567" t="s">
        <v>121</v>
      </c>
      <c r="B55" s="568"/>
      <c r="C55" s="444" t="s">
        <v>203</v>
      </c>
      <c r="D55" s="444" t="s">
        <v>115</v>
      </c>
      <c r="E55" s="439" t="s">
        <v>417</v>
      </c>
      <c r="F55" s="512" t="s">
        <v>616</v>
      </c>
      <c r="G55" s="513"/>
      <c r="H55" s="513"/>
      <c r="I55" s="513"/>
      <c r="J55" s="513"/>
      <c r="K55" s="513"/>
      <c r="L55" s="513"/>
      <c r="M55" s="514"/>
      <c r="N55" s="438" t="s">
        <v>112</v>
      </c>
      <c r="O55" s="436" t="s">
        <v>148</v>
      </c>
      <c r="P55" s="524"/>
      <c r="Q55" s="525"/>
      <c r="R55" s="524" t="s">
        <v>620</v>
      </c>
      <c r="S55" s="526"/>
      <c r="T55" s="526"/>
      <c r="U55" s="525"/>
      <c r="V55" s="496" t="s">
        <v>118</v>
      </c>
      <c r="W55" s="496"/>
      <c r="X55" s="496"/>
      <c r="Y55" s="496"/>
      <c r="Z55" s="496"/>
      <c r="AA55" s="496"/>
      <c r="AB55" s="496"/>
      <c r="AC55" s="496"/>
      <c r="AD55" s="515"/>
    </row>
    <row r="56" spans="1:32" ht="27" customHeight="1">
      <c r="A56" s="510"/>
      <c r="B56" s="511"/>
      <c r="C56" s="439"/>
      <c r="D56" s="439"/>
      <c r="E56" s="439"/>
      <c r="F56" s="512"/>
      <c r="G56" s="513"/>
      <c r="H56" s="513"/>
      <c r="I56" s="513"/>
      <c r="J56" s="513"/>
      <c r="K56" s="513"/>
      <c r="L56" s="513"/>
      <c r="M56" s="514"/>
      <c r="N56" s="438" t="s">
        <v>112</v>
      </c>
      <c r="O56" s="436" t="s">
        <v>197</v>
      </c>
      <c r="P56" s="524"/>
      <c r="Q56" s="525"/>
      <c r="R56" s="524" t="s">
        <v>621</v>
      </c>
      <c r="S56" s="526"/>
      <c r="T56" s="526"/>
      <c r="U56" s="525"/>
      <c r="V56" s="496" t="s">
        <v>118</v>
      </c>
      <c r="W56" s="496"/>
      <c r="X56" s="496"/>
      <c r="Y56" s="496"/>
      <c r="Z56" s="496"/>
      <c r="AA56" s="496"/>
      <c r="AB56" s="496"/>
      <c r="AC56" s="496"/>
      <c r="AD56" s="515"/>
    </row>
    <row r="57" spans="1:32" ht="27" customHeight="1">
      <c r="A57" s="510"/>
      <c r="B57" s="511"/>
      <c r="C57" s="439"/>
      <c r="D57" s="439"/>
      <c r="E57" s="439"/>
      <c r="F57" s="512"/>
      <c r="G57" s="513"/>
      <c r="H57" s="513"/>
      <c r="I57" s="513"/>
      <c r="J57" s="513"/>
      <c r="K57" s="513"/>
      <c r="L57" s="513"/>
      <c r="M57" s="514"/>
      <c r="N57" s="438" t="s">
        <v>113</v>
      </c>
      <c r="O57" s="436" t="s">
        <v>184</v>
      </c>
      <c r="P57" s="524"/>
      <c r="Q57" s="525"/>
      <c r="R57" s="524" t="s">
        <v>312</v>
      </c>
      <c r="S57" s="526"/>
      <c r="T57" s="526"/>
      <c r="U57" s="525"/>
      <c r="V57" s="496" t="s">
        <v>118</v>
      </c>
      <c r="W57" s="496"/>
      <c r="X57" s="496"/>
      <c r="Y57" s="496"/>
      <c r="Z57" s="496"/>
      <c r="AA57" s="496"/>
      <c r="AB57" s="496"/>
      <c r="AC57" s="496"/>
      <c r="AD57" s="515"/>
    </row>
    <row r="58" spans="1:32" ht="27" customHeight="1">
      <c r="A58" s="567"/>
      <c r="B58" s="568"/>
      <c r="C58" s="444"/>
      <c r="D58" s="444"/>
      <c r="E58" s="439"/>
      <c r="F58" s="512"/>
      <c r="G58" s="513"/>
      <c r="H58" s="513"/>
      <c r="I58" s="513"/>
      <c r="J58" s="513"/>
      <c r="K58" s="513"/>
      <c r="L58" s="513"/>
      <c r="M58" s="514"/>
      <c r="N58" s="438"/>
      <c r="O58" s="436"/>
      <c r="P58" s="524"/>
      <c r="Q58" s="525"/>
      <c r="R58" s="511"/>
      <c r="S58" s="511"/>
      <c r="T58" s="511"/>
      <c r="U58" s="511"/>
      <c r="V58" s="496"/>
      <c r="W58" s="496"/>
      <c r="X58" s="496"/>
      <c r="Y58" s="496"/>
      <c r="Z58" s="496"/>
      <c r="AA58" s="496"/>
      <c r="AB58" s="496"/>
      <c r="AC58" s="496"/>
      <c r="AD58" s="515"/>
    </row>
    <row r="59" spans="1:32" ht="27" customHeight="1">
      <c r="A59" s="567"/>
      <c r="B59" s="568"/>
      <c r="C59" s="444"/>
      <c r="D59" s="444"/>
      <c r="E59" s="439"/>
      <c r="F59" s="512"/>
      <c r="G59" s="513"/>
      <c r="H59" s="513"/>
      <c r="I59" s="513"/>
      <c r="J59" s="513"/>
      <c r="K59" s="513"/>
      <c r="L59" s="513"/>
      <c r="M59" s="514"/>
      <c r="N59" s="438"/>
      <c r="O59" s="436"/>
      <c r="P59" s="524"/>
      <c r="Q59" s="525"/>
      <c r="R59" s="511"/>
      <c r="S59" s="511"/>
      <c r="T59" s="511"/>
      <c r="U59" s="511"/>
      <c r="V59" s="496"/>
      <c r="W59" s="496"/>
      <c r="X59" s="496"/>
      <c r="Y59" s="496"/>
      <c r="Z59" s="496"/>
      <c r="AA59" s="496"/>
      <c r="AB59" s="496"/>
      <c r="AC59" s="496"/>
      <c r="AD59" s="515"/>
    </row>
    <row r="60" spans="1:32" ht="27" customHeight="1">
      <c r="A60" s="510"/>
      <c r="B60" s="511"/>
      <c r="C60" s="439"/>
      <c r="D60" s="439"/>
      <c r="E60" s="439"/>
      <c r="F60" s="512"/>
      <c r="G60" s="513"/>
      <c r="H60" s="513"/>
      <c r="I60" s="513"/>
      <c r="J60" s="513"/>
      <c r="K60" s="513"/>
      <c r="L60" s="513"/>
      <c r="M60" s="514"/>
      <c r="N60" s="438"/>
      <c r="O60" s="436"/>
      <c r="P60" s="511"/>
      <c r="Q60" s="511"/>
      <c r="R60" s="511"/>
      <c r="S60" s="511"/>
      <c r="T60" s="511"/>
      <c r="U60" s="511"/>
      <c r="V60" s="496"/>
      <c r="W60" s="496"/>
      <c r="X60" s="496"/>
      <c r="Y60" s="496"/>
      <c r="Z60" s="496"/>
      <c r="AA60" s="496"/>
      <c r="AB60" s="496"/>
      <c r="AC60" s="496"/>
      <c r="AD60" s="515"/>
      <c r="AF60" s="84">
        <f>8*3000</f>
        <v>24000</v>
      </c>
    </row>
    <row r="61" spans="1:32" ht="27" customHeight="1" thickBot="1">
      <c r="A61" s="516"/>
      <c r="B61" s="517"/>
      <c r="C61" s="440"/>
      <c r="D61" s="441"/>
      <c r="E61" s="441"/>
      <c r="F61" s="518"/>
      <c r="G61" s="519"/>
      <c r="H61" s="519"/>
      <c r="I61" s="519"/>
      <c r="J61" s="519"/>
      <c r="K61" s="519"/>
      <c r="L61" s="519"/>
      <c r="M61" s="520"/>
      <c r="N61" s="112"/>
      <c r="O61" s="103"/>
      <c r="P61" s="521"/>
      <c r="Q61" s="521"/>
      <c r="R61" s="521"/>
      <c r="S61" s="521"/>
      <c r="T61" s="521"/>
      <c r="U61" s="521"/>
      <c r="V61" s="522"/>
      <c r="W61" s="522"/>
      <c r="X61" s="522"/>
      <c r="Y61" s="522"/>
      <c r="Z61" s="522"/>
      <c r="AA61" s="522"/>
      <c r="AB61" s="522"/>
      <c r="AC61" s="522"/>
      <c r="AD61" s="523"/>
      <c r="AF61" s="84">
        <f>16*3000</f>
        <v>48000</v>
      </c>
    </row>
    <row r="62" spans="1:32" ht="27.75" thickBot="1">
      <c r="A62" s="508" t="s">
        <v>622</v>
      </c>
      <c r="B62" s="508"/>
      <c r="C62" s="508"/>
      <c r="D62" s="508"/>
      <c r="E62" s="508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509" t="s">
        <v>111</v>
      </c>
      <c r="B63" s="503"/>
      <c r="C63" s="437" t="s">
        <v>2</v>
      </c>
      <c r="D63" s="437" t="s">
        <v>37</v>
      </c>
      <c r="E63" s="437" t="s">
        <v>3</v>
      </c>
      <c r="F63" s="503" t="s">
        <v>109</v>
      </c>
      <c r="G63" s="503"/>
      <c r="H63" s="503"/>
      <c r="I63" s="503"/>
      <c r="J63" s="503"/>
      <c r="K63" s="503" t="s">
        <v>39</v>
      </c>
      <c r="L63" s="503"/>
      <c r="M63" s="437" t="s">
        <v>40</v>
      </c>
      <c r="N63" s="503" t="s">
        <v>41</v>
      </c>
      <c r="O63" s="503"/>
      <c r="P63" s="500" t="s">
        <v>42</v>
      </c>
      <c r="Q63" s="502"/>
      <c r="R63" s="500" t="s">
        <v>43</v>
      </c>
      <c r="S63" s="501"/>
      <c r="T63" s="501"/>
      <c r="U63" s="501"/>
      <c r="V63" s="501"/>
      <c r="W63" s="501"/>
      <c r="X63" s="501"/>
      <c r="Y63" s="501"/>
      <c r="Z63" s="501"/>
      <c r="AA63" s="502"/>
      <c r="AB63" s="503" t="s">
        <v>44</v>
      </c>
      <c r="AC63" s="503"/>
      <c r="AD63" s="504"/>
      <c r="AF63" s="84">
        <f>SUM(AF60:AF62)</f>
        <v>96000</v>
      </c>
    </row>
    <row r="64" spans="1:32" ht="25.5" customHeight="1">
      <c r="A64" s="491">
        <v>1</v>
      </c>
      <c r="B64" s="492"/>
      <c r="C64" s="105" t="s">
        <v>121</v>
      </c>
      <c r="D64" s="432"/>
      <c r="E64" s="435" t="s">
        <v>150</v>
      </c>
      <c r="F64" s="497" t="s">
        <v>623</v>
      </c>
      <c r="G64" s="498"/>
      <c r="H64" s="498"/>
      <c r="I64" s="498"/>
      <c r="J64" s="499"/>
      <c r="K64" s="485" t="s">
        <v>124</v>
      </c>
      <c r="L64" s="485"/>
      <c r="M64" s="51" t="s">
        <v>436</v>
      </c>
      <c r="N64" s="494" t="s">
        <v>197</v>
      </c>
      <c r="O64" s="494"/>
      <c r="P64" s="495">
        <v>200</v>
      </c>
      <c r="Q64" s="495"/>
      <c r="R64" s="496" t="s">
        <v>624</v>
      </c>
      <c r="S64" s="496"/>
      <c r="T64" s="496"/>
      <c r="U64" s="496"/>
      <c r="V64" s="496"/>
      <c r="W64" s="496"/>
      <c r="X64" s="496"/>
      <c r="Y64" s="496"/>
      <c r="Z64" s="496"/>
      <c r="AA64" s="496"/>
      <c r="AB64" s="505"/>
      <c r="AC64" s="506"/>
      <c r="AD64" s="507"/>
      <c r="AF64" s="50"/>
    </row>
    <row r="65" spans="1:32" ht="25.5" customHeight="1">
      <c r="A65" s="491">
        <v>2</v>
      </c>
      <c r="B65" s="492"/>
      <c r="C65" s="105" t="s">
        <v>120</v>
      </c>
      <c r="D65" s="432"/>
      <c r="E65" s="435" t="s">
        <v>115</v>
      </c>
      <c r="F65" s="497" t="s">
        <v>459</v>
      </c>
      <c r="G65" s="498"/>
      <c r="H65" s="498"/>
      <c r="I65" s="498"/>
      <c r="J65" s="499"/>
      <c r="K65" s="485" t="s">
        <v>119</v>
      </c>
      <c r="L65" s="485"/>
      <c r="M65" s="51" t="s">
        <v>188</v>
      </c>
      <c r="N65" s="494" t="s">
        <v>197</v>
      </c>
      <c r="O65" s="494"/>
      <c r="P65" s="495">
        <v>200</v>
      </c>
      <c r="Q65" s="495"/>
      <c r="R65" s="496" t="s">
        <v>625</v>
      </c>
      <c r="S65" s="496"/>
      <c r="T65" s="496"/>
      <c r="U65" s="496"/>
      <c r="V65" s="496"/>
      <c r="W65" s="496"/>
      <c r="X65" s="496"/>
      <c r="Y65" s="496"/>
      <c r="Z65" s="496"/>
      <c r="AA65" s="496"/>
      <c r="AB65" s="485"/>
      <c r="AC65" s="485"/>
      <c r="AD65" s="486"/>
      <c r="AF65" s="50"/>
    </row>
    <row r="66" spans="1:32" ht="25.5" customHeight="1">
      <c r="A66" s="491">
        <v>3</v>
      </c>
      <c r="B66" s="492"/>
      <c r="C66" s="105" t="s">
        <v>120</v>
      </c>
      <c r="D66" s="432"/>
      <c r="E66" s="435" t="s">
        <v>141</v>
      </c>
      <c r="F66" s="493" t="s">
        <v>541</v>
      </c>
      <c r="G66" s="485"/>
      <c r="H66" s="485"/>
      <c r="I66" s="485"/>
      <c r="J66" s="485"/>
      <c r="K66" s="485" t="s">
        <v>225</v>
      </c>
      <c r="L66" s="485"/>
      <c r="M66" s="51" t="s">
        <v>188</v>
      </c>
      <c r="N66" s="494" t="s">
        <v>197</v>
      </c>
      <c r="O66" s="494"/>
      <c r="P66" s="495">
        <v>200</v>
      </c>
      <c r="Q66" s="495"/>
      <c r="R66" s="496"/>
      <c r="S66" s="496"/>
      <c r="T66" s="496"/>
      <c r="U66" s="496"/>
      <c r="V66" s="496"/>
      <c r="W66" s="496"/>
      <c r="X66" s="496"/>
      <c r="Y66" s="496"/>
      <c r="Z66" s="496"/>
      <c r="AA66" s="496"/>
      <c r="AB66" s="485"/>
      <c r="AC66" s="485"/>
      <c r="AD66" s="486"/>
      <c r="AF66" s="50"/>
    </row>
    <row r="67" spans="1:32" ht="25.5" customHeight="1">
      <c r="A67" s="491">
        <v>4</v>
      </c>
      <c r="B67" s="492"/>
      <c r="C67" s="105"/>
      <c r="D67" s="432"/>
      <c r="E67" s="435"/>
      <c r="F67" s="497"/>
      <c r="G67" s="498"/>
      <c r="H67" s="498"/>
      <c r="I67" s="498"/>
      <c r="J67" s="499"/>
      <c r="K67" s="485"/>
      <c r="L67" s="485"/>
      <c r="M67" s="51"/>
      <c r="N67" s="494"/>
      <c r="O67" s="494"/>
      <c r="P67" s="495"/>
      <c r="Q67" s="495"/>
      <c r="R67" s="496"/>
      <c r="S67" s="496"/>
      <c r="T67" s="496"/>
      <c r="U67" s="496"/>
      <c r="V67" s="496"/>
      <c r="W67" s="496"/>
      <c r="X67" s="496"/>
      <c r="Y67" s="496"/>
      <c r="Z67" s="496"/>
      <c r="AA67" s="496"/>
      <c r="AB67" s="485"/>
      <c r="AC67" s="485"/>
      <c r="AD67" s="486"/>
      <c r="AF67" s="50"/>
    </row>
    <row r="68" spans="1:32" ht="25.5" customHeight="1">
      <c r="A68" s="491">
        <v>5</v>
      </c>
      <c r="B68" s="492"/>
      <c r="C68" s="105"/>
      <c r="D68" s="432"/>
      <c r="E68" s="435"/>
      <c r="F68" s="497"/>
      <c r="G68" s="498"/>
      <c r="H68" s="498"/>
      <c r="I68" s="498"/>
      <c r="J68" s="499"/>
      <c r="K68" s="485"/>
      <c r="L68" s="485"/>
      <c r="M68" s="51"/>
      <c r="N68" s="494"/>
      <c r="O68" s="494"/>
      <c r="P68" s="495"/>
      <c r="Q68" s="495"/>
      <c r="R68" s="496"/>
      <c r="S68" s="496"/>
      <c r="T68" s="496"/>
      <c r="U68" s="496"/>
      <c r="V68" s="496"/>
      <c r="W68" s="496"/>
      <c r="X68" s="496"/>
      <c r="Y68" s="496"/>
      <c r="Z68" s="496"/>
      <c r="AA68" s="496"/>
      <c r="AB68" s="485"/>
      <c r="AC68" s="485"/>
      <c r="AD68" s="486"/>
      <c r="AF68" s="50"/>
    </row>
    <row r="69" spans="1:32" ht="25.5" customHeight="1">
      <c r="A69" s="491">
        <v>6</v>
      </c>
      <c r="B69" s="492"/>
      <c r="C69" s="105"/>
      <c r="D69" s="432"/>
      <c r="E69" s="435"/>
      <c r="F69" s="497"/>
      <c r="G69" s="498"/>
      <c r="H69" s="498"/>
      <c r="I69" s="498"/>
      <c r="J69" s="499"/>
      <c r="K69" s="485"/>
      <c r="L69" s="485"/>
      <c r="M69" s="51"/>
      <c r="N69" s="494"/>
      <c r="O69" s="494"/>
      <c r="P69" s="495"/>
      <c r="Q69" s="495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85"/>
      <c r="AC69" s="485"/>
      <c r="AD69" s="486"/>
      <c r="AF69" s="50"/>
    </row>
    <row r="70" spans="1:32" ht="25.5" customHeight="1">
      <c r="A70" s="491">
        <v>7</v>
      </c>
      <c r="B70" s="492"/>
      <c r="C70" s="105"/>
      <c r="D70" s="432"/>
      <c r="E70" s="435"/>
      <c r="F70" s="493"/>
      <c r="G70" s="485"/>
      <c r="H70" s="485"/>
      <c r="I70" s="485"/>
      <c r="J70" s="485"/>
      <c r="K70" s="485"/>
      <c r="L70" s="485"/>
      <c r="M70" s="51"/>
      <c r="N70" s="494"/>
      <c r="O70" s="494"/>
      <c r="P70" s="495"/>
      <c r="Q70" s="495"/>
      <c r="R70" s="496"/>
      <c r="S70" s="496"/>
      <c r="T70" s="496"/>
      <c r="U70" s="496"/>
      <c r="V70" s="496"/>
      <c r="W70" s="496"/>
      <c r="X70" s="496"/>
      <c r="Y70" s="496"/>
      <c r="Z70" s="496"/>
      <c r="AA70" s="496"/>
      <c r="AB70" s="485"/>
      <c r="AC70" s="485"/>
      <c r="AD70" s="486"/>
      <c r="AF70" s="50"/>
    </row>
    <row r="71" spans="1:32" ht="25.5" customHeight="1">
      <c r="A71" s="491">
        <v>8</v>
      </c>
      <c r="B71" s="492"/>
      <c r="C71" s="105"/>
      <c r="D71" s="432"/>
      <c r="E71" s="435"/>
      <c r="F71" s="493"/>
      <c r="G71" s="485"/>
      <c r="H71" s="485"/>
      <c r="I71" s="485"/>
      <c r="J71" s="485"/>
      <c r="K71" s="485"/>
      <c r="L71" s="485"/>
      <c r="M71" s="51"/>
      <c r="N71" s="494"/>
      <c r="O71" s="494"/>
      <c r="P71" s="495"/>
      <c r="Q71" s="495"/>
      <c r="R71" s="496"/>
      <c r="S71" s="496"/>
      <c r="T71" s="496"/>
      <c r="U71" s="496"/>
      <c r="V71" s="496"/>
      <c r="W71" s="496"/>
      <c r="X71" s="496"/>
      <c r="Y71" s="496"/>
      <c r="Z71" s="496"/>
      <c r="AA71" s="496"/>
      <c r="AB71" s="485"/>
      <c r="AC71" s="485"/>
      <c r="AD71" s="486"/>
      <c r="AF71" s="50"/>
    </row>
    <row r="72" spans="1:32" ht="25.5" customHeight="1">
      <c r="A72" s="491">
        <v>9</v>
      </c>
      <c r="B72" s="492"/>
      <c r="C72" s="105"/>
      <c r="D72" s="432"/>
      <c r="E72" s="435"/>
      <c r="F72" s="493"/>
      <c r="G72" s="485"/>
      <c r="H72" s="485"/>
      <c r="I72" s="485"/>
      <c r="J72" s="485"/>
      <c r="K72" s="485"/>
      <c r="L72" s="485"/>
      <c r="M72" s="51"/>
      <c r="N72" s="494"/>
      <c r="O72" s="494"/>
      <c r="P72" s="495"/>
      <c r="Q72" s="495"/>
      <c r="R72" s="496"/>
      <c r="S72" s="496"/>
      <c r="T72" s="496"/>
      <c r="U72" s="496"/>
      <c r="V72" s="496"/>
      <c r="W72" s="496"/>
      <c r="X72" s="496"/>
      <c r="Y72" s="496"/>
      <c r="Z72" s="496"/>
      <c r="AA72" s="496"/>
      <c r="AB72" s="485"/>
      <c r="AC72" s="485"/>
      <c r="AD72" s="486"/>
      <c r="AF72" s="50"/>
    </row>
    <row r="73" spans="1:32" ht="25.5" customHeight="1">
      <c r="A73" s="491">
        <v>10</v>
      </c>
      <c r="B73" s="492"/>
      <c r="C73" s="105"/>
      <c r="D73" s="432"/>
      <c r="E73" s="435"/>
      <c r="F73" s="493"/>
      <c r="G73" s="485"/>
      <c r="H73" s="485"/>
      <c r="I73" s="485"/>
      <c r="J73" s="485"/>
      <c r="K73" s="485"/>
      <c r="L73" s="485"/>
      <c r="M73" s="51"/>
      <c r="N73" s="494"/>
      <c r="O73" s="494"/>
      <c r="P73" s="495"/>
      <c r="Q73" s="495"/>
      <c r="R73" s="496"/>
      <c r="S73" s="496"/>
      <c r="T73" s="496"/>
      <c r="U73" s="496"/>
      <c r="V73" s="496"/>
      <c r="W73" s="496"/>
      <c r="X73" s="496"/>
      <c r="Y73" s="496"/>
      <c r="Z73" s="496"/>
      <c r="AA73" s="496"/>
      <c r="AB73" s="485"/>
      <c r="AC73" s="485"/>
      <c r="AD73" s="486"/>
      <c r="AF73" s="50"/>
    </row>
    <row r="74" spans="1:32" ht="26.25" customHeight="1" thickBot="1">
      <c r="A74" s="465" t="s">
        <v>626</v>
      </c>
      <c r="B74" s="465"/>
      <c r="C74" s="465"/>
      <c r="D74" s="465"/>
      <c r="E74" s="465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66" t="s">
        <v>111</v>
      </c>
      <c r="B75" s="467"/>
      <c r="C75" s="434" t="s">
        <v>2</v>
      </c>
      <c r="D75" s="434" t="s">
        <v>37</v>
      </c>
      <c r="E75" s="434" t="s">
        <v>273</v>
      </c>
      <c r="F75" s="467" t="s">
        <v>38</v>
      </c>
      <c r="G75" s="467"/>
      <c r="H75" s="467"/>
      <c r="I75" s="467"/>
      <c r="J75" s="467"/>
      <c r="K75" s="487" t="s">
        <v>58</v>
      </c>
      <c r="L75" s="488"/>
      <c r="M75" s="488"/>
      <c r="N75" s="488"/>
      <c r="O75" s="488"/>
      <c r="P75" s="488"/>
      <c r="Q75" s="488"/>
      <c r="R75" s="488"/>
      <c r="S75" s="489"/>
      <c r="T75" s="467" t="s">
        <v>49</v>
      </c>
      <c r="U75" s="467"/>
      <c r="V75" s="487" t="s">
        <v>50</v>
      </c>
      <c r="W75" s="489"/>
      <c r="X75" s="488" t="s">
        <v>51</v>
      </c>
      <c r="Y75" s="488"/>
      <c r="Z75" s="488"/>
      <c r="AA75" s="488"/>
      <c r="AB75" s="488"/>
      <c r="AC75" s="488"/>
      <c r="AD75" s="490"/>
      <c r="AF75" s="50"/>
    </row>
    <row r="76" spans="1:32" ht="33.75" customHeight="1">
      <c r="A76" s="459">
        <v>1</v>
      </c>
      <c r="B76" s="460"/>
      <c r="C76" s="433" t="s">
        <v>112</v>
      </c>
      <c r="D76" s="433"/>
      <c r="E76" s="65" t="s">
        <v>117</v>
      </c>
      <c r="F76" s="474" t="s">
        <v>116</v>
      </c>
      <c r="G76" s="475"/>
      <c r="H76" s="475"/>
      <c r="I76" s="475"/>
      <c r="J76" s="476"/>
      <c r="K76" s="477" t="s">
        <v>122</v>
      </c>
      <c r="L76" s="478"/>
      <c r="M76" s="478"/>
      <c r="N76" s="478"/>
      <c r="O76" s="478"/>
      <c r="P76" s="478"/>
      <c r="Q76" s="478"/>
      <c r="R76" s="478"/>
      <c r="S76" s="479"/>
      <c r="T76" s="480">
        <v>43675</v>
      </c>
      <c r="U76" s="481"/>
      <c r="V76" s="482"/>
      <c r="W76" s="482"/>
      <c r="X76" s="483"/>
      <c r="Y76" s="483"/>
      <c r="Z76" s="483"/>
      <c r="AA76" s="483"/>
      <c r="AB76" s="483"/>
      <c r="AC76" s="483"/>
      <c r="AD76" s="484"/>
      <c r="AF76" s="50"/>
    </row>
    <row r="77" spans="1:32" ht="30" customHeight="1">
      <c r="A77" s="452">
        <f>A76+1</f>
        <v>2</v>
      </c>
      <c r="B77" s="453"/>
      <c r="C77" s="432"/>
      <c r="D77" s="432"/>
      <c r="E77" s="32"/>
      <c r="F77" s="453"/>
      <c r="G77" s="453"/>
      <c r="H77" s="453"/>
      <c r="I77" s="453"/>
      <c r="J77" s="453"/>
      <c r="K77" s="468"/>
      <c r="L77" s="469"/>
      <c r="M77" s="469"/>
      <c r="N77" s="469"/>
      <c r="O77" s="469"/>
      <c r="P77" s="469"/>
      <c r="Q77" s="469"/>
      <c r="R77" s="469"/>
      <c r="S77" s="470"/>
      <c r="T77" s="471"/>
      <c r="U77" s="471"/>
      <c r="V77" s="471"/>
      <c r="W77" s="471"/>
      <c r="X77" s="472"/>
      <c r="Y77" s="472"/>
      <c r="Z77" s="472"/>
      <c r="AA77" s="472"/>
      <c r="AB77" s="472"/>
      <c r="AC77" s="472"/>
      <c r="AD77" s="473"/>
      <c r="AF77" s="50"/>
    </row>
    <row r="78" spans="1:32" ht="30" customHeight="1">
      <c r="A78" s="452">
        <f t="shared" ref="A78:A82" si="12">A77+1</f>
        <v>3</v>
      </c>
      <c r="B78" s="453"/>
      <c r="C78" s="432"/>
      <c r="D78" s="432"/>
      <c r="E78" s="32"/>
      <c r="F78" s="453"/>
      <c r="G78" s="453"/>
      <c r="H78" s="453"/>
      <c r="I78" s="453"/>
      <c r="J78" s="453"/>
      <c r="K78" s="468"/>
      <c r="L78" s="469"/>
      <c r="M78" s="469"/>
      <c r="N78" s="469"/>
      <c r="O78" s="469"/>
      <c r="P78" s="469"/>
      <c r="Q78" s="469"/>
      <c r="R78" s="469"/>
      <c r="S78" s="470"/>
      <c r="T78" s="471"/>
      <c r="U78" s="471"/>
      <c r="V78" s="471"/>
      <c r="W78" s="471"/>
      <c r="X78" s="472"/>
      <c r="Y78" s="472"/>
      <c r="Z78" s="472"/>
      <c r="AA78" s="472"/>
      <c r="AB78" s="472"/>
      <c r="AC78" s="472"/>
      <c r="AD78" s="473"/>
      <c r="AF78" s="50"/>
    </row>
    <row r="79" spans="1:32" ht="30" customHeight="1">
      <c r="A79" s="452">
        <f t="shared" si="12"/>
        <v>4</v>
      </c>
      <c r="B79" s="453"/>
      <c r="C79" s="432"/>
      <c r="D79" s="432"/>
      <c r="E79" s="32"/>
      <c r="F79" s="453"/>
      <c r="G79" s="453"/>
      <c r="H79" s="453"/>
      <c r="I79" s="453"/>
      <c r="J79" s="453"/>
      <c r="K79" s="468"/>
      <c r="L79" s="469"/>
      <c r="M79" s="469"/>
      <c r="N79" s="469"/>
      <c r="O79" s="469"/>
      <c r="P79" s="469"/>
      <c r="Q79" s="469"/>
      <c r="R79" s="469"/>
      <c r="S79" s="470"/>
      <c r="T79" s="471"/>
      <c r="U79" s="471"/>
      <c r="V79" s="471"/>
      <c r="W79" s="471"/>
      <c r="X79" s="472"/>
      <c r="Y79" s="472"/>
      <c r="Z79" s="472"/>
      <c r="AA79" s="472"/>
      <c r="AB79" s="472"/>
      <c r="AC79" s="472"/>
      <c r="AD79" s="473"/>
      <c r="AF79" s="50"/>
    </row>
    <row r="80" spans="1:32" ht="30" customHeight="1">
      <c r="A80" s="452">
        <f t="shared" si="12"/>
        <v>5</v>
      </c>
      <c r="B80" s="453"/>
      <c r="C80" s="432"/>
      <c r="D80" s="432"/>
      <c r="E80" s="32"/>
      <c r="F80" s="453"/>
      <c r="G80" s="453"/>
      <c r="H80" s="453"/>
      <c r="I80" s="453"/>
      <c r="J80" s="453"/>
      <c r="K80" s="468"/>
      <c r="L80" s="469"/>
      <c r="M80" s="469"/>
      <c r="N80" s="469"/>
      <c r="O80" s="469"/>
      <c r="P80" s="469"/>
      <c r="Q80" s="469"/>
      <c r="R80" s="469"/>
      <c r="S80" s="470"/>
      <c r="T80" s="471"/>
      <c r="U80" s="471"/>
      <c r="V80" s="471"/>
      <c r="W80" s="471"/>
      <c r="X80" s="472"/>
      <c r="Y80" s="472"/>
      <c r="Z80" s="472"/>
      <c r="AA80" s="472"/>
      <c r="AB80" s="472"/>
      <c r="AC80" s="472"/>
      <c r="AD80" s="473"/>
      <c r="AF80" s="50"/>
    </row>
    <row r="81" spans="1:32" ht="30" customHeight="1">
      <c r="A81" s="452">
        <f t="shared" si="12"/>
        <v>6</v>
      </c>
      <c r="B81" s="453"/>
      <c r="C81" s="432"/>
      <c r="D81" s="432"/>
      <c r="E81" s="32"/>
      <c r="F81" s="453"/>
      <c r="G81" s="453"/>
      <c r="H81" s="453"/>
      <c r="I81" s="453"/>
      <c r="J81" s="453"/>
      <c r="K81" s="468"/>
      <c r="L81" s="469"/>
      <c r="M81" s="469"/>
      <c r="N81" s="469"/>
      <c r="O81" s="469"/>
      <c r="P81" s="469"/>
      <c r="Q81" s="469"/>
      <c r="R81" s="469"/>
      <c r="S81" s="470"/>
      <c r="T81" s="471"/>
      <c r="U81" s="471"/>
      <c r="V81" s="471"/>
      <c r="W81" s="471"/>
      <c r="X81" s="472"/>
      <c r="Y81" s="472"/>
      <c r="Z81" s="472"/>
      <c r="AA81" s="472"/>
      <c r="AB81" s="472"/>
      <c r="AC81" s="472"/>
      <c r="AD81" s="473"/>
      <c r="AF81" s="50"/>
    </row>
    <row r="82" spans="1:32" ht="30" customHeight="1">
      <c r="A82" s="452">
        <f t="shared" si="12"/>
        <v>7</v>
      </c>
      <c r="B82" s="453"/>
      <c r="C82" s="432"/>
      <c r="D82" s="432"/>
      <c r="E82" s="32"/>
      <c r="F82" s="453"/>
      <c r="G82" s="453"/>
      <c r="H82" s="453"/>
      <c r="I82" s="453"/>
      <c r="J82" s="453"/>
      <c r="K82" s="468"/>
      <c r="L82" s="469"/>
      <c r="M82" s="469"/>
      <c r="N82" s="469"/>
      <c r="O82" s="469"/>
      <c r="P82" s="469"/>
      <c r="Q82" s="469"/>
      <c r="R82" s="469"/>
      <c r="S82" s="470"/>
      <c r="T82" s="471"/>
      <c r="U82" s="471"/>
      <c r="V82" s="471"/>
      <c r="W82" s="471"/>
      <c r="X82" s="472"/>
      <c r="Y82" s="472"/>
      <c r="Z82" s="472"/>
      <c r="AA82" s="472"/>
      <c r="AB82" s="472"/>
      <c r="AC82" s="472"/>
      <c r="AD82" s="473"/>
      <c r="AF82" s="50"/>
    </row>
    <row r="83" spans="1:32" ht="36" thickBot="1">
      <c r="A83" s="465" t="s">
        <v>627</v>
      </c>
      <c r="B83" s="465"/>
      <c r="C83" s="465"/>
      <c r="D83" s="465"/>
      <c r="E83" s="465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66" t="s">
        <v>111</v>
      </c>
      <c r="B84" s="467"/>
      <c r="C84" s="457" t="s">
        <v>52</v>
      </c>
      <c r="D84" s="457"/>
      <c r="E84" s="457" t="s">
        <v>53</v>
      </c>
      <c r="F84" s="457"/>
      <c r="G84" s="457"/>
      <c r="H84" s="457"/>
      <c r="I84" s="457"/>
      <c r="J84" s="457"/>
      <c r="K84" s="457" t="s">
        <v>54</v>
      </c>
      <c r="L84" s="457"/>
      <c r="M84" s="457"/>
      <c r="N84" s="457"/>
      <c r="O84" s="457"/>
      <c r="P84" s="457"/>
      <c r="Q84" s="457"/>
      <c r="R84" s="457"/>
      <c r="S84" s="457"/>
      <c r="T84" s="457" t="s">
        <v>55</v>
      </c>
      <c r="U84" s="457"/>
      <c r="V84" s="457" t="s">
        <v>56</v>
      </c>
      <c r="W84" s="457"/>
      <c r="X84" s="457"/>
      <c r="Y84" s="457" t="s">
        <v>51</v>
      </c>
      <c r="Z84" s="457"/>
      <c r="AA84" s="457"/>
      <c r="AB84" s="457"/>
      <c r="AC84" s="457"/>
      <c r="AD84" s="458"/>
      <c r="AF84" s="50"/>
    </row>
    <row r="85" spans="1:32" ht="30.75" customHeight="1">
      <c r="A85" s="459">
        <v>1</v>
      </c>
      <c r="B85" s="460"/>
      <c r="C85" s="461">
        <v>11</v>
      </c>
      <c r="D85" s="461"/>
      <c r="E85" s="461" t="s">
        <v>295</v>
      </c>
      <c r="F85" s="461"/>
      <c r="G85" s="461"/>
      <c r="H85" s="461"/>
      <c r="I85" s="461"/>
      <c r="J85" s="461"/>
      <c r="K85" s="461" t="s">
        <v>297</v>
      </c>
      <c r="L85" s="461"/>
      <c r="M85" s="461"/>
      <c r="N85" s="461"/>
      <c r="O85" s="461"/>
      <c r="P85" s="461"/>
      <c r="Q85" s="461"/>
      <c r="R85" s="461"/>
      <c r="S85" s="461"/>
      <c r="T85" s="461" t="s">
        <v>296</v>
      </c>
      <c r="U85" s="461"/>
      <c r="V85" s="462"/>
      <c r="W85" s="462"/>
      <c r="X85" s="462"/>
      <c r="Y85" s="463" t="s">
        <v>298</v>
      </c>
      <c r="Z85" s="463"/>
      <c r="AA85" s="463"/>
      <c r="AB85" s="463"/>
      <c r="AC85" s="463"/>
      <c r="AD85" s="464"/>
      <c r="AF85" s="50"/>
    </row>
    <row r="86" spans="1:32" ht="30.75" customHeight="1">
      <c r="A86" s="452">
        <v>2</v>
      </c>
      <c r="B86" s="453"/>
      <c r="C86" s="454"/>
      <c r="D86" s="454"/>
      <c r="E86" s="454"/>
      <c r="F86" s="454"/>
      <c r="G86" s="454"/>
      <c r="H86" s="454"/>
      <c r="I86" s="454"/>
      <c r="J86" s="454"/>
      <c r="K86" s="454"/>
      <c r="L86" s="454"/>
      <c r="M86" s="454"/>
      <c r="N86" s="454"/>
      <c r="O86" s="454"/>
      <c r="P86" s="454"/>
      <c r="Q86" s="454"/>
      <c r="R86" s="454"/>
      <c r="S86" s="454"/>
      <c r="T86" s="455"/>
      <c r="U86" s="455"/>
      <c r="V86" s="456"/>
      <c r="W86" s="456"/>
      <c r="X86" s="456"/>
      <c r="Y86" s="445"/>
      <c r="Z86" s="445"/>
      <c r="AA86" s="445"/>
      <c r="AB86" s="445"/>
      <c r="AC86" s="445"/>
      <c r="AD86" s="446"/>
      <c r="AF86" s="50"/>
    </row>
    <row r="87" spans="1:32" ht="30.75" customHeight="1" thickBot="1">
      <c r="A87" s="447">
        <v>3</v>
      </c>
      <c r="B87" s="448"/>
      <c r="C87" s="449"/>
      <c r="D87" s="449"/>
      <c r="E87" s="449"/>
      <c r="F87" s="449"/>
      <c r="G87" s="449"/>
      <c r="H87" s="449"/>
      <c r="I87" s="449"/>
      <c r="J87" s="449"/>
      <c r="K87" s="449"/>
      <c r="L87" s="449"/>
      <c r="M87" s="449"/>
      <c r="N87" s="449"/>
      <c r="O87" s="449"/>
      <c r="P87" s="449"/>
      <c r="Q87" s="449"/>
      <c r="R87" s="449"/>
      <c r="S87" s="449"/>
      <c r="T87" s="449"/>
      <c r="U87" s="449"/>
      <c r="V87" s="449"/>
      <c r="W87" s="449"/>
      <c r="X87" s="449"/>
      <c r="Y87" s="450"/>
      <c r="Z87" s="450"/>
      <c r="AA87" s="450"/>
      <c r="AB87" s="450"/>
      <c r="AC87" s="450"/>
      <c r="AD87" s="451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tabSelected="1" view="pageBreakPreview" zoomScaleNormal="100" zoomScaleSheetLayoutView="10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C16" sqref="AC16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73" t="s">
        <v>166</v>
      </c>
      <c r="B1" s="573"/>
      <c r="C1" s="573"/>
      <c r="D1" s="573"/>
      <c r="E1" s="573"/>
      <c r="F1" s="573"/>
      <c r="G1" s="573"/>
      <c r="H1" s="573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4" t="s">
        <v>60</v>
      </c>
      <c r="B3" s="115">
        <f>'01'!AD6</f>
        <v>1</v>
      </c>
      <c r="C3" s="115">
        <f>'02'!AD6</f>
        <v>0.20833333333333334</v>
      </c>
      <c r="D3" s="116">
        <f>'03'!AD6</f>
        <v>0</v>
      </c>
      <c r="E3" s="116">
        <f>'04'!AD6</f>
        <v>1</v>
      </c>
      <c r="F3" s="116">
        <f>'05'!AD6</f>
        <v>1</v>
      </c>
      <c r="G3" s="116">
        <f>'06'!AD6</f>
        <v>1</v>
      </c>
      <c r="H3" s="116">
        <f>'07'!AD6</f>
        <v>0.45833333333333331</v>
      </c>
      <c r="I3" s="116">
        <f>'08'!AD6</f>
        <v>1</v>
      </c>
      <c r="J3" s="116">
        <f>'09'!AD6</f>
        <v>1</v>
      </c>
      <c r="K3" s="116">
        <f>'10'!AD6</f>
        <v>0</v>
      </c>
      <c r="L3" s="116">
        <f>'11'!AD6</f>
        <v>0</v>
      </c>
      <c r="M3" s="116">
        <f>'12'!AD6</f>
        <v>0</v>
      </c>
      <c r="N3" s="117">
        <f>'13'!AD6</f>
        <v>0</v>
      </c>
      <c r="O3" s="116"/>
      <c r="P3" s="116">
        <f>'15'!AD6</f>
        <v>0.91666666666666663</v>
      </c>
      <c r="Q3" s="116">
        <f>'16'!AD6+'16'!AD7+'16'!AD8</f>
        <v>0.875</v>
      </c>
      <c r="R3" s="116">
        <f>'17'!AD6+'17'!AD7</f>
        <v>0.91666666666666674</v>
      </c>
      <c r="S3" s="116">
        <f>'18'!AD6</f>
        <v>0</v>
      </c>
      <c r="T3" s="116">
        <f>'19'!AD6</f>
        <v>0</v>
      </c>
      <c r="U3" s="116">
        <f>'20'!AD6</f>
        <v>0</v>
      </c>
      <c r="V3" s="116"/>
      <c r="W3" s="117">
        <f>'22'!AD6</f>
        <v>0.625</v>
      </c>
      <c r="X3" s="116">
        <f>'23'!AD6</f>
        <v>0.79166666666666663</v>
      </c>
      <c r="Y3" s="116">
        <f>'24'!AD6</f>
        <v>0</v>
      </c>
      <c r="Z3" s="116">
        <f>'25'!AD6</f>
        <v>0.91666666666666663</v>
      </c>
      <c r="AA3" s="116">
        <f>'26'!AD6</f>
        <v>1</v>
      </c>
      <c r="AB3" s="116">
        <f>'27'!AD6</f>
        <v>1</v>
      </c>
      <c r="AC3" s="116"/>
      <c r="AD3" s="116">
        <f>'29'!AD6</f>
        <v>0.16666666666666666</v>
      </c>
      <c r="AE3" s="116">
        <f>'30'!AD6</f>
        <v>0</v>
      </c>
      <c r="AF3" s="118"/>
      <c r="AG3" s="119">
        <f>SUM(B3:AF3)/30</f>
        <v>0.46249999999999986</v>
      </c>
    </row>
    <row r="4" spans="1:33" ht="21.75" customHeight="1">
      <c r="A4" s="101" t="s">
        <v>61</v>
      </c>
      <c r="B4" s="98">
        <f>'01'!AD7</f>
        <v>0</v>
      </c>
      <c r="C4" s="98">
        <f>'02'!AD7</f>
        <v>0</v>
      </c>
      <c r="D4" s="77">
        <f>'03'!AD7</f>
        <v>0</v>
      </c>
      <c r="E4" s="77">
        <f>'04'!AD7</f>
        <v>0</v>
      </c>
      <c r="F4" s="77">
        <f>'05'!AD7</f>
        <v>0</v>
      </c>
      <c r="G4" s="77">
        <f>'06'!AD7</f>
        <v>0</v>
      </c>
      <c r="H4" s="77">
        <f>'07'!AD7</f>
        <v>0</v>
      </c>
      <c r="I4" s="77">
        <f>'08'!AD7</f>
        <v>0</v>
      </c>
      <c r="J4" s="77">
        <f>'09'!AD7</f>
        <v>0</v>
      </c>
      <c r="K4" s="77">
        <f>'10'!AD7</f>
        <v>0.58333333333333337</v>
      </c>
      <c r="L4" s="77">
        <f>'11'!AD7</f>
        <v>0</v>
      </c>
      <c r="M4" s="77">
        <f>'12'!AD7</f>
        <v>0</v>
      </c>
      <c r="N4" s="77">
        <f>'13'!AD7</f>
        <v>0</v>
      </c>
      <c r="O4" s="77"/>
      <c r="P4" s="77">
        <f>'15'!AD7</f>
        <v>0</v>
      </c>
      <c r="Q4" s="77">
        <f>'16'!AD9</f>
        <v>0.625</v>
      </c>
      <c r="R4" s="77">
        <f>'17'!AD8</f>
        <v>0.20833333333333334</v>
      </c>
      <c r="S4" s="77">
        <f>'18'!AD7</f>
        <v>0</v>
      </c>
      <c r="T4" s="77">
        <f>'19'!AD7</f>
        <v>0</v>
      </c>
      <c r="U4" s="77">
        <f>'20'!AD7</f>
        <v>0.16666666666666666</v>
      </c>
      <c r="V4" s="77"/>
      <c r="W4" s="77">
        <f>'22'!AD7</f>
        <v>0</v>
      </c>
      <c r="X4" s="77">
        <f>'23'!AD7</f>
        <v>0</v>
      </c>
      <c r="Y4" s="77">
        <f>'24'!AD7</f>
        <v>0.58333333333333337</v>
      </c>
      <c r="Z4" s="77">
        <f>'25'!AD7</f>
        <v>1</v>
      </c>
      <c r="AA4" s="77">
        <f>'26'!AD7</f>
        <v>0</v>
      </c>
      <c r="AB4" s="77">
        <f>'27'!AD7</f>
        <v>0</v>
      </c>
      <c r="AC4" s="77"/>
      <c r="AD4" s="77">
        <f>'29'!AD7</f>
        <v>0.58333333333333337</v>
      </c>
      <c r="AE4" s="77">
        <f>'30'!AD7</f>
        <v>0</v>
      </c>
      <c r="AF4" s="78"/>
      <c r="AG4" s="79">
        <f t="shared" ref="AG4:AG19" si="0">SUM(B4:AF4)/30</f>
        <v>0.12500000000000003</v>
      </c>
    </row>
    <row r="5" spans="1:33" ht="21.75" customHeight="1">
      <c r="A5" s="100" t="s">
        <v>62</v>
      </c>
      <c r="B5" s="97">
        <f>'01'!AD8</f>
        <v>0</v>
      </c>
      <c r="C5" s="97">
        <f>'02'!AD8</f>
        <v>0</v>
      </c>
      <c r="D5" s="74">
        <f>'03'!AD8</f>
        <v>0.875</v>
      </c>
      <c r="E5" s="74">
        <f>'04'!AD8</f>
        <v>1</v>
      </c>
      <c r="F5" s="74">
        <f>'05'!AD8</f>
        <v>0.875</v>
      </c>
      <c r="G5" s="74">
        <f>'06'!AD8</f>
        <v>1</v>
      </c>
      <c r="H5" s="74">
        <f>'07'!AD8</f>
        <v>0.45833333333333331</v>
      </c>
      <c r="I5" s="74">
        <f>'08'!AD8</f>
        <v>1</v>
      </c>
      <c r="J5" s="74">
        <f>'09'!AD8</f>
        <v>1</v>
      </c>
      <c r="K5" s="74">
        <f>'10'!AD8</f>
        <v>1</v>
      </c>
      <c r="L5" s="74">
        <f>'11'!AD8</f>
        <v>1</v>
      </c>
      <c r="M5" s="74">
        <f>'12'!AD8</f>
        <v>1</v>
      </c>
      <c r="N5" s="74">
        <f>'13'!AD8</f>
        <v>0</v>
      </c>
      <c r="O5" s="74"/>
      <c r="P5" s="74">
        <f>'15'!AD8</f>
        <v>0.95833333333333337</v>
      </c>
      <c r="Q5" s="74">
        <f>'16'!AD10</f>
        <v>1</v>
      </c>
      <c r="R5" s="74">
        <f>'17'!AD9</f>
        <v>1</v>
      </c>
      <c r="S5" s="74">
        <f>'18'!AD8</f>
        <v>1</v>
      </c>
      <c r="T5" s="74">
        <f>'19'!AD8</f>
        <v>0.58333333333333337</v>
      </c>
      <c r="U5" s="74">
        <f>'20'!AD8</f>
        <v>1</v>
      </c>
      <c r="V5" s="74"/>
      <c r="W5" s="104">
        <f>'22'!AD8</f>
        <v>1</v>
      </c>
      <c r="X5" s="74">
        <f>'23'!AD8</f>
        <v>1</v>
      </c>
      <c r="Y5" s="74">
        <f>'24'!AD8</f>
        <v>1</v>
      </c>
      <c r="Z5" s="74">
        <f>'25'!AD8</f>
        <v>0.875</v>
      </c>
      <c r="AA5" s="74">
        <f>'26'!AD8</f>
        <v>1</v>
      </c>
      <c r="AB5" s="74">
        <f>'27'!AD8</f>
        <v>1</v>
      </c>
      <c r="AC5" s="74"/>
      <c r="AD5" s="74">
        <f>'29'!AD8</f>
        <v>1</v>
      </c>
      <c r="AE5" s="74">
        <f>'30'!AD8</f>
        <v>1</v>
      </c>
      <c r="AF5" s="75"/>
      <c r="AG5" s="76">
        <f t="shared" si="0"/>
        <v>0.75416666666666665</v>
      </c>
    </row>
    <row r="6" spans="1:33" ht="21.75" customHeight="1">
      <c r="A6" s="101" t="s">
        <v>63</v>
      </c>
      <c r="B6" s="98">
        <f>'01'!AD9</f>
        <v>0.29166666666666669</v>
      </c>
      <c r="C6" s="98">
        <f>'02'!AD9</f>
        <v>0</v>
      </c>
      <c r="D6" s="77">
        <f>'03'!AD9</f>
        <v>0</v>
      </c>
      <c r="E6" s="77">
        <f>'04'!AD9</f>
        <v>0.83333333333333337</v>
      </c>
      <c r="F6" s="77">
        <f>'05'!AD9</f>
        <v>1</v>
      </c>
      <c r="G6" s="77">
        <f>'06'!AD9</f>
        <v>0.79166666666666663</v>
      </c>
      <c r="H6" s="77">
        <f>'07'!AD9</f>
        <v>0.45833333333333331</v>
      </c>
      <c r="I6" s="77">
        <f>'08'!AD9</f>
        <v>1</v>
      </c>
      <c r="J6" s="77">
        <f>'09'!AD9</f>
        <v>1</v>
      </c>
      <c r="K6" s="77">
        <f>'10'!AD9</f>
        <v>1</v>
      </c>
      <c r="L6" s="77">
        <f>'11'!AD9</f>
        <v>0</v>
      </c>
      <c r="M6" s="77">
        <f>'12'!AD9</f>
        <v>0.70833333333333337</v>
      </c>
      <c r="N6" s="77">
        <f>'13'!AD9</f>
        <v>1</v>
      </c>
      <c r="O6" s="77"/>
      <c r="P6" s="77">
        <f>'15'!AD9</f>
        <v>0.70833333333333337</v>
      </c>
      <c r="Q6" s="77">
        <f>'16'!AD11</f>
        <v>0.91666666666666663</v>
      </c>
      <c r="R6" s="77">
        <f>'17'!AD10</f>
        <v>0.125</v>
      </c>
      <c r="S6" s="77">
        <f>'18'!AD9</f>
        <v>0.125</v>
      </c>
      <c r="T6" s="77">
        <f>'19'!AD9</f>
        <v>1</v>
      </c>
      <c r="U6" s="77">
        <f>'20'!AD9</f>
        <v>1</v>
      </c>
      <c r="V6" s="77"/>
      <c r="W6" s="77">
        <f>'22'!AD9</f>
        <v>0.875</v>
      </c>
      <c r="X6" s="77">
        <f>'23'!AD9</f>
        <v>1</v>
      </c>
      <c r="Y6" s="77">
        <f>'24'!AD9</f>
        <v>1</v>
      </c>
      <c r="Z6" s="77">
        <f>'25'!AD9</f>
        <v>0.70833333333333337</v>
      </c>
      <c r="AA6" s="77">
        <f>'26'!AD9</f>
        <v>0.58333333333333337</v>
      </c>
      <c r="AB6" s="77">
        <f>'27'!AD9</f>
        <v>1</v>
      </c>
      <c r="AC6" s="77"/>
      <c r="AD6" s="77">
        <f>'29'!AD9</f>
        <v>1</v>
      </c>
      <c r="AE6" s="77">
        <f>'30'!AD9</f>
        <v>0.83333333333333337</v>
      </c>
      <c r="AF6" s="78"/>
      <c r="AG6" s="79">
        <f t="shared" si="0"/>
        <v>0.63194444444444442</v>
      </c>
    </row>
    <row r="7" spans="1:33" ht="21.75" customHeight="1">
      <c r="A7" s="101" t="s">
        <v>64</v>
      </c>
      <c r="B7" s="98">
        <f>'01'!AD10</f>
        <v>0</v>
      </c>
      <c r="C7" s="98">
        <f>'02'!AD10</f>
        <v>0.66666666666666663</v>
      </c>
      <c r="D7" s="77">
        <f>'03'!AD10</f>
        <v>1</v>
      </c>
      <c r="E7" s="77">
        <f>'04'!AD10</f>
        <v>1</v>
      </c>
      <c r="F7" s="77">
        <f>'05'!AD10</f>
        <v>1</v>
      </c>
      <c r="G7" s="77">
        <f>'06'!AD10</f>
        <v>1</v>
      </c>
      <c r="H7" s="77">
        <f>'07'!AD10</f>
        <v>0</v>
      </c>
      <c r="I7" s="77">
        <f>'08'!AD10</f>
        <v>1</v>
      </c>
      <c r="J7" s="77">
        <f>'09'!AD10</f>
        <v>1</v>
      </c>
      <c r="K7" s="77">
        <f>'10'!AD10</f>
        <v>1</v>
      </c>
      <c r="L7" s="77">
        <f>'11'!AD10</f>
        <v>1</v>
      </c>
      <c r="M7" s="77">
        <f>'12'!AD10</f>
        <v>1</v>
      </c>
      <c r="N7" s="77">
        <f>'13'!AD10</f>
        <v>1</v>
      </c>
      <c r="O7" s="77"/>
      <c r="P7" s="77">
        <f>'15'!AD10</f>
        <v>1</v>
      </c>
      <c r="Q7" s="77">
        <f>'16'!AD12</f>
        <v>0</v>
      </c>
      <c r="R7" s="77">
        <f>'17'!AD11</f>
        <v>0</v>
      </c>
      <c r="S7" s="77">
        <f>'18'!AD10</f>
        <v>0.91666666666666663</v>
      </c>
      <c r="T7" s="77">
        <f>'19'!AD10</f>
        <v>1</v>
      </c>
      <c r="U7" s="77">
        <f>'20'!AD10</f>
        <v>1</v>
      </c>
      <c r="V7" s="77"/>
      <c r="W7" s="77">
        <f>'22'!AD10</f>
        <v>1</v>
      </c>
      <c r="X7" s="77">
        <f>'23'!AD10+'23'!AD11</f>
        <v>0.95833333333333337</v>
      </c>
      <c r="Y7" s="77">
        <f>'24'!AD10</f>
        <v>1</v>
      </c>
      <c r="Z7" s="77">
        <f>'25'!AD10</f>
        <v>0.66666666666666663</v>
      </c>
      <c r="AA7" s="77">
        <f>'26'!AD10</f>
        <v>0.625</v>
      </c>
      <c r="AB7" s="77">
        <f>'27'!AD10</f>
        <v>1</v>
      </c>
      <c r="AC7" s="77"/>
      <c r="AD7" s="77">
        <f>'29'!AD10</f>
        <v>1</v>
      </c>
      <c r="AE7" s="77">
        <f>'30'!AD10</f>
        <v>1</v>
      </c>
      <c r="AF7" s="78"/>
      <c r="AG7" s="79">
        <f t="shared" si="0"/>
        <v>0.72777777777777775</v>
      </c>
    </row>
    <row r="8" spans="1:33" ht="21.75" customHeight="1">
      <c r="A8" s="101" t="s">
        <v>65</v>
      </c>
      <c r="B8" s="98">
        <f>'01'!AD11</f>
        <v>0.625</v>
      </c>
      <c r="C8" s="98">
        <f>'02'!AD11</f>
        <v>1</v>
      </c>
      <c r="D8" s="77">
        <f>'03'!AD11</f>
        <v>0.91666666666666663</v>
      </c>
      <c r="E8" s="77">
        <f>'04'!AD11</f>
        <v>0.66666666666666663</v>
      </c>
      <c r="F8" s="77">
        <f>'05'!AD11</f>
        <v>1</v>
      </c>
      <c r="G8" s="77">
        <f>'06'!AD11</f>
        <v>1</v>
      </c>
      <c r="H8" s="77">
        <f>'07'!AD11</f>
        <v>0.45833333333333331</v>
      </c>
      <c r="I8" s="77">
        <f>'08'!AD11</f>
        <v>1</v>
      </c>
      <c r="J8" s="77">
        <f>'09'!AD11+'09'!AD12</f>
        <v>0.625</v>
      </c>
      <c r="K8" s="77">
        <f>'10'!AD11</f>
        <v>0.16666666666666666</v>
      </c>
      <c r="L8" s="77">
        <f>'11'!AD11</f>
        <v>0</v>
      </c>
      <c r="M8" s="77">
        <f>'12'!AD11</f>
        <v>0.25</v>
      </c>
      <c r="N8" s="77">
        <f>'13'!AD11</f>
        <v>0</v>
      </c>
      <c r="O8" s="77"/>
      <c r="P8" s="77">
        <f>'15'!AD11</f>
        <v>1</v>
      </c>
      <c r="Q8" s="77">
        <f>'16'!AD13</f>
        <v>0.25</v>
      </c>
      <c r="R8" s="77">
        <f>'17'!AD12</f>
        <v>0.58333333333333337</v>
      </c>
      <c r="S8" s="77">
        <f>'18'!AD11</f>
        <v>0.20833333333333334</v>
      </c>
      <c r="T8" s="77">
        <f>'19'!AD11</f>
        <v>1</v>
      </c>
      <c r="U8" s="77">
        <f>'20'!AD11</f>
        <v>1</v>
      </c>
      <c r="V8" s="77"/>
      <c r="W8" s="77">
        <f>'22'!AD11</f>
        <v>0.625</v>
      </c>
      <c r="X8" s="77">
        <f>'23'!AD12</f>
        <v>0.41666666666666669</v>
      </c>
      <c r="Y8" s="77">
        <f>'24'!AD11</f>
        <v>0.66666666666666663</v>
      </c>
      <c r="Z8" s="77">
        <f>'25'!AD11</f>
        <v>0.29166666666666669</v>
      </c>
      <c r="AA8" s="77">
        <f>'26'!AD11</f>
        <v>0</v>
      </c>
      <c r="AB8" s="77">
        <f>'27'!AD11</f>
        <v>0</v>
      </c>
      <c r="AC8" s="77"/>
      <c r="AD8" s="77">
        <f>'29'!AD11</f>
        <v>0.625</v>
      </c>
      <c r="AE8" s="77">
        <f>'30'!AD11</f>
        <v>1</v>
      </c>
      <c r="AF8" s="78"/>
      <c r="AG8" s="79">
        <f t="shared" si="0"/>
        <v>0.51249999999999996</v>
      </c>
    </row>
    <row r="9" spans="1:33" ht="21.75" customHeight="1">
      <c r="A9" s="101" t="s">
        <v>66</v>
      </c>
      <c r="B9" s="98">
        <f>'01'!AD12</f>
        <v>0.29166666666666669</v>
      </c>
      <c r="C9" s="98">
        <f>'02'!AD12</f>
        <v>0</v>
      </c>
      <c r="D9" s="77">
        <f>'03'!AD12</f>
        <v>0</v>
      </c>
      <c r="E9" s="77">
        <f>'04'!AD12</f>
        <v>0.58333333333333337</v>
      </c>
      <c r="F9" s="77">
        <f>'05'!AD12</f>
        <v>0.66666666666666663</v>
      </c>
      <c r="G9" s="77">
        <f>'06'!AD12</f>
        <v>1</v>
      </c>
      <c r="H9" s="77">
        <f>'07'!AD12</f>
        <v>0.33333333333333331</v>
      </c>
      <c r="I9" s="77">
        <f>'08'!AD12</f>
        <v>0.66666666666666663</v>
      </c>
      <c r="J9" s="77">
        <f>'09'!AD13</f>
        <v>0.66666666666666663</v>
      </c>
      <c r="K9" s="77">
        <f>'10'!AD12</f>
        <v>0.25</v>
      </c>
      <c r="L9" s="77">
        <f>'11'!AD12</f>
        <v>0.41666666666666669</v>
      </c>
      <c r="M9" s="77">
        <f>'12'!AD12</f>
        <v>0.95833333333333337</v>
      </c>
      <c r="N9" s="77">
        <f>'13'!AD12</f>
        <v>0.375</v>
      </c>
      <c r="O9" s="77"/>
      <c r="P9" s="77">
        <f>'15'!AD12</f>
        <v>0.58333333333333337</v>
      </c>
      <c r="Q9" s="77">
        <f>'16'!AD14</f>
        <v>0.79166666666666663</v>
      </c>
      <c r="R9" s="77">
        <f>'17'!AD13</f>
        <v>1</v>
      </c>
      <c r="S9" s="77">
        <f>'18'!AD12</f>
        <v>0.70833333333333337</v>
      </c>
      <c r="T9" s="77">
        <f>'19'!AD12</f>
        <v>0.125</v>
      </c>
      <c r="U9" s="77">
        <f>'20'!AD12</f>
        <v>0</v>
      </c>
      <c r="V9" s="77"/>
      <c r="W9" s="77">
        <f>'22'!AD12</f>
        <v>0.5</v>
      </c>
      <c r="X9" s="77">
        <f>'23'!AD13+'23'!AD14</f>
        <v>0.33333333333333331</v>
      </c>
      <c r="Y9" s="77">
        <f>'24'!AD12</f>
        <v>0.16666666666666666</v>
      </c>
      <c r="Z9" s="77">
        <f>'25'!AD12</f>
        <v>0.95833333333333337</v>
      </c>
      <c r="AA9" s="77">
        <f>'26'!AD12</f>
        <v>1</v>
      </c>
      <c r="AB9" s="77">
        <f>'27'!AD12</f>
        <v>0.70833333333333337</v>
      </c>
      <c r="AC9" s="77"/>
      <c r="AD9" s="77">
        <f>'29'!AD12</f>
        <v>0</v>
      </c>
      <c r="AE9" s="77">
        <f>'30'!AD12</f>
        <v>0</v>
      </c>
      <c r="AF9" s="78"/>
      <c r="AG9" s="79">
        <f t="shared" si="0"/>
        <v>0.43611111111111112</v>
      </c>
    </row>
    <row r="10" spans="1:33" ht="21.75" customHeight="1">
      <c r="A10" s="101" t="s">
        <v>67</v>
      </c>
      <c r="B10" s="98">
        <f>'01'!AD13</f>
        <v>1</v>
      </c>
      <c r="C10" s="98">
        <f>'02'!AD13</f>
        <v>0.875</v>
      </c>
      <c r="D10" s="77">
        <f>'03'!AD13</f>
        <v>0.875</v>
      </c>
      <c r="E10" s="77">
        <f>'04'!AD13</f>
        <v>0.54166666666666663</v>
      </c>
      <c r="F10" s="77">
        <f>'05'!AD13</f>
        <v>0.66666666666666663</v>
      </c>
      <c r="G10" s="77">
        <f>'06'!AD13</f>
        <v>0.79166666666666663</v>
      </c>
      <c r="H10" s="77">
        <f>'07'!AD13</f>
        <v>0.25</v>
      </c>
      <c r="I10" s="77">
        <f>'08'!AD13</f>
        <v>0.875</v>
      </c>
      <c r="J10" s="77">
        <f>'09'!AD14</f>
        <v>0.66666666666666663</v>
      </c>
      <c r="K10" s="77">
        <f>'10'!AD13</f>
        <v>0.875</v>
      </c>
      <c r="L10" s="77">
        <f>'11'!AD13</f>
        <v>0.91666666666666663</v>
      </c>
      <c r="M10" s="77">
        <f>'12'!AD13</f>
        <v>0.91666666666666663</v>
      </c>
      <c r="N10" s="77">
        <f>'13'!AD13</f>
        <v>0.91666666666666663</v>
      </c>
      <c r="O10" s="77"/>
      <c r="P10" s="77">
        <f>'15'!AD13</f>
        <v>0.91666666666666663</v>
      </c>
      <c r="Q10" s="77">
        <f>'16'!AD15</f>
        <v>0.875</v>
      </c>
      <c r="R10" s="77">
        <f>'17'!AD14</f>
        <v>0.33333333333333331</v>
      </c>
      <c r="S10" s="77">
        <f>'18'!AD13</f>
        <v>1</v>
      </c>
      <c r="T10" s="77">
        <f>'19'!AD13</f>
        <v>0.79166666666666663</v>
      </c>
      <c r="U10" s="77">
        <f>'20'!AD13</f>
        <v>0.95833333333333337</v>
      </c>
      <c r="V10" s="77"/>
      <c r="W10" s="77">
        <f>'22'!AD13</f>
        <v>0.5</v>
      </c>
      <c r="X10" s="77">
        <f>'23'!AD15</f>
        <v>1</v>
      </c>
      <c r="Y10" s="77">
        <f>'24'!AD13</f>
        <v>1</v>
      </c>
      <c r="Z10" s="77">
        <f>'25'!AD13</f>
        <v>1</v>
      </c>
      <c r="AA10" s="77">
        <f>'26'!AD13</f>
        <v>1</v>
      </c>
      <c r="AB10" s="77">
        <f>'27'!AD13</f>
        <v>1</v>
      </c>
      <c r="AC10" s="77"/>
      <c r="AD10" s="77">
        <f>'29'!AD13</f>
        <v>0.54166666666666663</v>
      </c>
      <c r="AE10" s="77">
        <f>'30'!AD13</f>
        <v>1</v>
      </c>
      <c r="AF10" s="78"/>
      <c r="AG10" s="79">
        <f t="shared" si="0"/>
        <v>0.73611111111111105</v>
      </c>
    </row>
    <row r="11" spans="1:33" ht="21.75" customHeight="1">
      <c r="A11" s="107" t="s">
        <v>68</v>
      </c>
      <c r="B11" s="108">
        <f>'01'!AD14</f>
        <v>0</v>
      </c>
      <c r="C11" s="108">
        <f>'02'!AD14</f>
        <v>0.20833333333333334</v>
      </c>
      <c r="D11" s="109">
        <f>'03'!AD14</f>
        <v>0</v>
      </c>
      <c r="E11" s="109">
        <f>'04'!AD15</f>
        <v>0.41666666666666669</v>
      </c>
      <c r="F11" s="109">
        <f>'05'!AD14</f>
        <v>0.25</v>
      </c>
      <c r="G11" s="109">
        <f>'06'!AD14</f>
        <v>0</v>
      </c>
      <c r="H11" s="109">
        <f>'07'!AD14</f>
        <v>0</v>
      </c>
      <c r="I11" s="109">
        <f>'08'!AD14</f>
        <v>0</v>
      </c>
      <c r="J11" s="109">
        <f>'09'!AD15</f>
        <v>0</v>
      </c>
      <c r="K11" s="109">
        <f>'10'!AD14</f>
        <v>0</v>
      </c>
      <c r="L11" s="109">
        <f>'11'!AD14</f>
        <v>0</v>
      </c>
      <c r="M11" s="109">
        <f>'12'!AD14</f>
        <v>0</v>
      </c>
      <c r="N11" s="109">
        <f>'13'!AD14</f>
        <v>0</v>
      </c>
      <c r="O11" s="109"/>
      <c r="P11" s="109">
        <f>'15'!AD14</f>
        <v>0</v>
      </c>
      <c r="Q11" s="109">
        <f>'16'!AD16</f>
        <v>0</v>
      </c>
      <c r="R11" s="109">
        <f>'17'!AD15</f>
        <v>0</v>
      </c>
      <c r="S11" s="109">
        <f>'18'!AD14</f>
        <v>0.58333333333333337</v>
      </c>
      <c r="T11" s="109">
        <f>'19'!AD14</f>
        <v>0</v>
      </c>
      <c r="U11" s="109">
        <f>'20'!AD14</f>
        <v>0</v>
      </c>
      <c r="V11" s="109"/>
      <c r="W11" s="109">
        <f>'22'!AD14</f>
        <v>0</v>
      </c>
      <c r="X11" s="109">
        <f>'23'!AD16</f>
        <v>0</v>
      </c>
      <c r="Y11" s="109">
        <f>'24'!AD14</f>
        <v>0</v>
      </c>
      <c r="Z11" s="109">
        <f>'25'!AD14</f>
        <v>0</v>
      </c>
      <c r="AA11" s="109">
        <f>'26'!AD14</f>
        <v>0</v>
      </c>
      <c r="AB11" s="109">
        <f>'27'!AD14</f>
        <v>0</v>
      </c>
      <c r="AC11" s="109"/>
      <c r="AD11" s="109">
        <f>'29'!AD14</f>
        <v>0</v>
      </c>
      <c r="AE11" s="109">
        <f>'30'!AD14</f>
        <v>0.25</v>
      </c>
      <c r="AF11" s="110"/>
      <c r="AG11" s="111">
        <f t="shared" si="0"/>
        <v>5.694444444444445E-2</v>
      </c>
    </row>
    <row r="12" spans="1:33" ht="21.75" customHeight="1">
      <c r="A12" s="100" t="s">
        <v>69</v>
      </c>
      <c r="B12" s="97">
        <f>'01'!AD15</f>
        <v>0.20833333333333334</v>
      </c>
      <c r="C12" s="97">
        <f>'02'!AD15</f>
        <v>0</v>
      </c>
      <c r="D12" s="74">
        <f>'03'!AD15</f>
        <v>0</v>
      </c>
      <c r="E12" s="74">
        <f>'04'!AD16</f>
        <v>0</v>
      </c>
      <c r="F12" s="74">
        <f>'05'!AD15</f>
        <v>0</v>
      </c>
      <c r="G12" s="74">
        <f>'06'!AD15</f>
        <v>0</v>
      </c>
      <c r="H12" s="74">
        <f>'07'!AD15</f>
        <v>0</v>
      </c>
      <c r="I12" s="74">
        <f>'08'!AD15</f>
        <v>0.75</v>
      </c>
      <c r="J12" s="74">
        <f>'09'!AD16</f>
        <v>1</v>
      </c>
      <c r="K12" s="74">
        <f>'10'!AD15</f>
        <v>1</v>
      </c>
      <c r="L12" s="74">
        <f>'11'!AD15</f>
        <v>0.58333333333333337</v>
      </c>
      <c r="M12" s="74">
        <f>'12'!AD15</f>
        <v>1</v>
      </c>
      <c r="N12" s="74">
        <f>'13'!AD15</f>
        <v>1</v>
      </c>
      <c r="O12" s="74"/>
      <c r="P12" s="74">
        <f>'15'!AD15</f>
        <v>0.83333333333333337</v>
      </c>
      <c r="Q12" s="74">
        <f>'16'!AD17+'16'!AD18</f>
        <v>0.28419282511210764</v>
      </c>
      <c r="R12" s="74">
        <f>'17'!AD16</f>
        <v>0.54166666666666663</v>
      </c>
      <c r="S12" s="74">
        <f>'18'!AD15</f>
        <v>0</v>
      </c>
      <c r="T12" s="74">
        <f>'19'!AD15</f>
        <v>0</v>
      </c>
      <c r="U12" s="74">
        <f>'20'!AD15</f>
        <v>0</v>
      </c>
      <c r="V12" s="74"/>
      <c r="W12" s="74">
        <f>'22'!AD15</f>
        <v>0.54166666666666663</v>
      </c>
      <c r="X12" s="74">
        <f>'23'!AD17</f>
        <v>0.20833333333333334</v>
      </c>
      <c r="Y12" s="74">
        <f>'24'!AD15</f>
        <v>0.54166666666666663</v>
      </c>
      <c r="Z12" s="74">
        <f>'25'!AD15</f>
        <v>1</v>
      </c>
      <c r="AA12" s="74">
        <f>'26'!AD15</f>
        <v>1</v>
      </c>
      <c r="AB12" s="74">
        <f>'27'!AD15</f>
        <v>1</v>
      </c>
      <c r="AC12" s="74"/>
      <c r="AD12" s="74">
        <f>'29'!AD15</f>
        <v>0.16666666666666666</v>
      </c>
      <c r="AE12" s="74">
        <f>'30'!AD15</f>
        <v>0.91666666666666663</v>
      </c>
      <c r="AF12" s="75"/>
      <c r="AG12" s="76">
        <f t="shared" si="0"/>
        <v>0.41919531639262581</v>
      </c>
    </row>
    <row r="13" spans="1:33" ht="21.75" customHeight="1">
      <c r="A13" s="100" t="s">
        <v>70</v>
      </c>
      <c r="B13" s="97">
        <f>'01'!AD16</f>
        <v>0</v>
      </c>
      <c r="C13" s="97">
        <f>'02'!AD16</f>
        <v>0</v>
      </c>
      <c r="D13" s="74">
        <f>'03'!AD16</f>
        <v>0</v>
      </c>
      <c r="E13" s="74">
        <f>'04'!AD17</f>
        <v>0.16666666666666666</v>
      </c>
      <c r="F13" s="74">
        <f>'05'!AD16</f>
        <v>0</v>
      </c>
      <c r="G13" s="74">
        <f>'06'!AD16</f>
        <v>0</v>
      </c>
      <c r="H13" s="74">
        <f>'07'!AD16</f>
        <v>0</v>
      </c>
      <c r="I13" s="74">
        <f>'08'!AD16</f>
        <v>0</v>
      </c>
      <c r="J13" s="74">
        <f>'09'!AD17</f>
        <v>0</v>
      </c>
      <c r="K13" s="74">
        <f>'10'!AD16</f>
        <v>0</v>
      </c>
      <c r="L13" s="74">
        <f>'11'!AD16</f>
        <v>0</v>
      </c>
      <c r="M13" s="74">
        <f>'12'!AD16</f>
        <v>0</v>
      </c>
      <c r="N13" s="74">
        <f>'13'!AD16</f>
        <v>0</v>
      </c>
      <c r="O13" s="74"/>
      <c r="P13" s="74">
        <f>'15'!AD16</f>
        <v>0</v>
      </c>
      <c r="Q13" s="74">
        <f>'16'!AD19</f>
        <v>0</v>
      </c>
      <c r="R13" s="74">
        <f>'17'!AD17</f>
        <v>0</v>
      </c>
      <c r="S13" s="74">
        <f>'18'!AD16</f>
        <v>1</v>
      </c>
      <c r="T13" s="74">
        <f>'19'!AD16</f>
        <v>0</v>
      </c>
      <c r="U13" s="74">
        <f>'20'!AD16</f>
        <v>0</v>
      </c>
      <c r="V13" s="74"/>
      <c r="W13" s="74">
        <f>'22'!AD16</f>
        <v>0</v>
      </c>
      <c r="X13" s="74">
        <f>'23'!AD18</f>
        <v>0</v>
      </c>
      <c r="Y13" s="74">
        <f>'24'!AD16</f>
        <v>0</v>
      </c>
      <c r="Z13" s="74">
        <f>'25'!AD16</f>
        <v>0</v>
      </c>
      <c r="AA13" s="74">
        <f>'26'!AD16</f>
        <v>0</v>
      </c>
      <c r="AB13" s="74">
        <f>'27'!AD16</f>
        <v>0</v>
      </c>
      <c r="AC13" s="74"/>
      <c r="AD13" s="74">
        <f>'29'!AD16</f>
        <v>0</v>
      </c>
      <c r="AE13" s="74">
        <f>'30'!AD16</f>
        <v>0</v>
      </c>
      <c r="AF13" s="75"/>
      <c r="AG13" s="76">
        <f t="shared" si="0"/>
        <v>3.888888888888889E-2</v>
      </c>
    </row>
    <row r="14" spans="1:33" ht="21.75" customHeight="1">
      <c r="A14" s="100" t="s">
        <v>71</v>
      </c>
      <c r="B14" s="97">
        <f>'01'!AD17</f>
        <v>0.25</v>
      </c>
      <c r="C14" s="97">
        <f>'02'!AD17</f>
        <v>0.70833333333333337</v>
      </c>
      <c r="D14" s="74">
        <f>'03'!AD17</f>
        <v>0.875</v>
      </c>
      <c r="E14" s="74">
        <f>'04'!AD18</f>
        <v>0.33333333333333331</v>
      </c>
      <c r="F14" s="74">
        <f>'05'!AD17</f>
        <v>0.20833333333333334</v>
      </c>
      <c r="G14" s="74">
        <f>'06'!AD17</f>
        <v>0</v>
      </c>
      <c r="H14" s="74">
        <f>'07'!AD17</f>
        <v>0.45833333333333331</v>
      </c>
      <c r="I14" s="74">
        <f>'08'!AD17</f>
        <v>0.66666666666666663</v>
      </c>
      <c r="J14" s="74">
        <f>'09'!AD18</f>
        <v>0.83333333333333337</v>
      </c>
      <c r="K14" s="74">
        <f>'10'!AD17</f>
        <v>0.45833333333333331</v>
      </c>
      <c r="L14" s="74">
        <f>'11'!AD17</f>
        <v>0.75</v>
      </c>
      <c r="M14" s="74">
        <f>'12'!AD17</f>
        <v>0.66666666666666663</v>
      </c>
      <c r="N14" s="74">
        <f>'13'!AD17</f>
        <v>0</v>
      </c>
      <c r="O14" s="74"/>
      <c r="P14" s="74">
        <f>'15'!AD17+'15'!AD18</f>
        <v>0.75</v>
      </c>
      <c r="Q14" s="74">
        <f>'16'!AD20</f>
        <v>1</v>
      </c>
      <c r="R14" s="74">
        <f>'17'!AD18</f>
        <v>1</v>
      </c>
      <c r="S14" s="74">
        <f>'18'!AD17</f>
        <v>0</v>
      </c>
      <c r="T14" s="74">
        <f>'19'!AD17</f>
        <v>1</v>
      </c>
      <c r="U14" s="74">
        <f>'20'!AD17</f>
        <v>1</v>
      </c>
      <c r="V14" s="74"/>
      <c r="W14" s="74">
        <f>'22'!AD17</f>
        <v>1</v>
      </c>
      <c r="X14" s="74">
        <f>'23'!AD19+'23'!AD20</f>
        <v>0.5</v>
      </c>
      <c r="Y14" s="74">
        <f>'24'!AD17</f>
        <v>0</v>
      </c>
      <c r="Z14" s="74">
        <f>'25'!AD17</f>
        <v>0</v>
      </c>
      <c r="AA14" s="74">
        <f>'26'!AD17</f>
        <v>0</v>
      </c>
      <c r="AB14" s="74">
        <f>'27'!AD17</f>
        <v>0</v>
      </c>
      <c r="AC14" s="74"/>
      <c r="AD14" s="74">
        <f>'29'!AD17</f>
        <v>0</v>
      </c>
      <c r="AE14" s="74">
        <f>'30'!AD17</f>
        <v>0</v>
      </c>
      <c r="AF14" s="75"/>
      <c r="AG14" s="76">
        <f t="shared" si="0"/>
        <v>0.4152777777777778</v>
      </c>
    </row>
    <row r="15" spans="1:33" ht="21.75" customHeight="1">
      <c r="A15" s="101" t="s">
        <v>72</v>
      </c>
      <c r="B15" s="98">
        <f>'01'!AD18</f>
        <v>0</v>
      </c>
      <c r="C15" s="98">
        <f>'02'!AD18</f>
        <v>0</v>
      </c>
      <c r="D15" s="77">
        <f>'03'!AD18</f>
        <v>0.875</v>
      </c>
      <c r="E15" s="77">
        <f>'04'!AD19+'04'!AD20</f>
        <v>0.41666666666666669</v>
      </c>
      <c r="F15" s="77">
        <f>'05'!AD18</f>
        <v>0</v>
      </c>
      <c r="G15" s="77">
        <f>'06'!AD18+'06'!AD19</f>
        <v>0.91666666666666663</v>
      </c>
      <c r="H15" s="77">
        <f>'07'!AD18</f>
        <v>0</v>
      </c>
      <c r="I15" s="77">
        <f>'08'!AD18</f>
        <v>0.79166666666666663</v>
      </c>
      <c r="J15" s="77">
        <f>'09'!AD19</f>
        <v>0.79166666666666663</v>
      </c>
      <c r="K15" s="77">
        <f>'10'!AD18</f>
        <v>0</v>
      </c>
      <c r="L15" s="77">
        <f>'11'!AD18</f>
        <v>0.625</v>
      </c>
      <c r="M15" s="77">
        <f>'12'!AD18</f>
        <v>0.95833333333333337</v>
      </c>
      <c r="N15" s="77">
        <f>'13'!AD18</f>
        <v>0.375</v>
      </c>
      <c r="O15" s="77"/>
      <c r="P15" s="77">
        <f>'15'!AD19+'15'!AD20</f>
        <v>0.33333333333333331</v>
      </c>
      <c r="Q15" s="77">
        <f>'16'!AD21</f>
        <v>0.625</v>
      </c>
      <c r="R15" s="77">
        <f>'17'!AD19</f>
        <v>0</v>
      </c>
      <c r="S15" s="77">
        <f>'18'!AD18</f>
        <v>1</v>
      </c>
      <c r="T15" s="77">
        <f>'19'!AD18</f>
        <v>0.625</v>
      </c>
      <c r="U15" s="77">
        <f>'20'!AD18</f>
        <v>0.75</v>
      </c>
      <c r="V15" s="77"/>
      <c r="W15" s="77">
        <f>'22'!AD18</f>
        <v>0.66666666666666663</v>
      </c>
      <c r="X15" s="77">
        <f>'23'!AD21</f>
        <v>0.20833333333333334</v>
      </c>
      <c r="Y15" s="77">
        <f>'24'!AD18</f>
        <v>0</v>
      </c>
      <c r="Z15" s="77">
        <f>'25'!AD18</f>
        <v>0</v>
      </c>
      <c r="AA15" s="77">
        <f>'26'!AD18</f>
        <v>0.41666666666666669</v>
      </c>
      <c r="AB15" s="77">
        <f>'27'!AD18</f>
        <v>0.54166666666666663</v>
      </c>
      <c r="AC15" s="77"/>
      <c r="AD15" s="77">
        <f>'29'!AD18</f>
        <v>0</v>
      </c>
      <c r="AE15" s="77">
        <f>'30'!AD18</f>
        <v>0</v>
      </c>
      <c r="AF15" s="78"/>
      <c r="AG15" s="79">
        <f t="shared" si="0"/>
        <v>0.36388888888888882</v>
      </c>
    </row>
    <row r="16" spans="1:33" ht="21.75" customHeight="1">
      <c r="A16" s="101" t="s">
        <v>125</v>
      </c>
      <c r="B16" s="98">
        <f>'01'!AD19</f>
        <v>0</v>
      </c>
      <c r="C16" s="98">
        <f>'02'!AD19</f>
        <v>0</v>
      </c>
      <c r="D16" s="77">
        <f>'03'!AD19</f>
        <v>0.16666666666666666</v>
      </c>
      <c r="E16" s="77">
        <f>'04'!AD21+'04'!AD22+'04'!AD23+'04'!AD24</f>
        <v>0.91666666666666674</v>
      </c>
      <c r="F16" s="77">
        <f>'05'!AD19</f>
        <v>0.375</v>
      </c>
      <c r="G16" s="77">
        <f>'06'!AD20</f>
        <v>0</v>
      </c>
      <c r="H16" s="77">
        <f>'07'!AD19</f>
        <v>0</v>
      </c>
      <c r="I16" s="77">
        <f>'08'!AD19</f>
        <v>0</v>
      </c>
      <c r="J16" s="77">
        <f>'09'!AD20+'09'!AD21</f>
        <v>0.91666666666666663</v>
      </c>
      <c r="K16" s="77">
        <f>'10'!AD19</f>
        <v>0.83333333333333337</v>
      </c>
      <c r="L16" s="77">
        <f>'11'!AD19</f>
        <v>0.91666666666666663</v>
      </c>
      <c r="M16" s="77">
        <f>'12'!AD19</f>
        <v>1</v>
      </c>
      <c r="N16" s="77">
        <f>'13'!AD19</f>
        <v>1</v>
      </c>
      <c r="O16" s="77"/>
      <c r="P16" s="77">
        <f>'15'!AD21</f>
        <v>0.16666666666666666</v>
      </c>
      <c r="Q16" s="77">
        <f>'16'!AD22</f>
        <v>0.75</v>
      </c>
      <c r="R16" s="77">
        <f>'17'!AD20</f>
        <v>0</v>
      </c>
      <c r="S16" s="77">
        <f>'18'!AD19</f>
        <v>0.95833333333333337</v>
      </c>
      <c r="T16" s="77">
        <f>'19'!AD19+'19'!AD20</f>
        <v>0.58333333333333337</v>
      </c>
      <c r="U16" s="77">
        <f>'20'!AD19</f>
        <v>0.95833333333333337</v>
      </c>
      <c r="V16" s="77"/>
      <c r="W16" s="77">
        <f>'22'!AD19</f>
        <v>1</v>
      </c>
      <c r="X16" s="77">
        <f>'23'!AD22</f>
        <v>1</v>
      </c>
      <c r="Y16" s="77">
        <f>'24'!AD19</f>
        <v>1</v>
      </c>
      <c r="Z16" s="77">
        <f>'25'!AD19+'25'!AD20</f>
        <v>0.91666666666666674</v>
      </c>
      <c r="AA16" s="77">
        <f>'26'!AD19+'26'!AD20</f>
        <v>0.95833333333333326</v>
      </c>
      <c r="AB16" s="77">
        <f>'27'!AD19</f>
        <v>0.5</v>
      </c>
      <c r="AC16" s="77"/>
      <c r="AD16" s="77">
        <f>'29'!AD19</f>
        <v>0.75</v>
      </c>
      <c r="AE16" s="77">
        <f>'30'!AD19</f>
        <v>1</v>
      </c>
      <c r="AF16" s="78"/>
      <c r="AG16" s="79">
        <f t="shared" si="0"/>
        <v>0.55555555555555558</v>
      </c>
    </row>
    <row r="17" spans="1:33" ht="21.75" customHeight="1">
      <c r="A17" s="101" t="s">
        <v>126</v>
      </c>
      <c r="B17" s="98">
        <f>'01'!AD20</f>
        <v>0</v>
      </c>
      <c r="C17" s="98">
        <f>'02'!AD20</f>
        <v>0.75</v>
      </c>
      <c r="D17" s="77">
        <f>'03'!AD20</f>
        <v>0.83333333333333337</v>
      </c>
      <c r="E17" s="77">
        <f>'04'!AD25</f>
        <v>0.875</v>
      </c>
      <c r="F17" s="77">
        <f>'05'!AD20</f>
        <v>0.75</v>
      </c>
      <c r="G17" s="77">
        <f>'06'!AD21</f>
        <v>1</v>
      </c>
      <c r="H17" s="77">
        <f>'07'!AD20</f>
        <v>0.375</v>
      </c>
      <c r="I17" s="77">
        <f>'08'!AD20</f>
        <v>0.95833333333333337</v>
      </c>
      <c r="J17" s="77">
        <f>'09'!AD22</f>
        <v>0.875</v>
      </c>
      <c r="K17" s="77">
        <f>'10'!AD20</f>
        <v>1</v>
      </c>
      <c r="L17" s="77">
        <f>'11'!AD20</f>
        <v>1</v>
      </c>
      <c r="M17" s="77">
        <f>'12'!AD20</f>
        <v>1</v>
      </c>
      <c r="N17" s="77">
        <f>'13'!AD20</f>
        <v>0.70833333333333337</v>
      </c>
      <c r="O17" s="77"/>
      <c r="P17" s="77">
        <f>'15'!AD22</f>
        <v>0</v>
      </c>
      <c r="Q17" s="77">
        <f>'16'!AD23</f>
        <v>0</v>
      </c>
      <c r="R17" s="77">
        <f>'17'!AD21</f>
        <v>0.66666666666666663</v>
      </c>
      <c r="S17" s="77">
        <f>'18'!AD20</f>
        <v>0.41666666666666669</v>
      </c>
      <c r="T17" s="77">
        <f>'19'!AD21</f>
        <v>1</v>
      </c>
      <c r="U17" s="77">
        <f>'20'!AD20</f>
        <v>1</v>
      </c>
      <c r="V17" s="77"/>
      <c r="W17" s="77">
        <f>'22'!AD20</f>
        <v>1</v>
      </c>
      <c r="X17" s="77">
        <f>'23'!AD23+'23'!AD24</f>
        <v>0.91666666666666663</v>
      </c>
      <c r="Y17" s="77">
        <f>'24'!AD20</f>
        <v>0</v>
      </c>
      <c r="Z17" s="77">
        <f>'25'!AD21</f>
        <v>0.83333333333333337</v>
      </c>
      <c r="AA17" s="77">
        <f>'26'!AD21</f>
        <v>0.79166666666666663</v>
      </c>
      <c r="AB17" s="77">
        <f>'27'!AD20</f>
        <v>0.83333333333333337</v>
      </c>
      <c r="AC17" s="77"/>
      <c r="AD17" s="77">
        <f>'29'!AD20</f>
        <v>0.875</v>
      </c>
      <c r="AE17" s="77">
        <f>'30'!AD20</f>
        <v>0.875</v>
      </c>
      <c r="AF17" s="78"/>
      <c r="AG17" s="79">
        <f t="shared" si="0"/>
        <v>0.64444444444444438</v>
      </c>
    </row>
    <row r="18" spans="1:33" ht="21.75" customHeight="1" thickBot="1">
      <c r="A18" s="102" t="s">
        <v>127</v>
      </c>
      <c r="B18" s="99">
        <f>'01'!AD21</f>
        <v>1</v>
      </c>
      <c r="C18" s="99">
        <f>'02'!AD21</f>
        <v>1</v>
      </c>
      <c r="D18" s="80">
        <f>'03'!AD21</f>
        <v>1</v>
      </c>
      <c r="E18" s="80">
        <f>'04'!AD26</f>
        <v>1</v>
      </c>
      <c r="F18" s="80">
        <f>'05'!AD21</f>
        <v>0.66666666666666663</v>
      </c>
      <c r="G18" s="80">
        <f>'06'!AD22</f>
        <v>0</v>
      </c>
      <c r="H18" s="80">
        <f>'07'!AD21</f>
        <v>0.45833333333333331</v>
      </c>
      <c r="I18" s="80">
        <f>'08'!AD21</f>
        <v>0.54166666666666663</v>
      </c>
      <c r="J18" s="80">
        <f>'09'!AD23</f>
        <v>0.54166666666666663</v>
      </c>
      <c r="K18" s="80">
        <f>'10'!AD21</f>
        <v>0.58333333333333337</v>
      </c>
      <c r="L18" s="80">
        <f>'11'!AD21</f>
        <v>1</v>
      </c>
      <c r="M18" s="80">
        <f>'12'!AD21</f>
        <v>0.58333333333333337</v>
      </c>
      <c r="N18" s="80">
        <f>'13'!AD21</f>
        <v>0</v>
      </c>
      <c r="O18" s="80"/>
      <c r="P18" s="80">
        <f>'15'!AD23</f>
        <v>0.91666666666666663</v>
      </c>
      <c r="Q18" s="80">
        <f>'16'!AD24</f>
        <v>0.74091335138512804</v>
      </c>
      <c r="R18" s="80">
        <f>'17'!AD22</f>
        <v>0.625</v>
      </c>
      <c r="S18" s="80">
        <f>'18'!AD21</f>
        <v>1</v>
      </c>
      <c r="T18" s="80">
        <f>'19'!AD22</f>
        <v>0.625</v>
      </c>
      <c r="U18" s="80">
        <f>'20'!AD21</f>
        <v>0</v>
      </c>
      <c r="V18" s="80"/>
      <c r="W18" s="80">
        <f>'22'!AD21</f>
        <v>0.5</v>
      </c>
      <c r="X18" s="80">
        <f>'23'!AD25</f>
        <v>0.58333333333333337</v>
      </c>
      <c r="Y18" s="80">
        <f>'24'!AD21</f>
        <v>0.54166666666666663</v>
      </c>
      <c r="Z18" s="80">
        <f>'25'!AD22</f>
        <v>0.58333333333333337</v>
      </c>
      <c r="AA18" s="80">
        <f>'26'!AD22</f>
        <v>0.58333333333333337</v>
      </c>
      <c r="AB18" s="80">
        <f>'27'!AD21</f>
        <v>0</v>
      </c>
      <c r="AC18" s="80"/>
      <c r="AD18" s="80">
        <f>'29'!AD21</f>
        <v>0.45833333333333331</v>
      </c>
      <c r="AE18" s="80">
        <f>'30'!AD21</f>
        <v>0.54166666666666663</v>
      </c>
      <c r="AF18" s="81"/>
      <c r="AG18" s="82">
        <f t="shared" si="0"/>
        <v>0.5358082228239488</v>
      </c>
    </row>
    <row r="19" spans="1:33" s="83" customFormat="1" ht="21.75" customHeight="1">
      <c r="A19" s="87" t="s">
        <v>104</v>
      </c>
      <c r="B19" s="91">
        <f>'01'!AD22</f>
        <v>0.29166666666666669</v>
      </c>
      <c r="C19" s="91">
        <f>'02'!AD22</f>
        <v>0.33854166666666669</v>
      </c>
      <c r="D19" s="92">
        <f>'03'!AD22</f>
        <v>0.46354166666666663</v>
      </c>
      <c r="E19" s="92">
        <f>'04'!AD27</f>
        <v>0.47619047619047616</v>
      </c>
      <c r="F19" s="92">
        <f>'05'!AD22</f>
        <v>0.52864583333333337</v>
      </c>
      <c r="G19" s="92">
        <f>'06'!AD23</f>
        <v>0.5</v>
      </c>
      <c r="H19" s="92">
        <f>'07'!AD22</f>
        <v>0.23177083333333334</v>
      </c>
      <c r="I19" s="92">
        <f>'08'!AD22</f>
        <v>0.640625</v>
      </c>
      <c r="J19" s="92">
        <f>'09'!AD24</f>
        <v>0.6064814814814814</v>
      </c>
      <c r="K19" s="92">
        <f>'10'!AD22</f>
        <v>0.546875</v>
      </c>
      <c r="L19" s="92">
        <f>'11'!AD22</f>
        <v>0.51302083333333326</v>
      </c>
      <c r="M19" s="92">
        <f>'12'!AD22</f>
        <v>0.62760416666666674</v>
      </c>
      <c r="N19" s="92">
        <f>'13'!AD22</f>
        <v>0.39843749999999994</v>
      </c>
      <c r="O19" s="92"/>
      <c r="P19" s="92">
        <f>'15'!AD24</f>
        <v>0.50462962962962954</v>
      </c>
      <c r="Q19" s="92">
        <f>'16'!AD25</f>
        <v>0.45965471104371408</v>
      </c>
      <c r="R19" s="92">
        <f>'17'!AD23</f>
        <v>0.41176470588235298</v>
      </c>
      <c r="S19" s="92">
        <f>'18'!AD22</f>
        <v>0.625</v>
      </c>
      <c r="T19" s="92">
        <f>'19'!AD23</f>
        <v>0.49019607843137258</v>
      </c>
      <c r="U19" s="92">
        <f>'20'!AD22</f>
        <v>0.55208333333333326</v>
      </c>
      <c r="V19" s="92"/>
      <c r="W19" s="92">
        <f>'22'!AD22</f>
        <v>0.61458333333333337</v>
      </c>
      <c r="X19" s="92">
        <f>'23'!AD26</f>
        <v>0.44583333333333341</v>
      </c>
      <c r="Y19" s="92">
        <f>'24'!AD22</f>
        <v>0.58333333333333337</v>
      </c>
      <c r="Z19" s="92">
        <f>'25'!AD23</f>
        <v>0.57352941176470595</v>
      </c>
      <c r="AA19" s="92">
        <f>'26'!AD23</f>
        <v>0.52696078431372562</v>
      </c>
      <c r="AB19" s="92">
        <f>'27'!AD22</f>
        <v>0.53645833333333337</v>
      </c>
      <c r="AC19" s="92"/>
      <c r="AD19" s="92">
        <f>'29'!AD22</f>
        <v>0.44791666666666669</v>
      </c>
      <c r="AE19" s="92">
        <f>'30'!AD22</f>
        <v>0.52604166666666674</v>
      </c>
      <c r="AF19" s="93"/>
      <c r="AG19" s="94">
        <f t="shared" si="0"/>
        <v>0.44871288151347094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 지정된 범위</vt:lpstr>
      </vt:variant>
      <vt:variant>
        <vt:i4>55</vt:i4>
      </vt:variant>
    </vt:vector>
  </HeadingPairs>
  <TitlesOfParts>
    <vt:vector size="8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15</vt:lpstr>
      <vt:lpstr>16</vt:lpstr>
      <vt:lpstr>17</vt:lpstr>
      <vt:lpstr>18</vt:lpstr>
      <vt:lpstr>19</vt:lpstr>
      <vt:lpstr>20</vt:lpstr>
      <vt:lpstr>22</vt:lpstr>
      <vt:lpstr>23</vt:lpstr>
      <vt:lpstr>24</vt:lpstr>
      <vt:lpstr>25</vt:lpstr>
      <vt:lpstr>26</vt:lpstr>
      <vt:lpstr>27</vt:lpstr>
      <vt:lpstr>29</vt:lpstr>
      <vt:lpstr>30</vt:lpstr>
      <vt:lpstr>총괄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'29'!Print_Area</vt:lpstr>
      <vt:lpstr>'30'!Print_Area</vt:lpstr>
      <vt:lpstr>총괄!Print_Area</vt:lpstr>
      <vt:lpstr>'01'!ㅁ1</vt:lpstr>
      <vt:lpstr>'02'!ㅁ1</vt:lpstr>
      <vt:lpstr>'03'!ㅁ1</vt:lpstr>
      <vt:lpstr>'04'!ㅁ1</vt:lpstr>
      <vt:lpstr>'05'!ㅁ1</vt:lpstr>
      <vt:lpstr>'06'!ㅁ1</vt:lpstr>
      <vt:lpstr>'07'!ㅁ1</vt:lpstr>
      <vt:lpstr>'08'!ㅁ1</vt:lpstr>
      <vt:lpstr>'09'!ㅁ1</vt:lpstr>
      <vt:lpstr>'10'!ㅁ1</vt:lpstr>
      <vt:lpstr>'11'!ㅁ1</vt:lpstr>
      <vt:lpstr>'12'!ㅁ1</vt:lpstr>
      <vt:lpstr>'13'!ㅁ1</vt:lpstr>
      <vt:lpstr>'15'!ㅁ1</vt:lpstr>
      <vt:lpstr>'16'!ㅁ1</vt:lpstr>
      <vt:lpstr>'17'!ㅁ1</vt:lpstr>
      <vt:lpstr>'18'!ㅁ1</vt:lpstr>
      <vt:lpstr>'19'!ㅁ1</vt:lpstr>
      <vt:lpstr>'20'!ㅁ1</vt:lpstr>
      <vt:lpstr>'22'!ㅁ1</vt:lpstr>
      <vt:lpstr>'23'!ㅁ1</vt:lpstr>
      <vt:lpstr>'24'!ㅁ1</vt:lpstr>
      <vt:lpstr>'25'!ㅁ1</vt:lpstr>
      <vt:lpstr>'26'!ㅁ1</vt:lpstr>
      <vt:lpstr>'27'!ㅁ1</vt:lpstr>
      <vt:lpstr>'29'!ㅁ1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2020-07-01T00:24:57Z</cp:lastPrinted>
  <dcterms:created xsi:type="dcterms:W3CDTF">2014-05-16T00:06:55Z</dcterms:created>
  <dcterms:modified xsi:type="dcterms:W3CDTF">2020-07-01T00:28:48Z</dcterms:modified>
</cp:coreProperties>
</file>