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726B13C1-A350-4DCF-8A1D-3C2D8120DAB9}" xr6:coauthVersionLast="45" xr6:coauthVersionMax="45" xr10:uidLastSave="{00000000-0000-0000-0000-000000000000}"/>
  <bookViews>
    <workbookView xWindow="-120" yWindow="-120" windowWidth="29040" windowHeight="15840" firstSheet="3" activeTab="25" xr2:uid="{00000000-000D-0000-FFFF-FFFF00000000}"/>
  </bookViews>
  <sheets>
    <sheet name="01" sheetId="1774" r:id="rId1"/>
    <sheet name="02" sheetId="1775" r:id="rId2"/>
    <sheet name="03" sheetId="1776" r:id="rId3"/>
    <sheet name="04" sheetId="1777" r:id="rId4"/>
    <sheet name="06" sheetId="1778" r:id="rId5"/>
    <sheet name="07" sheetId="1779" r:id="rId6"/>
    <sheet name="08" sheetId="1780" r:id="rId7"/>
    <sheet name="09" sheetId="1781" r:id="rId8"/>
    <sheet name="10" sheetId="1782" r:id="rId9"/>
    <sheet name="11" sheetId="1783" r:id="rId10"/>
    <sheet name="13" sheetId="1784" r:id="rId11"/>
    <sheet name="14" sheetId="1785" r:id="rId12"/>
    <sheet name="15" sheetId="1786" r:id="rId13"/>
    <sheet name="16" sheetId="1787" r:id="rId14"/>
    <sheet name="17" sheetId="1788" r:id="rId15"/>
    <sheet name="18" sheetId="1789" r:id="rId16"/>
    <sheet name="20" sheetId="1790" r:id="rId17"/>
    <sheet name="21" sheetId="1791" r:id="rId18"/>
    <sheet name="22" sheetId="1792" r:id="rId19"/>
    <sheet name="23" sheetId="1793" r:id="rId20"/>
    <sheet name="24" sheetId="1794" r:id="rId21"/>
    <sheet name="27" sheetId="1795" r:id="rId22"/>
    <sheet name="28" sheetId="1796" r:id="rId23"/>
    <sheet name="29" sheetId="1797" r:id="rId24"/>
    <sheet name="30" sheetId="1798" r:id="rId25"/>
    <sheet name="31" sheetId="1799" r:id="rId26"/>
    <sheet name="총괄" sheetId="16" r:id="rId27"/>
  </sheets>
  <definedNames>
    <definedName name="_xlnm.Print_Area" localSheetId="0">'01'!$A$1:$AD$89</definedName>
    <definedName name="_xlnm.Print_Area" localSheetId="1">'02'!$A$1:$AD$87</definedName>
    <definedName name="_xlnm.Print_Area" localSheetId="2">'03'!$A$1:$AD$88</definedName>
    <definedName name="_xlnm.Print_Area" localSheetId="3">'04'!$A$1:$AD$87</definedName>
    <definedName name="_xlnm.Print_Area" localSheetId="4">'06'!$A$1:$AD$87</definedName>
    <definedName name="_xlnm.Print_Area" localSheetId="5">'07'!$A$1:$AD$88</definedName>
    <definedName name="_xlnm.Print_Area" localSheetId="6">'08'!$A$1:$AD$88</definedName>
    <definedName name="_xlnm.Print_Area" localSheetId="7">'09'!$A$1:$AD$87</definedName>
    <definedName name="_xlnm.Print_Area" localSheetId="8">'10'!$A$1:$AD$87</definedName>
    <definedName name="_xlnm.Print_Area" localSheetId="9">'11'!$A$1:$AD$87</definedName>
    <definedName name="_xlnm.Print_Area" localSheetId="10">'13'!$A$1:$AD$87</definedName>
    <definedName name="_xlnm.Print_Area" localSheetId="11">'14'!$A$1:$AD$87</definedName>
    <definedName name="_xlnm.Print_Area" localSheetId="12">'15'!$A$1:$AD$88</definedName>
    <definedName name="_xlnm.Print_Area" localSheetId="13">'16'!$A$1:$AD$87</definedName>
    <definedName name="_xlnm.Print_Area" localSheetId="14">'17'!$A$1:$AD$87</definedName>
    <definedName name="_xlnm.Print_Area" localSheetId="15">'18'!$A$1:$AD$87</definedName>
    <definedName name="_xlnm.Print_Area" localSheetId="16">'20'!$A$1:$AD$87</definedName>
    <definedName name="_xlnm.Print_Area" localSheetId="17">'21'!$A$1:$AD$87</definedName>
    <definedName name="_xlnm.Print_Area" localSheetId="18">'22'!$A$1:$AD$87</definedName>
    <definedName name="_xlnm.Print_Area" localSheetId="19">'23'!$A$1:$AD$87</definedName>
    <definedName name="_xlnm.Print_Area" localSheetId="20">'24'!$A$1:$AD$87</definedName>
    <definedName name="_xlnm.Print_Area" localSheetId="21">'27'!$A$1:$AD$87</definedName>
    <definedName name="_xlnm.Print_Area" localSheetId="22">'28'!$A$1:$AD$87</definedName>
    <definedName name="_xlnm.Print_Area" localSheetId="23">'29'!$A$1:$AD$87</definedName>
    <definedName name="_xlnm.Print_Area" localSheetId="24">'30'!$A$1:$AD$87</definedName>
    <definedName name="_xlnm.Print_Area" localSheetId="25">'31'!$A$1:$AD$87</definedName>
    <definedName name="ㅁ1" localSheetId="0">'01'!$M$1048524:$M$1048576</definedName>
    <definedName name="ㅁ1" localSheetId="1">'02'!$M$1048522:$M$1048576</definedName>
    <definedName name="ㅁ1" localSheetId="2">'03'!$M$1048523:$M$1048576</definedName>
    <definedName name="ㅁ1" localSheetId="3">'04'!$M$1048522:$M$1048576</definedName>
    <definedName name="ㅁ1" localSheetId="4">'06'!$M$1048522:$M$1048576</definedName>
    <definedName name="ㅁ1" localSheetId="5">'07'!$M$1048523:$M$1048576</definedName>
    <definedName name="ㅁ1" localSheetId="6">'08'!$M$1048523:$M$1048576</definedName>
    <definedName name="ㅁ1" localSheetId="7">'09'!$M$1048522:$M$1048576</definedName>
    <definedName name="ㅁ1" localSheetId="8">'10'!$M$1048522:$M$1048576</definedName>
    <definedName name="ㅁ1" localSheetId="9">'11'!$M$1048522:$M$1048576</definedName>
    <definedName name="ㅁ1" localSheetId="10">'13'!$M$1048522:$M$1048576</definedName>
    <definedName name="ㅁ1" localSheetId="11">'14'!$M$1048522:$M$1048576</definedName>
    <definedName name="ㅁ1" localSheetId="12">'15'!$M$1048523:$M$1048576</definedName>
    <definedName name="ㅁ1" localSheetId="13">'16'!$M$1048522:$M$1048576</definedName>
    <definedName name="ㅁ1" localSheetId="14">'17'!$M$1048522:$M$1048576</definedName>
    <definedName name="ㅁ1" localSheetId="15">'18'!$M$1048522:$M$1048576</definedName>
    <definedName name="ㅁ1" localSheetId="16">'20'!$M$1048522:$M$1048576</definedName>
    <definedName name="ㅁ1" localSheetId="17">'21'!$M$1048522:$M$1048576</definedName>
    <definedName name="ㅁ1" localSheetId="18">'22'!$M$1048522:$M$1048576</definedName>
    <definedName name="ㅁ1" localSheetId="19">'23'!$M$1048522:$M$1048576</definedName>
    <definedName name="ㅁ1" localSheetId="20">'24'!$M$1048522:$M$1048576</definedName>
    <definedName name="ㅁ1" localSheetId="21">'27'!$M$1048522:$M$1048576</definedName>
    <definedName name="ㅁ1" localSheetId="22">'28'!$M$1048522:$M$1048576</definedName>
    <definedName name="ㅁ1" localSheetId="23">'29'!$M$1048522:$M$1048576</definedName>
    <definedName name="ㅁ1" localSheetId="24">'30'!$M$1048522:$M$1048576</definedName>
    <definedName name="ㅁ1" localSheetId="25">'31'!$M$1048522:$M$1048576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9" i="16" l="1"/>
  <c r="AF18" i="16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1" i="1799"/>
  <c r="K21" i="1799" s="1"/>
  <c r="L20" i="1799"/>
  <c r="K20" i="1799" s="1"/>
  <c r="L19" i="1799"/>
  <c r="K19" i="1799" s="1"/>
  <c r="L18" i="1799"/>
  <c r="K18" i="1799"/>
  <c r="L17" i="1799"/>
  <c r="K17" i="1799" s="1"/>
  <c r="L14" i="1799"/>
  <c r="L13" i="1799"/>
  <c r="AB13" i="1799" s="1"/>
  <c r="L12" i="1799"/>
  <c r="L11" i="1799"/>
  <c r="K11" i="1799" s="1"/>
  <c r="L8" i="1799"/>
  <c r="K8" i="1799" s="1"/>
  <c r="K14" i="1799"/>
  <c r="K13" i="1799"/>
  <c r="K12" i="1799"/>
  <c r="K9" i="1799"/>
  <c r="A77" i="1799"/>
  <c r="A78" i="1799" s="1"/>
  <c r="A79" i="1799" s="1"/>
  <c r="A80" i="1799" s="1"/>
  <c r="A81" i="1799" s="1"/>
  <c r="A82" i="1799" s="1"/>
  <c r="AF61" i="1799"/>
  <c r="AF60" i="1799"/>
  <c r="AF63" i="1799" s="1"/>
  <c r="AA22" i="1799"/>
  <c r="Z22" i="1799"/>
  <c r="Y22" i="1799"/>
  <c r="X22" i="1799"/>
  <c r="W22" i="1799"/>
  <c r="V22" i="1799"/>
  <c r="U22" i="1799"/>
  <c r="T22" i="1799"/>
  <c r="S22" i="1799"/>
  <c r="R22" i="1799"/>
  <c r="N22" i="1799"/>
  <c r="J22" i="1799"/>
  <c r="I22" i="1799"/>
  <c r="AF21" i="1799"/>
  <c r="AB21" i="1799"/>
  <c r="Q21" i="1799"/>
  <c r="M21" i="1799"/>
  <c r="O21" i="1799"/>
  <c r="AF20" i="1799"/>
  <c r="Q20" i="1799"/>
  <c r="O20" i="1799"/>
  <c r="P20" i="1799"/>
  <c r="AC20" i="1799" s="1"/>
  <c r="AF19" i="1799"/>
  <c r="Q19" i="1799"/>
  <c r="P19" i="1799" s="1"/>
  <c r="AC19" i="1799" s="1"/>
  <c r="O19" i="1799"/>
  <c r="AF18" i="1799"/>
  <c r="Q18" i="1799"/>
  <c r="AB18" i="1799"/>
  <c r="AF17" i="1799"/>
  <c r="Q17" i="1799"/>
  <c r="AF16" i="1799"/>
  <c r="AC16" i="1799"/>
  <c r="AB16" i="1799"/>
  <c r="Q16" i="1799"/>
  <c r="P16" i="1799"/>
  <c r="O16" i="1799"/>
  <c r="M16" i="1799"/>
  <c r="K16" i="1799"/>
  <c r="AF15" i="1799"/>
  <c r="AC15" i="1799"/>
  <c r="AD15" i="1799" s="1"/>
  <c r="AB15" i="1799"/>
  <c r="Q15" i="1799"/>
  <c r="P15" i="1799"/>
  <c r="O15" i="1799"/>
  <c r="M15" i="1799"/>
  <c r="K15" i="1799"/>
  <c r="AF14" i="1799"/>
  <c r="Q14" i="1799"/>
  <c r="O14" i="1799"/>
  <c r="P14" i="1799"/>
  <c r="AC14" i="1799" s="1"/>
  <c r="AF13" i="1799"/>
  <c r="Q13" i="1799"/>
  <c r="P13" i="1799"/>
  <c r="AC13" i="1799" s="1"/>
  <c r="O13" i="1799"/>
  <c r="AF12" i="1799"/>
  <c r="Q12" i="1799"/>
  <c r="AB12" i="1799"/>
  <c r="AF11" i="1799"/>
  <c r="AB11" i="1799"/>
  <c r="Q11" i="1799"/>
  <c r="P11" i="1799" s="1"/>
  <c r="AC11" i="1799" s="1"/>
  <c r="O11" i="1799"/>
  <c r="M11" i="1799"/>
  <c r="AF10" i="1799"/>
  <c r="AB10" i="1799"/>
  <c r="Q10" i="1799"/>
  <c r="P10" i="1799"/>
  <c r="AC10" i="1799" s="1"/>
  <c r="O10" i="1799"/>
  <c r="M10" i="1799"/>
  <c r="K10" i="1799"/>
  <c r="AF9" i="1799"/>
  <c r="AB9" i="1799"/>
  <c r="Q9" i="1799"/>
  <c r="P9" i="1799"/>
  <c r="AC9" i="1799" s="1"/>
  <c r="M9" i="1799"/>
  <c r="O9" i="1799"/>
  <c r="AF8" i="1799"/>
  <c r="Q8" i="1799"/>
  <c r="AF7" i="1799"/>
  <c r="AB7" i="1799"/>
  <c r="Q7" i="1799"/>
  <c r="P7" i="1799"/>
  <c r="AC7" i="1799" s="1"/>
  <c r="AD7" i="1799" s="1"/>
  <c r="O7" i="1799"/>
  <c r="M7" i="1799"/>
  <c r="K7" i="1799"/>
  <c r="AF6" i="1799"/>
  <c r="AB6" i="1799"/>
  <c r="Q6" i="1799"/>
  <c r="P6" i="1799"/>
  <c r="AC6" i="1799" s="1"/>
  <c r="O6" i="1799"/>
  <c r="M6" i="1799"/>
  <c r="K6" i="1799"/>
  <c r="P21" i="1799" l="1"/>
  <c r="AC21" i="1799" s="1"/>
  <c r="AD21" i="1799" s="1"/>
  <c r="M19" i="1799"/>
  <c r="AB19" i="1799"/>
  <c r="AD19" i="1799" s="1"/>
  <c r="O17" i="1799"/>
  <c r="AB17" i="1799"/>
  <c r="AD17" i="1799" s="1"/>
  <c r="P17" i="1799"/>
  <c r="AC17" i="1799" s="1"/>
  <c r="M17" i="1799"/>
  <c r="M13" i="1799"/>
  <c r="Q22" i="1799"/>
  <c r="P8" i="1799"/>
  <c r="AC8" i="1799" s="1"/>
  <c r="AD10" i="1799"/>
  <c r="AD13" i="1799"/>
  <c r="AD16" i="1799"/>
  <c r="AD11" i="1799"/>
  <c r="AD6" i="1799"/>
  <c r="AD9" i="1799"/>
  <c r="O12" i="1799"/>
  <c r="O18" i="1799"/>
  <c r="L22" i="1799"/>
  <c r="O22" i="1799" s="1"/>
  <c r="M8" i="1799"/>
  <c r="AB8" i="1799"/>
  <c r="AD8" i="1799" s="1"/>
  <c r="P12" i="1799"/>
  <c r="AC12" i="1799" s="1"/>
  <c r="M14" i="1799"/>
  <c r="AB14" i="1799"/>
  <c r="AD14" i="1799" s="1"/>
  <c r="P18" i="1799"/>
  <c r="AC18" i="1799" s="1"/>
  <c r="M20" i="1799"/>
  <c r="AB20" i="1799"/>
  <c r="AD20" i="1799" s="1"/>
  <c r="O8" i="1799"/>
  <c r="K22" i="1799"/>
  <c r="M12" i="1799"/>
  <c r="M18" i="1799"/>
  <c r="L21" i="1798"/>
  <c r="AB21" i="1798" s="1"/>
  <c r="L20" i="1798"/>
  <c r="O20" i="1798" s="1"/>
  <c r="L19" i="1798"/>
  <c r="P19" i="1798" s="1"/>
  <c r="AC19" i="1798" s="1"/>
  <c r="L18" i="1798"/>
  <c r="O18" i="1798" s="1"/>
  <c r="AF18" i="1798"/>
  <c r="Q18" i="1798"/>
  <c r="K18" i="1798"/>
  <c r="L17" i="1798"/>
  <c r="L14" i="1798"/>
  <c r="AB14" i="1798" s="1"/>
  <c r="L13" i="1798"/>
  <c r="AB13" i="1798" s="1"/>
  <c r="L12" i="1798"/>
  <c r="L9" i="1798"/>
  <c r="L8" i="1798"/>
  <c r="K17" i="1798"/>
  <c r="K12" i="1798"/>
  <c r="K11" i="1798"/>
  <c r="K9" i="1798"/>
  <c r="A77" i="1798"/>
  <c r="A78" i="1798" s="1"/>
  <c r="A79" i="1798" s="1"/>
  <c r="A80" i="1798" s="1"/>
  <c r="A81" i="1798" s="1"/>
  <c r="A82" i="1798" s="1"/>
  <c r="AF61" i="1798"/>
  <c r="AF60" i="1798"/>
  <c r="AF63" i="1798" s="1"/>
  <c r="AA22" i="1798"/>
  <c r="Z22" i="1798"/>
  <c r="Y22" i="1798"/>
  <c r="X22" i="1798"/>
  <c r="W22" i="1798"/>
  <c r="V22" i="1798"/>
  <c r="U22" i="1798"/>
  <c r="T22" i="1798"/>
  <c r="S22" i="1798"/>
  <c r="R22" i="1798"/>
  <c r="N22" i="1798"/>
  <c r="J22" i="1798"/>
  <c r="I22" i="1798"/>
  <c r="AF21" i="1798"/>
  <c r="Q21" i="1798"/>
  <c r="AF20" i="1798"/>
  <c r="Q20" i="1798"/>
  <c r="P20" i="1798"/>
  <c r="AC20" i="1798" s="1"/>
  <c r="AF19" i="1798"/>
  <c r="AB19" i="1798"/>
  <c r="Q19" i="1798"/>
  <c r="O19" i="1798"/>
  <c r="AF17" i="1798"/>
  <c r="AB17" i="1798"/>
  <c r="Q17" i="1798"/>
  <c r="M17" i="1798"/>
  <c r="AF16" i="1798"/>
  <c r="AB16" i="1798"/>
  <c r="Q16" i="1798"/>
  <c r="P16" i="1798"/>
  <c r="AC16" i="1798" s="1"/>
  <c r="O16" i="1798"/>
  <c r="M16" i="1798"/>
  <c r="K16" i="1798"/>
  <c r="AF15" i="1798"/>
  <c r="AB15" i="1798"/>
  <c r="Q15" i="1798"/>
  <c r="P15" i="1798"/>
  <c r="AC15" i="1798" s="1"/>
  <c r="AD15" i="1798" s="1"/>
  <c r="AE12" i="16" s="1"/>
  <c r="O15" i="1798"/>
  <c r="M15" i="1798"/>
  <c r="K15" i="1798"/>
  <c r="AF14" i="1798"/>
  <c r="Q14" i="1798"/>
  <c r="O14" i="1798"/>
  <c r="AF13" i="1798"/>
  <c r="Q13" i="1798"/>
  <c r="P13" i="1798" s="1"/>
  <c r="AC13" i="1798" s="1"/>
  <c r="M13" i="1798"/>
  <c r="AF12" i="1798"/>
  <c r="Q12" i="1798"/>
  <c r="P12" i="1798" s="1"/>
  <c r="AC12" i="1798" s="1"/>
  <c r="AF11" i="1798"/>
  <c r="AB11" i="1798"/>
  <c r="Q11" i="1798"/>
  <c r="P11" i="1798"/>
  <c r="AC11" i="1798" s="1"/>
  <c r="O11" i="1798"/>
  <c r="M11" i="1798"/>
  <c r="AF10" i="1798"/>
  <c r="AB10" i="1798"/>
  <c r="Q10" i="1798"/>
  <c r="P10" i="1798"/>
  <c r="AC10" i="1798" s="1"/>
  <c r="AD10" i="1798" s="1"/>
  <c r="AE7" i="16" s="1"/>
  <c r="O10" i="1798"/>
  <c r="M10" i="1798"/>
  <c r="K10" i="1798"/>
  <c r="AF9" i="1798"/>
  <c r="Q9" i="1798"/>
  <c r="P9" i="1798"/>
  <c r="AC9" i="1798" s="1"/>
  <c r="AF8" i="1798"/>
  <c r="AB8" i="1798"/>
  <c r="Q8" i="1798"/>
  <c r="O8" i="1798"/>
  <c r="AF7" i="1798"/>
  <c r="AB7" i="1798"/>
  <c r="Q7" i="1798"/>
  <c r="P7" i="1798"/>
  <c r="AC7" i="1798" s="1"/>
  <c r="AD7" i="1798" s="1"/>
  <c r="AE4" i="16" s="1"/>
  <c r="O7" i="1798"/>
  <c r="M7" i="1798"/>
  <c r="K7" i="1798"/>
  <c r="AF6" i="1798"/>
  <c r="AB6" i="1798"/>
  <c r="Q6" i="1798"/>
  <c r="P6" i="1798"/>
  <c r="AC6" i="1798" s="1"/>
  <c r="AD6" i="1798" s="1"/>
  <c r="AE3" i="16" s="1"/>
  <c r="O6" i="1798"/>
  <c r="M6" i="1798"/>
  <c r="K6" i="1798"/>
  <c r="AC22" i="1799" l="1"/>
  <c r="M22" i="1799"/>
  <c r="AD18" i="1799"/>
  <c r="AD12" i="1799"/>
  <c r="P22" i="1799"/>
  <c r="AB22" i="1799"/>
  <c r="P8" i="1798"/>
  <c r="AC8" i="1798" s="1"/>
  <c r="M8" i="1798"/>
  <c r="K8" i="1798"/>
  <c r="K13" i="1798"/>
  <c r="K22" i="1798" s="1"/>
  <c r="P17" i="1798"/>
  <c r="AC17" i="1798" s="1"/>
  <c r="K20" i="1798"/>
  <c r="K14" i="1798"/>
  <c r="AD11" i="1798"/>
  <c r="AE8" i="16" s="1"/>
  <c r="AD16" i="1798"/>
  <c r="AE13" i="16" s="1"/>
  <c r="M19" i="1798"/>
  <c r="P18" i="1798"/>
  <c r="AC18" i="1798" s="1"/>
  <c r="K19" i="1798"/>
  <c r="M21" i="1798"/>
  <c r="K21" i="1798"/>
  <c r="P21" i="1798"/>
  <c r="AC21" i="1798" s="1"/>
  <c r="O21" i="1798"/>
  <c r="M18" i="1798"/>
  <c r="AB18" i="1798"/>
  <c r="O17" i="1798"/>
  <c r="O13" i="1798"/>
  <c r="AD13" i="1798" s="1"/>
  <c r="AE10" i="16" s="1"/>
  <c r="Q22" i="1798"/>
  <c r="AD19" i="1798"/>
  <c r="AE16" i="16" s="1"/>
  <c r="AD8" i="1798"/>
  <c r="AE5" i="16" s="1"/>
  <c r="AD17" i="1798"/>
  <c r="AE14" i="16" s="1"/>
  <c r="L22" i="1798"/>
  <c r="O22" i="1798" s="1"/>
  <c r="M9" i="1798"/>
  <c r="AB9" i="1798"/>
  <c r="M12" i="1798"/>
  <c r="AB12" i="1798"/>
  <c r="P14" i="1798"/>
  <c r="AC14" i="1798" s="1"/>
  <c r="AD14" i="1798" s="1"/>
  <c r="AE11" i="16" s="1"/>
  <c r="M20" i="1798"/>
  <c r="AB20" i="1798"/>
  <c r="AD20" i="1798" s="1"/>
  <c r="AE17" i="16" s="1"/>
  <c r="O9" i="1798"/>
  <c r="O12" i="1798"/>
  <c r="M14" i="1798"/>
  <c r="L20" i="1797"/>
  <c r="K20" i="1797"/>
  <c r="L21" i="1797"/>
  <c r="L17" i="1797"/>
  <c r="L14" i="1797"/>
  <c r="K14" i="1797"/>
  <c r="L13" i="1797"/>
  <c r="L12" i="1797"/>
  <c r="L11" i="1797"/>
  <c r="L9" i="1797"/>
  <c r="K9" i="1797" s="1"/>
  <c r="L8" i="1797"/>
  <c r="AD22" i="1799" l="1"/>
  <c r="AE17" i="1799" s="1"/>
  <c r="AD18" i="1798"/>
  <c r="AE15" i="16" s="1"/>
  <c r="AD21" i="1798"/>
  <c r="AE18" i="16" s="1"/>
  <c r="AD9" i="1798"/>
  <c r="AE6" i="16" s="1"/>
  <c r="AD12" i="1798"/>
  <c r="AE9" i="16" s="1"/>
  <c r="M22" i="1798"/>
  <c r="AB22" i="1798"/>
  <c r="AC22" i="1798"/>
  <c r="P22" i="1798"/>
  <c r="K21" i="1797"/>
  <c r="K17" i="1797"/>
  <c r="K13" i="1797"/>
  <c r="K12" i="1797"/>
  <c r="K11" i="1797"/>
  <c r="K8" i="1797"/>
  <c r="A77" i="1797"/>
  <c r="A78" i="1797" s="1"/>
  <c r="A79" i="1797" s="1"/>
  <c r="A80" i="1797" s="1"/>
  <c r="A81" i="1797" s="1"/>
  <c r="A82" i="1797" s="1"/>
  <c r="AF61" i="1797"/>
  <c r="AF60" i="1797"/>
  <c r="AA22" i="1797"/>
  <c r="Z22" i="1797"/>
  <c r="Y22" i="1797"/>
  <c r="X22" i="1797"/>
  <c r="W22" i="1797"/>
  <c r="V22" i="1797"/>
  <c r="U22" i="1797"/>
  <c r="T22" i="1797"/>
  <c r="S22" i="1797"/>
  <c r="R22" i="1797"/>
  <c r="N22" i="1797"/>
  <c r="J22" i="1797"/>
  <c r="I22" i="1797"/>
  <c r="AF21" i="1797"/>
  <c r="Q21" i="1797"/>
  <c r="P21" i="1797" s="1"/>
  <c r="AC21" i="1797" s="1"/>
  <c r="O21" i="1797"/>
  <c r="AF20" i="1797"/>
  <c r="Q20" i="1797"/>
  <c r="P20" i="1797" s="1"/>
  <c r="AC20" i="1797" s="1"/>
  <c r="O20" i="1797"/>
  <c r="AB20" i="1797"/>
  <c r="AF19" i="1797"/>
  <c r="AB19" i="1797"/>
  <c r="Q19" i="1797"/>
  <c r="P19" i="1797"/>
  <c r="AC19" i="1797" s="1"/>
  <c r="O19" i="1797"/>
  <c r="M19" i="1797"/>
  <c r="K19" i="1797"/>
  <c r="AF18" i="1797"/>
  <c r="AB18" i="1797"/>
  <c r="Q18" i="1797"/>
  <c r="P18" i="1797"/>
  <c r="AC18" i="1797" s="1"/>
  <c r="O18" i="1797"/>
  <c r="M18" i="1797"/>
  <c r="K18" i="1797"/>
  <c r="AF17" i="1797"/>
  <c r="AB17" i="1797"/>
  <c r="Q17" i="1797"/>
  <c r="P17" i="1797" s="1"/>
  <c r="AC17" i="1797" s="1"/>
  <c r="O17" i="1797"/>
  <c r="M17" i="1797"/>
  <c r="AF16" i="1797"/>
  <c r="AB16" i="1797"/>
  <c r="Q16" i="1797"/>
  <c r="P16" i="1797"/>
  <c r="AC16" i="1797" s="1"/>
  <c r="O16" i="1797"/>
  <c r="M16" i="1797"/>
  <c r="K16" i="1797"/>
  <c r="AF15" i="1797"/>
  <c r="AB15" i="1797"/>
  <c r="Q15" i="1797"/>
  <c r="P15" i="1797"/>
  <c r="AC15" i="1797" s="1"/>
  <c r="O15" i="1797"/>
  <c r="M15" i="1797"/>
  <c r="K15" i="1797"/>
  <c r="AF14" i="1797"/>
  <c r="AB14" i="1797"/>
  <c r="Q14" i="1797"/>
  <c r="P14" i="1797" s="1"/>
  <c r="AC14" i="1797" s="1"/>
  <c r="O14" i="1797"/>
  <c r="M14" i="1797"/>
  <c r="AF13" i="1797"/>
  <c r="Q13" i="1797"/>
  <c r="P13" i="1797"/>
  <c r="AC13" i="1797" s="1"/>
  <c r="O13" i="1797"/>
  <c r="AB13" i="1797"/>
  <c r="AF12" i="1797"/>
  <c r="AB12" i="1797"/>
  <c r="Q12" i="1797"/>
  <c r="P12" i="1797" s="1"/>
  <c r="AC12" i="1797" s="1"/>
  <c r="O12" i="1797"/>
  <c r="M12" i="1797"/>
  <c r="AF11" i="1797"/>
  <c r="Q11" i="1797"/>
  <c r="AB11" i="1797"/>
  <c r="AF10" i="1797"/>
  <c r="AB10" i="1797"/>
  <c r="Q10" i="1797"/>
  <c r="P10" i="1797"/>
  <c r="AC10" i="1797" s="1"/>
  <c r="O10" i="1797"/>
  <c r="M10" i="1797"/>
  <c r="K10" i="1797"/>
  <c r="AF9" i="1797"/>
  <c r="AB9" i="1797"/>
  <c r="Q9" i="1797"/>
  <c r="P9" i="1797"/>
  <c r="AC9" i="1797" s="1"/>
  <c r="O9" i="1797"/>
  <c r="M9" i="1797"/>
  <c r="AF8" i="1797"/>
  <c r="Q8" i="1797"/>
  <c r="P8" i="1797" s="1"/>
  <c r="AC8" i="1797" s="1"/>
  <c r="AF7" i="1797"/>
  <c r="AB7" i="1797"/>
  <c r="Q7" i="1797"/>
  <c r="P7" i="1797"/>
  <c r="AC7" i="1797" s="1"/>
  <c r="O7" i="1797"/>
  <c r="M7" i="1797"/>
  <c r="K7" i="1797"/>
  <c r="AF6" i="1797"/>
  <c r="AC6" i="1797"/>
  <c r="AB6" i="1797"/>
  <c r="Q6" i="1797"/>
  <c r="P6" i="1797"/>
  <c r="O6" i="1797"/>
  <c r="M6" i="1797"/>
  <c r="K6" i="1797"/>
  <c r="L21" i="1796"/>
  <c r="L20" i="1796"/>
  <c r="O20" i="1796" s="1"/>
  <c r="L17" i="1796"/>
  <c r="K17" i="1796" s="1"/>
  <c r="K14" i="1796"/>
  <c r="L13" i="1796"/>
  <c r="L12" i="1796"/>
  <c r="K12" i="1796" s="1"/>
  <c r="L11" i="1796"/>
  <c r="K11" i="1796" s="1"/>
  <c r="L9" i="1796"/>
  <c r="K9" i="1796" s="1"/>
  <c r="L8" i="1796"/>
  <c r="AB8" i="1796" s="1"/>
  <c r="K20" i="1796"/>
  <c r="K18" i="1796"/>
  <c r="K13" i="1796"/>
  <c r="K10" i="1796"/>
  <c r="K8" i="1796"/>
  <c r="A77" i="1796"/>
  <c r="A78" i="1796" s="1"/>
  <c r="A79" i="1796" s="1"/>
  <c r="A80" i="1796" s="1"/>
  <c r="A81" i="1796" s="1"/>
  <c r="A82" i="1796" s="1"/>
  <c r="AF61" i="1796"/>
  <c r="AF60" i="1796"/>
  <c r="AF63" i="1796" s="1"/>
  <c r="AA22" i="1796"/>
  <c r="Z22" i="1796"/>
  <c r="Y22" i="1796"/>
  <c r="X22" i="1796"/>
  <c r="W22" i="1796"/>
  <c r="V22" i="1796"/>
  <c r="U22" i="1796"/>
  <c r="T22" i="1796"/>
  <c r="S22" i="1796"/>
  <c r="R22" i="1796"/>
  <c r="N22" i="1796"/>
  <c r="J22" i="1796"/>
  <c r="I22" i="1796"/>
  <c r="AF21" i="1796"/>
  <c r="Q21" i="1796"/>
  <c r="AF20" i="1796"/>
  <c r="Q20" i="1796"/>
  <c r="P20" i="1796" s="1"/>
  <c r="AC20" i="1796" s="1"/>
  <c r="AF19" i="1796"/>
  <c r="AB19" i="1796"/>
  <c r="Q19" i="1796"/>
  <c r="P19" i="1796"/>
  <c r="AC19" i="1796" s="1"/>
  <c r="O19" i="1796"/>
  <c r="M19" i="1796"/>
  <c r="K19" i="1796"/>
  <c r="AF18" i="1796"/>
  <c r="AB18" i="1796"/>
  <c r="Q18" i="1796"/>
  <c r="P18" i="1796"/>
  <c r="AC18" i="1796" s="1"/>
  <c r="O18" i="1796"/>
  <c r="M18" i="1796"/>
  <c r="AF17" i="1796"/>
  <c r="Q17" i="1796"/>
  <c r="M17" i="1796"/>
  <c r="AF16" i="1796"/>
  <c r="AB16" i="1796"/>
  <c r="Q16" i="1796"/>
  <c r="P16" i="1796"/>
  <c r="AC16" i="1796" s="1"/>
  <c r="O16" i="1796"/>
  <c r="M16" i="1796"/>
  <c r="K16" i="1796"/>
  <c r="AF15" i="1796"/>
  <c r="AB15" i="1796"/>
  <c r="Q15" i="1796"/>
  <c r="P15" i="1796"/>
  <c r="AC15" i="1796" s="1"/>
  <c r="O15" i="1796"/>
  <c r="M15" i="1796"/>
  <c r="K15" i="1796"/>
  <c r="AF14" i="1796"/>
  <c r="AB14" i="1796"/>
  <c r="Q14" i="1796"/>
  <c r="P14" i="1796" s="1"/>
  <c r="AC14" i="1796" s="1"/>
  <c r="O14" i="1796"/>
  <c r="M14" i="1796"/>
  <c r="AF13" i="1796"/>
  <c r="AB13" i="1796"/>
  <c r="Q13" i="1796"/>
  <c r="AF12" i="1796"/>
  <c r="Q12" i="1796"/>
  <c r="AF11" i="1796"/>
  <c r="Q11" i="1796"/>
  <c r="M11" i="1796"/>
  <c r="AF10" i="1796"/>
  <c r="Q10" i="1796"/>
  <c r="O10" i="1796"/>
  <c r="P10" i="1796"/>
  <c r="AC10" i="1796" s="1"/>
  <c r="AF9" i="1796"/>
  <c r="AB9" i="1796"/>
  <c r="Q9" i="1796"/>
  <c r="P9" i="1796" s="1"/>
  <c r="AC9" i="1796" s="1"/>
  <c r="O9" i="1796"/>
  <c r="M9" i="1796"/>
  <c r="AF8" i="1796"/>
  <c r="Q8" i="1796"/>
  <c r="AF7" i="1796"/>
  <c r="AB7" i="1796"/>
  <c r="Q7" i="1796"/>
  <c r="P7" i="1796"/>
  <c r="AC7" i="1796" s="1"/>
  <c r="O7" i="1796"/>
  <c r="M7" i="1796"/>
  <c r="K7" i="1796"/>
  <c r="AF6" i="1796"/>
  <c r="AB6" i="1796"/>
  <c r="Q6" i="1796"/>
  <c r="P6" i="1796"/>
  <c r="AC6" i="1796" s="1"/>
  <c r="O6" i="1796"/>
  <c r="M6" i="1796"/>
  <c r="K6" i="1796"/>
  <c r="AE21" i="1799" l="1"/>
  <c r="AE8" i="1799"/>
  <c r="AE19" i="1799"/>
  <c r="AE12" i="1799"/>
  <c r="AE20" i="1799"/>
  <c r="AE6" i="1799"/>
  <c r="AE7" i="1799"/>
  <c r="AE9" i="1799"/>
  <c r="AE14" i="1799"/>
  <c r="AE10" i="1799"/>
  <c r="AE15" i="1799"/>
  <c r="AE11" i="1799"/>
  <c r="AE16" i="1799"/>
  <c r="AE13" i="1799"/>
  <c r="AE18" i="1799"/>
  <c r="AB11" i="1796"/>
  <c r="P17" i="1796"/>
  <c r="AC17" i="1796" s="1"/>
  <c r="AB20" i="1796"/>
  <c r="AD19" i="1797"/>
  <c r="AD16" i="16" s="1"/>
  <c r="P11" i="1796"/>
  <c r="AC11" i="1796" s="1"/>
  <c r="O17" i="1796"/>
  <c r="AD7" i="1796"/>
  <c r="AC4" i="16" s="1"/>
  <c r="O11" i="1796"/>
  <c r="AD11" i="1796" s="1"/>
  <c r="AC8" i="16" s="1"/>
  <c r="AB17" i="1796"/>
  <c r="AD7" i="1797"/>
  <c r="AD4" i="16" s="1"/>
  <c r="AF63" i="1797"/>
  <c r="AD22" i="1798"/>
  <c r="AD14" i="1797"/>
  <c r="AD11" i="16" s="1"/>
  <c r="Q22" i="1797"/>
  <c r="AD12" i="1797"/>
  <c r="AD9" i="16" s="1"/>
  <c r="AD17" i="1797"/>
  <c r="AD14" i="16" s="1"/>
  <c r="AD9" i="1797"/>
  <c r="AD6" i="16" s="1"/>
  <c r="AD15" i="1797"/>
  <c r="AD12" i="16" s="1"/>
  <c r="AD16" i="1797"/>
  <c r="AD13" i="16" s="1"/>
  <c r="AD10" i="1797"/>
  <c r="AD7" i="16" s="1"/>
  <c r="AD18" i="1797"/>
  <c r="AD15" i="16" s="1"/>
  <c r="K22" i="1797"/>
  <c r="AD20" i="1797"/>
  <c r="AD17" i="16" s="1"/>
  <c r="AD13" i="1797"/>
  <c r="AD10" i="16" s="1"/>
  <c r="M8" i="1797"/>
  <c r="M11" i="1797"/>
  <c r="AD6" i="1797"/>
  <c r="AD3" i="16" s="1"/>
  <c r="O8" i="1797"/>
  <c r="O11" i="1797"/>
  <c r="M21" i="1797"/>
  <c r="AB21" i="1797"/>
  <c r="AD21" i="1797" s="1"/>
  <c r="AD18" i="16" s="1"/>
  <c r="L22" i="1797"/>
  <c r="O22" i="1797" s="1"/>
  <c r="AB8" i="1797"/>
  <c r="P11" i="1797"/>
  <c r="AC11" i="1797" s="1"/>
  <c r="AD11" i="1797" s="1"/>
  <c r="AD8" i="16" s="1"/>
  <c r="M13" i="1797"/>
  <c r="M20" i="1797"/>
  <c r="P21" i="1796"/>
  <c r="AC21" i="1796" s="1"/>
  <c r="O21" i="1796"/>
  <c r="K21" i="1796"/>
  <c r="P13" i="1796"/>
  <c r="AC13" i="1796" s="1"/>
  <c r="O13" i="1796"/>
  <c r="M13" i="1796"/>
  <c r="AB12" i="1796"/>
  <c r="Q22" i="1796"/>
  <c r="AD9" i="1796"/>
  <c r="AC6" i="16" s="1"/>
  <c r="AD16" i="1796"/>
  <c r="AC13" i="16" s="1"/>
  <c r="AD15" i="1796"/>
  <c r="AC12" i="16" s="1"/>
  <c r="AD18" i="1796"/>
  <c r="AC15" i="16" s="1"/>
  <c r="AD19" i="1796"/>
  <c r="AC16" i="16" s="1"/>
  <c r="AD14" i="1796"/>
  <c r="AC11" i="16" s="1"/>
  <c r="AD6" i="1796"/>
  <c r="AC3" i="16" s="1"/>
  <c r="AD20" i="1796"/>
  <c r="AC17" i="16" s="1"/>
  <c r="K22" i="1796"/>
  <c r="O12" i="1796"/>
  <c r="M21" i="1796"/>
  <c r="AB21" i="1796"/>
  <c r="AD21" i="1796" s="1"/>
  <c r="AC18" i="16" s="1"/>
  <c r="L22" i="1796"/>
  <c r="O22" i="1796" s="1"/>
  <c r="O8" i="1796"/>
  <c r="P8" i="1796"/>
  <c r="AC8" i="1796" s="1"/>
  <c r="AD8" i="1796" s="1"/>
  <c r="AC5" i="16" s="1"/>
  <c r="M10" i="1796"/>
  <c r="AB10" i="1796"/>
  <c r="AB22" i="1796" s="1"/>
  <c r="P12" i="1796"/>
  <c r="AC12" i="1796" s="1"/>
  <c r="M20" i="1796"/>
  <c r="M8" i="1796"/>
  <c r="M12" i="1796"/>
  <c r="L21" i="1795"/>
  <c r="K21" i="1795" s="1"/>
  <c r="K18" i="1795"/>
  <c r="L20" i="1795"/>
  <c r="L13" i="1795"/>
  <c r="K13" i="1795" s="1"/>
  <c r="L12" i="1795"/>
  <c r="L11" i="1795"/>
  <c r="L10" i="1795"/>
  <c r="L9" i="1795"/>
  <c r="K9" i="1795" s="1"/>
  <c r="L8" i="1795"/>
  <c r="M8" i="1795" s="1"/>
  <c r="K20" i="1795"/>
  <c r="K12" i="1795"/>
  <c r="K11" i="1795"/>
  <c r="K10" i="1795"/>
  <c r="K8" i="1795"/>
  <c r="K7" i="1795"/>
  <c r="A77" i="1795"/>
  <c r="A78" i="1795" s="1"/>
  <c r="A79" i="1795" s="1"/>
  <c r="A80" i="1795" s="1"/>
  <c r="A81" i="1795" s="1"/>
  <c r="A82" i="1795" s="1"/>
  <c r="AF61" i="1795"/>
  <c r="AF60" i="1795"/>
  <c r="AF63" i="1795" s="1"/>
  <c r="AA22" i="1795"/>
  <c r="Z22" i="1795"/>
  <c r="Y22" i="1795"/>
  <c r="X22" i="1795"/>
  <c r="W22" i="1795"/>
  <c r="V22" i="1795"/>
  <c r="U22" i="1795"/>
  <c r="T22" i="1795"/>
  <c r="S22" i="1795"/>
  <c r="R22" i="1795"/>
  <c r="N22" i="1795"/>
  <c r="J22" i="1795"/>
  <c r="I22" i="1795"/>
  <c r="AF21" i="1795"/>
  <c r="Q21" i="1795"/>
  <c r="AF20" i="1795"/>
  <c r="Q20" i="1795"/>
  <c r="P20" i="1795" s="1"/>
  <c r="AC20" i="1795" s="1"/>
  <c r="O20" i="1795"/>
  <c r="AB20" i="1795"/>
  <c r="AF19" i="1795"/>
  <c r="AB19" i="1795"/>
  <c r="Q19" i="1795"/>
  <c r="P19" i="1795"/>
  <c r="AC19" i="1795" s="1"/>
  <c r="AD19" i="1795" s="1"/>
  <c r="AB16" i="16" s="1"/>
  <c r="O19" i="1795"/>
  <c r="M19" i="1795"/>
  <c r="K19" i="1795"/>
  <c r="AF18" i="1795"/>
  <c r="AB18" i="1795"/>
  <c r="Q18" i="1795"/>
  <c r="P18" i="1795" s="1"/>
  <c r="AC18" i="1795" s="1"/>
  <c r="O18" i="1795"/>
  <c r="M18" i="1795"/>
  <c r="AF17" i="1795"/>
  <c r="AB17" i="1795"/>
  <c r="Q17" i="1795"/>
  <c r="P17" i="1795"/>
  <c r="AC17" i="1795" s="1"/>
  <c r="AD17" i="1795" s="1"/>
  <c r="AB14" i="16" s="1"/>
  <c r="O17" i="1795"/>
  <c r="M17" i="1795"/>
  <c r="K17" i="1795"/>
  <c r="AF16" i="1795"/>
  <c r="AB16" i="1795"/>
  <c r="Q16" i="1795"/>
  <c r="P16" i="1795"/>
  <c r="AC16" i="1795" s="1"/>
  <c r="O16" i="1795"/>
  <c r="M16" i="1795"/>
  <c r="K16" i="1795"/>
  <c r="AF15" i="1795"/>
  <c r="AC15" i="1795"/>
  <c r="AB15" i="1795"/>
  <c r="Q15" i="1795"/>
  <c r="P15" i="1795"/>
  <c r="O15" i="1795"/>
  <c r="M15" i="1795"/>
  <c r="K15" i="1795"/>
  <c r="AF14" i="1795"/>
  <c r="AB14" i="1795"/>
  <c r="Q14" i="1795"/>
  <c r="P14" i="1795"/>
  <c r="AC14" i="1795" s="1"/>
  <c r="O14" i="1795"/>
  <c r="M14" i="1795"/>
  <c r="K14" i="1795"/>
  <c r="AF13" i="1795"/>
  <c r="Q13" i="1795"/>
  <c r="P13" i="1795" s="1"/>
  <c r="AC13" i="1795" s="1"/>
  <c r="AF12" i="1795"/>
  <c r="AB12" i="1795"/>
  <c r="Q12" i="1795"/>
  <c r="P12" i="1795" s="1"/>
  <c r="AC12" i="1795" s="1"/>
  <c r="M12" i="1795"/>
  <c r="AF11" i="1795"/>
  <c r="Q11" i="1795"/>
  <c r="P11" i="1795" s="1"/>
  <c r="AC11" i="1795" s="1"/>
  <c r="AF10" i="1795"/>
  <c r="Q10" i="1795"/>
  <c r="O10" i="1795"/>
  <c r="AB10" i="1795"/>
  <c r="AF9" i="1795"/>
  <c r="Q9" i="1795"/>
  <c r="O9" i="1795"/>
  <c r="AF8" i="1795"/>
  <c r="AB8" i="1795"/>
  <c r="Q8" i="1795"/>
  <c r="P8" i="1795" s="1"/>
  <c r="AC8" i="1795" s="1"/>
  <c r="AF7" i="1795"/>
  <c r="AB7" i="1795"/>
  <c r="Q7" i="1795"/>
  <c r="P7" i="1795" s="1"/>
  <c r="AC7" i="1795" s="1"/>
  <c r="AD7" i="1795" s="1"/>
  <c r="AB4" i="16" s="1"/>
  <c r="O7" i="1795"/>
  <c r="M7" i="1795"/>
  <c r="AF6" i="1795"/>
  <c r="AC6" i="1795"/>
  <c r="AB6" i="1795"/>
  <c r="Q6" i="1795"/>
  <c r="P6" i="1795"/>
  <c r="O6" i="1795"/>
  <c r="M6" i="1795"/>
  <c r="K6" i="1795"/>
  <c r="AB13" i="1795" l="1"/>
  <c r="P10" i="1795"/>
  <c r="AC10" i="1795" s="1"/>
  <c r="AB9" i="1795"/>
  <c r="M13" i="1795"/>
  <c r="P21" i="1795"/>
  <c r="AC21" i="1795" s="1"/>
  <c r="AD17" i="1796"/>
  <c r="AC14" i="16" s="1"/>
  <c r="AE18" i="1798"/>
  <c r="AE19" i="16"/>
  <c r="M9" i="1795"/>
  <c r="O13" i="1795"/>
  <c r="AD13" i="1796"/>
  <c r="AC10" i="16" s="1"/>
  <c r="AE19" i="1798"/>
  <c r="AE6" i="1798"/>
  <c r="AE9" i="1798"/>
  <c r="AE20" i="1798"/>
  <c r="AE14" i="1798"/>
  <c r="AE8" i="1798"/>
  <c r="AE16" i="1798"/>
  <c r="AE12" i="1798"/>
  <c r="AE11" i="1798"/>
  <c r="AE7" i="1798"/>
  <c r="AE13" i="1798"/>
  <c r="AE15" i="1798"/>
  <c r="AE17" i="1798"/>
  <c r="AE10" i="1798"/>
  <c r="AE21" i="1798"/>
  <c r="AD8" i="1797"/>
  <c r="M22" i="1797"/>
  <c r="AB22" i="1797"/>
  <c r="P22" i="1797"/>
  <c r="AC22" i="1797"/>
  <c r="M22" i="1796"/>
  <c r="AD10" i="1796"/>
  <c r="AC7" i="16" s="1"/>
  <c r="AC22" i="1796"/>
  <c r="P22" i="1796"/>
  <c r="AD12" i="1796"/>
  <c r="AD20" i="1795"/>
  <c r="AB17" i="16" s="1"/>
  <c r="P9" i="1795"/>
  <c r="AC9" i="1795" s="1"/>
  <c r="AC22" i="1795" s="1"/>
  <c r="Q22" i="1795"/>
  <c r="AD15" i="1795"/>
  <c r="AB12" i="16" s="1"/>
  <c r="AD10" i="1795"/>
  <c r="AB7" i="16" s="1"/>
  <c r="AD13" i="1795"/>
  <c r="AB10" i="16" s="1"/>
  <c r="AD16" i="1795"/>
  <c r="AB13" i="16" s="1"/>
  <c r="AD14" i="1795"/>
  <c r="AB11" i="16" s="1"/>
  <c r="AD18" i="1795"/>
  <c r="AB15" i="16" s="1"/>
  <c r="AD6" i="1795"/>
  <c r="AB3" i="16" s="1"/>
  <c r="O8" i="1795"/>
  <c r="AD8" i="1795" s="1"/>
  <c r="AB5" i="16" s="1"/>
  <c r="M11" i="1795"/>
  <c r="AB11" i="1795"/>
  <c r="O12" i="1795"/>
  <c r="AD12" i="1795" s="1"/>
  <c r="AB9" i="16" s="1"/>
  <c r="M21" i="1795"/>
  <c r="AB21" i="1795"/>
  <c r="L22" i="1795"/>
  <c r="O22" i="1795" s="1"/>
  <c r="K22" i="1795"/>
  <c r="M10" i="1795"/>
  <c r="O11" i="1795"/>
  <c r="M20" i="1795"/>
  <c r="O21" i="1795"/>
  <c r="L21" i="1794"/>
  <c r="K21" i="1794" s="1"/>
  <c r="L20" i="1794"/>
  <c r="AB20" i="1794" s="1"/>
  <c r="K18" i="1794"/>
  <c r="L13" i="1794"/>
  <c r="O13" i="1794" s="1"/>
  <c r="L12" i="1794"/>
  <c r="O12" i="1794" s="1"/>
  <c r="L11" i="1794"/>
  <c r="L10" i="1794"/>
  <c r="K10" i="1794" s="1"/>
  <c r="L9" i="1794"/>
  <c r="AB9" i="1794" s="1"/>
  <c r="K9" i="1794"/>
  <c r="L8" i="1794"/>
  <c r="K11" i="1794"/>
  <c r="K8" i="1794"/>
  <c r="K7" i="1794"/>
  <c r="A77" i="1794"/>
  <c r="A78" i="1794" s="1"/>
  <c r="A79" i="1794" s="1"/>
  <c r="A80" i="1794" s="1"/>
  <c r="A81" i="1794" s="1"/>
  <c r="A82" i="1794" s="1"/>
  <c r="AF63" i="1794"/>
  <c r="AF61" i="1794"/>
  <c r="AF60" i="1794"/>
  <c r="AA22" i="1794"/>
  <c r="Z22" i="1794"/>
  <c r="Y22" i="1794"/>
  <c r="X22" i="1794"/>
  <c r="W22" i="1794"/>
  <c r="V22" i="1794"/>
  <c r="U22" i="1794"/>
  <c r="T22" i="1794"/>
  <c r="S22" i="1794"/>
  <c r="R22" i="1794"/>
  <c r="N22" i="1794"/>
  <c r="J22" i="1794"/>
  <c r="I22" i="1794"/>
  <c r="AF21" i="1794"/>
  <c r="Q21" i="1794"/>
  <c r="AB21" i="1794"/>
  <c r="AF20" i="1794"/>
  <c r="Q20" i="1794"/>
  <c r="P20" i="1794" s="1"/>
  <c r="AC20" i="1794" s="1"/>
  <c r="O20" i="1794"/>
  <c r="M20" i="1794"/>
  <c r="AF19" i="1794"/>
  <c r="AB19" i="1794"/>
  <c r="Q19" i="1794"/>
  <c r="P19" i="1794"/>
  <c r="AC19" i="1794" s="1"/>
  <c r="AD19" i="1794" s="1"/>
  <c r="Y16" i="16" s="1"/>
  <c r="O19" i="1794"/>
  <c r="M19" i="1794"/>
  <c r="K19" i="1794"/>
  <c r="AF18" i="1794"/>
  <c r="Q18" i="1794"/>
  <c r="P18" i="1794" s="1"/>
  <c r="AC18" i="1794" s="1"/>
  <c r="O18" i="1794"/>
  <c r="AB18" i="1794"/>
  <c r="AF17" i="1794"/>
  <c r="AB17" i="1794"/>
  <c r="Q17" i="1794"/>
  <c r="P17" i="1794"/>
  <c r="AC17" i="1794" s="1"/>
  <c r="AD17" i="1794" s="1"/>
  <c r="Y14" i="16" s="1"/>
  <c r="O17" i="1794"/>
  <c r="M17" i="1794"/>
  <c r="K17" i="1794"/>
  <c r="AF16" i="1794"/>
  <c r="AB16" i="1794"/>
  <c r="Q16" i="1794"/>
  <c r="P16" i="1794"/>
  <c r="AC16" i="1794" s="1"/>
  <c r="O16" i="1794"/>
  <c r="M16" i="1794"/>
  <c r="K16" i="1794"/>
  <c r="AF15" i="1794"/>
  <c r="AC15" i="1794"/>
  <c r="AB15" i="1794"/>
  <c r="Q15" i="1794"/>
  <c r="P15" i="1794"/>
  <c r="O15" i="1794"/>
  <c r="M15" i="1794"/>
  <c r="K15" i="1794"/>
  <c r="AF14" i="1794"/>
  <c r="AB14" i="1794"/>
  <c r="Q14" i="1794"/>
  <c r="P14" i="1794"/>
  <c r="AC14" i="1794" s="1"/>
  <c r="O14" i="1794"/>
  <c r="M14" i="1794"/>
  <c r="K14" i="1794"/>
  <c r="AF13" i="1794"/>
  <c r="Q13" i="1794"/>
  <c r="AF12" i="1794"/>
  <c r="Q12" i="1794"/>
  <c r="AF11" i="1794"/>
  <c r="Q11" i="1794"/>
  <c r="AB11" i="1794"/>
  <c r="AF10" i="1794"/>
  <c r="Q10" i="1794"/>
  <c r="AB10" i="1794"/>
  <c r="AF9" i="1794"/>
  <c r="Q9" i="1794"/>
  <c r="P9" i="1794" s="1"/>
  <c r="AC9" i="1794" s="1"/>
  <c r="O9" i="1794"/>
  <c r="AF8" i="1794"/>
  <c r="Q8" i="1794"/>
  <c r="P8" i="1794" s="1"/>
  <c r="AC8" i="1794" s="1"/>
  <c r="M8" i="1794"/>
  <c r="AF7" i="1794"/>
  <c r="AB7" i="1794"/>
  <c r="Q7" i="1794"/>
  <c r="P7" i="1794" s="1"/>
  <c r="AC7" i="1794" s="1"/>
  <c r="O7" i="1794"/>
  <c r="M7" i="1794"/>
  <c r="AF6" i="1794"/>
  <c r="AB6" i="1794"/>
  <c r="Q6" i="1794"/>
  <c r="P6" i="1794"/>
  <c r="AC6" i="1794" s="1"/>
  <c r="O6" i="1794"/>
  <c r="M6" i="1794"/>
  <c r="K6" i="1794"/>
  <c r="O21" i="1794" l="1"/>
  <c r="K20" i="1794"/>
  <c r="AD22" i="1797"/>
  <c r="AD19" i="16" s="1"/>
  <c r="AD5" i="16"/>
  <c r="AD22" i="1796"/>
  <c r="AC19" i="16" s="1"/>
  <c r="AC9" i="16"/>
  <c r="P21" i="1794"/>
  <c r="AC21" i="1794" s="1"/>
  <c r="AD11" i="1795"/>
  <c r="AB8" i="16" s="1"/>
  <c r="AE21" i="1797"/>
  <c r="AE18" i="1797"/>
  <c r="AE10" i="1797"/>
  <c r="AE7" i="1797"/>
  <c r="AE16" i="1797"/>
  <c r="AE14" i="1797"/>
  <c r="AE11" i="1797"/>
  <c r="AE19" i="1797"/>
  <c r="AE17" i="1797"/>
  <c r="AE12" i="1797"/>
  <c r="AE9" i="1797"/>
  <c r="AE6" i="1797"/>
  <c r="AE20" i="1797"/>
  <c r="AE15" i="1797"/>
  <c r="AE13" i="1797"/>
  <c r="AE8" i="1797"/>
  <c r="AE21" i="1796"/>
  <c r="AE14" i="1796"/>
  <c r="AE11" i="1796"/>
  <c r="AE19" i="1796"/>
  <c r="AE17" i="1796"/>
  <c r="AE9" i="1796"/>
  <c r="AE6" i="1796"/>
  <c r="AE8" i="1796"/>
  <c r="AD9" i="1795"/>
  <c r="AB6" i="16" s="1"/>
  <c r="P22" i="1795"/>
  <c r="AD21" i="1795"/>
  <c r="M22" i="1795"/>
  <c r="AB22" i="1795"/>
  <c r="AD20" i="1794"/>
  <c r="Y17" i="16" s="1"/>
  <c r="P13" i="1794"/>
  <c r="AC13" i="1794" s="1"/>
  <c r="AB13" i="1794"/>
  <c r="AD13" i="1794" s="1"/>
  <c r="Y10" i="16" s="1"/>
  <c r="K13" i="1794"/>
  <c r="M13" i="1794"/>
  <c r="K12" i="1794"/>
  <c r="P11" i="1794"/>
  <c r="AC11" i="1794" s="1"/>
  <c r="O10" i="1794"/>
  <c r="AD10" i="1794" s="1"/>
  <c r="Y7" i="16" s="1"/>
  <c r="P10" i="1794"/>
  <c r="AC10" i="1794" s="1"/>
  <c r="M9" i="1794"/>
  <c r="Q22" i="1794"/>
  <c r="AD15" i="1794"/>
  <c r="Y12" i="16" s="1"/>
  <c r="AD9" i="1794"/>
  <c r="Y6" i="16" s="1"/>
  <c r="AD16" i="1794"/>
  <c r="Y13" i="16" s="1"/>
  <c r="AD14" i="1794"/>
  <c r="Y11" i="16" s="1"/>
  <c r="AD7" i="1794"/>
  <c r="Y4" i="16" s="1"/>
  <c r="AD18" i="1794"/>
  <c r="Y15" i="16" s="1"/>
  <c r="AD21" i="1794"/>
  <c r="Y18" i="16" s="1"/>
  <c r="AB8" i="1794"/>
  <c r="M11" i="1794"/>
  <c r="AD6" i="1794"/>
  <c r="Y3" i="16" s="1"/>
  <c r="O8" i="1794"/>
  <c r="M10" i="1794"/>
  <c r="O11" i="1794"/>
  <c r="P12" i="1794"/>
  <c r="AC12" i="1794" s="1"/>
  <c r="M18" i="1794"/>
  <c r="M21" i="1794"/>
  <c r="L22" i="1794"/>
  <c r="O22" i="1794" s="1"/>
  <c r="AB12" i="1794"/>
  <c r="M12" i="1794"/>
  <c r="L21" i="1793"/>
  <c r="K21" i="1793" s="1"/>
  <c r="L20" i="1793"/>
  <c r="L18" i="1793"/>
  <c r="AB18" i="1793" s="1"/>
  <c r="L13" i="1793"/>
  <c r="K13" i="1793" s="1"/>
  <c r="L12" i="1793"/>
  <c r="L11" i="1793"/>
  <c r="O11" i="1793" s="1"/>
  <c r="L10" i="1793"/>
  <c r="K10" i="1793" s="1"/>
  <c r="L8" i="1793"/>
  <c r="AB8" i="1793" s="1"/>
  <c r="K20" i="1793"/>
  <c r="K12" i="1793"/>
  <c r="K9" i="1793"/>
  <c r="K8" i="1793"/>
  <c r="K7" i="1793"/>
  <c r="A77" i="1793"/>
  <c r="A78" i="1793" s="1"/>
  <c r="A79" i="1793" s="1"/>
  <c r="A80" i="1793" s="1"/>
  <c r="A81" i="1793" s="1"/>
  <c r="A82" i="1793" s="1"/>
  <c r="AF61" i="1793"/>
  <c r="AF63" i="1793" s="1"/>
  <c r="AF60" i="1793"/>
  <c r="AA22" i="1793"/>
  <c r="Z22" i="1793"/>
  <c r="Y22" i="1793"/>
  <c r="X22" i="1793"/>
  <c r="W22" i="1793"/>
  <c r="V22" i="1793"/>
  <c r="U22" i="1793"/>
  <c r="T22" i="1793"/>
  <c r="S22" i="1793"/>
  <c r="R22" i="1793"/>
  <c r="N22" i="1793"/>
  <c r="J22" i="1793"/>
  <c r="I22" i="1793"/>
  <c r="AF21" i="1793"/>
  <c r="AB21" i="1793"/>
  <c r="Q21" i="1793"/>
  <c r="O21" i="1793"/>
  <c r="M21" i="1793"/>
  <c r="AF20" i="1793"/>
  <c r="Q20" i="1793"/>
  <c r="AF19" i="1793"/>
  <c r="AB19" i="1793"/>
  <c r="Q19" i="1793"/>
  <c r="P19" i="1793"/>
  <c r="AC19" i="1793" s="1"/>
  <c r="O19" i="1793"/>
  <c r="M19" i="1793"/>
  <c r="K19" i="1793"/>
  <c r="AF18" i="1793"/>
  <c r="Q18" i="1793"/>
  <c r="AF17" i="1793"/>
  <c r="AB17" i="1793"/>
  <c r="Q17" i="1793"/>
  <c r="P17" i="1793"/>
  <c r="AC17" i="1793" s="1"/>
  <c r="O17" i="1793"/>
  <c r="M17" i="1793"/>
  <c r="K17" i="1793"/>
  <c r="AF16" i="1793"/>
  <c r="AB16" i="1793"/>
  <c r="Q16" i="1793"/>
  <c r="P16" i="1793"/>
  <c r="AC16" i="1793" s="1"/>
  <c r="AD16" i="1793" s="1"/>
  <c r="X13" i="16" s="1"/>
  <c r="O16" i="1793"/>
  <c r="M16" i="1793"/>
  <c r="K16" i="1793"/>
  <c r="AF15" i="1793"/>
  <c r="AB15" i="1793"/>
  <c r="Q15" i="1793"/>
  <c r="P15" i="1793"/>
  <c r="AC15" i="1793" s="1"/>
  <c r="AD15" i="1793" s="1"/>
  <c r="X12" i="16" s="1"/>
  <c r="O15" i="1793"/>
  <c r="M15" i="1793"/>
  <c r="K15" i="1793"/>
  <c r="AF14" i="1793"/>
  <c r="AB14" i="1793"/>
  <c r="Q14" i="1793"/>
  <c r="P14" i="1793"/>
  <c r="AC14" i="1793" s="1"/>
  <c r="O14" i="1793"/>
  <c r="M14" i="1793"/>
  <c r="K14" i="1793"/>
  <c r="AF13" i="1793"/>
  <c r="Q13" i="1793"/>
  <c r="P13" i="1793" s="1"/>
  <c r="AC13" i="1793" s="1"/>
  <c r="AF12" i="1793"/>
  <c r="AB12" i="1793"/>
  <c r="Q12" i="1793"/>
  <c r="P12" i="1793" s="1"/>
  <c r="AC12" i="1793" s="1"/>
  <c r="O12" i="1793"/>
  <c r="M12" i="1793"/>
  <c r="AF11" i="1793"/>
  <c r="Q11" i="1793"/>
  <c r="AF10" i="1793"/>
  <c r="Q10" i="1793"/>
  <c r="P10" i="1793"/>
  <c r="AC10" i="1793" s="1"/>
  <c r="AF9" i="1793"/>
  <c r="AB9" i="1793"/>
  <c r="Q9" i="1793"/>
  <c r="P9" i="1793"/>
  <c r="AC9" i="1793" s="1"/>
  <c r="O9" i="1793"/>
  <c r="M9" i="1793"/>
  <c r="AF8" i="1793"/>
  <c r="Q8" i="1793"/>
  <c r="O8" i="1793"/>
  <c r="AF7" i="1793"/>
  <c r="AB7" i="1793"/>
  <c r="Q7" i="1793"/>
  <c r="P7" i="1793" s="1"/>
  <c r="AC7" i="1793" s="1"/>
  <c r="M7" i="1793"/>
  <c r="AF6" i="1793"/>
  <c r="AB6" i="1793"/>
  <c r="Q6" i="1793"/>
  <c r="P6" i="1793"/>
  <c r="AC6" i="1793" s="1"/>
  <c r="O6" i="1793"/>
  <c r="M6" i="1793"/>
  <c r="K6" i="1793"/>
  <c r="AD14" i="1793" l="1"/>
  <c r="X11" i="16" s="1"/>
  <c r="K22" i="1794"/>
  <c r="AD22" i="1795"/>
  <c r="AB19" i="16" s="1"/>
  <c r="AB18" i="16"/>
  <c r="AE20" i="1796"/>
  <c r="AE13" i="1796"/>
  <c r="AE12" i="1796"/>
  <c r="AE16" i="1796"/>
  <c r="P18" i="1793"/>
  <c r="AC18" i="1793" s="1"/>
  <c r="AE10" i="1796"/>
  <c r="AE15" i="1796"/>
  <c r="AE7" i="1796"/>
  <c r="AE18" i="1796"/>
  <c r="P11" i="1793"/>
  <c r="AC11" i="1793" s="1"/>
  <c r="M18" i="1793"/>
  <c r="K11" i="1793"/>
  <c r="K18" i="1793"/>
  <c r="AD8" i="1794"/>
  <c r="Y5" i="16" s="1"/>
  <c r="AE21" i="1795"/>
  <c r="AE18" i="1795"/>
  <c r="AE7" i="1795"/>
  <c r="AE12" i="1795"/>
  <c r="AE8" i="1795"/>
  <c r="AE19" i="1795"/>
  <c r="AE17" i="1795"/>
  <c r="AE15" i="1795"/>
  <c r="AE13" i="1795"/>
  <c r="AE9" i="1795"/>
  <c r="AE6" i="1795"/>
  <c r="AE14" i="1795"/>
  <c r="AE11" i="1795"/>
  <c r="AE20" i="1795"/>
  <c r="AE10" i="1795"/>
  <c r="AE16" i="1795"/>
  <c r="AD11" i="1794"/>
  <c r="Y8" i="16" s="1"/>
  <c r="M22" i="1794"/>
  <c r="AB22" i="1794"/>
  <c r="AD12" i="1794"/>
  <c r="P22" i="1794"/>
  <c r="AC22" i="1794"/>
  <c r="P21" i="1793"/>
  <c r="AC21" i="1793" s="1"/>
  <c r="AD21" i="1793" s="1"/>
  <c r="X18" i="16" s="1"/>
  <c r="P20" i="1793"/>
  <c r="AC20" i="1793" s="1"/>
  <c r="M11" i="1793"/>
  <c r="AB11" i="1793"/>
  <c r="AD11" i="1793"/>
  <c r="X8" i="16" s="1"/>
  <c r="Q22" i="1793"/>
  <c r="AD9" i="1793"/>
  <c r="X6" i="16" s="1"/>
  <c r="AD12" i="1793"/>
  <c r="X9" i="16" s="1"/>
  <c r="AD17" i="1793"/>
  <c r="X14" i="16" s="1"/>
  <c r="AD19" i="1793"/>
  <c r="X16" i="16" s="1"/>
  <c r="AD6" i="1793"/>
  <c r="X3" i="16" s="1"/>
  <c r="L22" i="1793"/>
  <c r="O22" i="1793" s="1"/>
  <c r="O7" i="1793"/>
  <c r="AD7" i="1793" s="1"/>
  <c r="X4" i="16" s="1"/>
  <c r="P8" i="1793"/>
  <c r="AC8" i="1793" s="1"/>
  <c r="AD8" i="1793" s="1"/>
  <c r="X5" i="16" s="1"/>
  <c r="M10" i="1793"/>
  <c r="AB10" i="1793"/>
  <c r="M13" i="1793"/>
  <c r="AB13" i="1793"/>
  <c r="O18" i="1793"/>
  <c r="AD18" i="1793" s="1"/>
  <c r="X15" i="16" s="1"/>
  <c r="M20" i="1793"/>
  <c r="AB20" i="1793"/>
  <c r="O10" i="1793"/>
  <c r="O13" i="1793"/>
  <c r="O20" i="1793"/>
  <c r="M8" i="1793"/>
  <c r="K22" i="1793"/>
  <c r="L21" i="1792"/>
  <c r="L20" i="1792"/>
  <c r="K20" i="1792" s="1"/>
  <c r="L18" i="1792"/>
  <c r="O18" i="1792" s="1"/>
  <c r="L13" i="1792"/>
  <c r="O13" i="1792" s="1"/>
  <c r="L12" i="1792"/>
  <c r="K12" i="1792" s="1"/>
  <c r="L10" i="1792"/>
  <c r="L9" i="1792"/>
  <c r="K9" i="1792" s="1"/>
  <c r="L8" i="1792"/>
  <c r="K8" i="1792" s="1"/>
  <c r="L7" i="1792"/>
  <c r="K7" i="1792" s="1"/>
  <c r="K21" i="1792"/>
  <c r="K14" i="1792"/>
  <c r="K10" i="1792"/>
  <c r="K6" i="1792"/>
  <c r="A77" i="1792"/>
  <c r="A78" i="1792" s="1"/>
  <c r="A79" i="1792" s="1"/>
  <c r="A80" i="1792" s="1"/>
  <c r="A81" i="1792" s="1"/>
  <c r="A82" i="1792" s="1"/>
  <c r="AF61" i="1792"/>
  <c r="AF60" i="1792"/>
  <c r="AF63" i="1792" s="1"/>
  <c r="AA22" i="1792"/>
  <c r="Z22" i="1792"/>
  <c r="Y22" i="1792"/>
  <c r="X22" i="1792"/>
  <c r="W22" i="1792"/>
  <c r="V22" i="1792"/>
  <c r="U22" i="1792"/>
  <c r="T22" i="1792"/>
  <c r="S22" i="1792"/>
  <c r="R22" i="1792"/>
  <c r="N22" i="1792"/>
  <c r="J22" i="1792"/>
  <c r="I22" i="1792"/>
  <c r="AF21" i="1792"/>
  <c r="Q21" i="1792"/>
  <c r="P21" i="1792" s="1"/>
  <c r="AC21" i="1792" s="1"/>
  <c r="O21" i="1792"/>
  <c r="AB21" i="1792"/>
  <c r="AF20" i="1792"/>
  <c r="Q20" i="1792"/>
  <c r="P20" i="1792" s="1"/>
  <c r="AC20" i="1792" s="1"/>
  <c r="AF19" i="1792"/>
  <c r="AB19" i="1792"/>
  <c r="Q19" i="1792"/>
  <c r="P19" i="1792"/>
  <c r="AC19" i="1792" s="1"/>
  <c r="O19" i="1792"/>
  <c r="M19" i="1792"/>
  <c r="K19" i="1792"/>
  <c r="AF18" i="1792"/>
  <c r="Q18" i="1792"/>
  <c r="P18" i="1792" s="1"/>
  <c r="AC18" i="1792" s="1"/>
  <c r="AF17" i="1792"/>
  <c r="AB17" i="1792"/>
  <c r="Q17" i="1792"/>
  <c r="P17" i="1792"/>
  <c r="AC17" i="1792" s="1"/>
  <c r="O17" i="1792"/>
  <c r="M17" i="1792"/>
  <c r="K17" i="1792"/>
  <c r="AF16" i="1792"/>
  <c r="AB16" i="1792"/>
  <c r="Q16" i="1792"/>
  <c r="P16" i="1792"/>
  <c r="AC16" i="1792" s="1"/>
  <c r="O16" i="1792"/>
  <c r="M16" i="1792"/>
  <c r="K16" i="1792"/>
  <c r="AF15" i="1792"/>
  <c r="AB15" i="1792"/>
  <c r="Q15" i="1792"/>
  <c r="P15" i="1792"/>
  <c r="AC15" i="1792" s="1"/>
  <c r="O15" i="1792"/>
  <c r="M15" i="1792"/>
  <c r="K15" i="1792"/>
  <c r="AF14" i="1792"/>
  <c r="AB14" i="1792"/>
  <c r="Q14" i="1792"/>
  <c r="P14" i="1792"/>
  <c r="AC14" i="1792" s="1"/>
  <c r="O14" i="1792"/>
  <c r="M14" i="1792"/>
  <c r="AF13" i="1792"/>
  <c r="Q13" i="1792"/>
  <c r="AF12" i="1792"/>
  <c r="Q12" i="1792"/>
  <c r="P12" i="1792" s="1"/>
  <c r="AC12" i="1792" s="1"/>
  <c r="AB12" i="1792"/>
  <c r="AF11" i="1792"/>
  <c r="AB11" i="1792"/>
  <c r="Q11" i="1792"/>
  <c r="P11" i="1792"/>
  <c r="AC11" i="1792" s="1"/>
  <c r="O11" i="1792"/>
  <c r="M11" i="1792"/>
  <c r="K11" i="1792"/>
  <c r="AF10" i="1792"/>
  <c r="Q10" i="1792"/>
  <c r="O10" i="1792"/>
  <c r="AF9" i="1792"/>
  <c r="Q9" i="1792"/>
  <c r="P9" i="1792"/>
  <c r="AC9" i="1792" s="1"/>
  <c r="AB9" i="1792"/>
  <c r="AF8" i="1792"/>
  <c r="AB8" i="1792"/>
  <c r="Q8" i="1792"/>
  <c r="O8" i="1792"/>
  <c r="M8" i="1792"/>
  <c r="AF7" i="1792"/>
  <c r="AB7" i="1792"/>
  <c r="Q7" i="1792"/>
  <c r="P7" i="1792" s="1"/>
  <c r="AC7" i="1792" s="1"/>
  <c r="O7" i="1792"/>
  <c r="M7" i="1792"/>
  <c r="AF6" i="1792"/>
  <c r="Q6" i="1792"/>
  <c r="P6" i="1792"/>
  <c r="AB6" i="1792"/>
  <c r="AD11" i="1792" l="1"/>
  <c r="W8" i="16" s="1"/>
  <c r="AD14" i="1792"/>
  <c r="W11" i="16" s="1"/>
  <c r="AD17" i="1792"/>
  <c r="W14" i="16" s="1"/>
  <c r="K18" i="1792"/>
  <c r="O20" i="1792"/>
  <c r="AD22" i="1794"/>
  <c r="Y19" i="16" s="1"/>
  <c r="Y9" i="16"/>
  <c r="AE16" i="1794"/>
  <c r="AE8" i="1794"/>
  <c r="AE19" i="1794"/>
  <c r="AE6" i="1794"/>
  <c r="AE20" i="1794"/>
  <c r="AE17" i="1794"/>
  <c r="AE13" i="1794"/>
  <c r="AE9" i="1794"/>
  <c r="AE18" i="1794"/>
  <c r="AE7" i="1794"/>
  <c r="AE14" i="1794"/>
  <c r="AE11" i="1794"/>
  <c r="AD20" i="1793"/>
  <c r="X17" i="16" s="1"/>
  <c r="AD13" i="1793"/>
  <c r="X10" i="16" s="1"/>
  <c r="AD10" i="1793"/>
  <c r="X7" i="16" s="1"/>
  <c r="M22" i="1793"/>
  <c r="P22" i="1793"/>
  <c r="AB22" i="1793"/>
  <c r="AC22" i="1793"/>
  <c r="M20" i="1792"/>
  <c r="AB20" i="1792"/>
  <c r="M18" i="1792"/>
  <c r="AB18" i="1792"/>
  <c r="K13" i="1792"/>
  <c r="P8" i="1792"/>
  <c r="AC8" i="1792" s="1"/>
  <c r="Q22" i="1792"/>
  <c r="AD7" i="1792"/>
  <c r="W4" i="16" s="1"/>
  <c r="AD16" i="1792"/>
  <c r="W13" i="16" s="1"/>
  <c r="AD19" i="1792"/>
  <c r="W16" i="16" s="1"/>
  <c r="AD15" i="1792"/>
  <c r="W12" i="16" s="1"/>
  <c r="AD18" i="1792"/>
  <c r="W15" i="16" s="1"/>
  <c r="AD8" i="1792"/>
  <c r="W5" i="16" s="1"/>
  <c r="AD21" i="1792"/>
  <c r="W18" i="16" s="1"/>
  <c r="AB10" i="1792"/>
  <c r="O6" i="1792"/>
  <c r="AC6" i="1792"/>
  <c r="O9" i="1792"/>
  <c r="AD9" i="1792" s="1"/>
  <c r="W6" i="16" s="1"/>
  <c r="K22" i="1792"/>
  <c r="P10" i="1792"/>
  <c r="AC10" i="1792" s="1"/>
  <c r="O12" i="1792"/>
  <c r="AD12" i="1792" s="1"/>
  <c r="W9" i="16" s="1"/>
  <c r="P13" i="1792"/>
  <c r="AC13" i="1792" s="1"/>
  <c r="M21" i="1792"/>
  <c r="L22" i="1792"/>
  <c r="O22" i="1792" s="1"/>
  <c r="M10" i="1792"/>
  <c r="M13" i="1792"/>
  <c r="AB13" i="1792"/>
  <c r="M6" i="1792"/>
  <c r="M9" i="1792"/>
  <c r="M12" i="1792"/>
  <c r="L21" i="1791"/>
  <c r="L20" i="1791"/>
  <c r="M20" i="1791" s="1"/>
  <c r="K18" i="1791"/>
  <c r="K14" i="1791"/>
  <c r="L13" i="1791"/>
  <c r="AB13" i="1791" s="1"/>
  <c r="L12" i="1791"/>
  <c r="K12" i="1791" s="1"/>
  <c r="L10" i="1791"/>
  <c r="P10" i="1791" s="1"/>
  <c r="AC10" i="1791" s="1"/>
  <c r="L9" i="1791"/>
  <c r="K9" i="1791"/>
  <c r="L8" i="1791"/>
  <c r="L6" i="1791"/>
  <c r="K6" i="1791" s="1"/>
  <c r="K21" i="1791"/>
  <c r="K19" i="1791"/>
  <c r="K10" i="1791"/>
  <c r="K8" i="1791"/>
  <c r="A77" i="1791"/>
  <c r="A78" i="1791" s="1"/>
  <c r="A79" i="1791" s="1"/>
  <c r="A80" i="1791" s="1"/>
  <c r="A81" i="1791" s="1"/>
  <c r="A82" i="1791" s="1"/>
  <c r="AF61" i="1791"/>
  <c r="AF60" i="1791"/>
  <c r="AF63" i="1791" s="1"/>
  <c r="AA22" i="1791"/>
  <c r="Z22" i="1791"/>
  <c r="Y22" i="1791"/>
  <c r="X22" i="1791"/>
  <c r="W22" i="1791"/>
  <c r="V22" i="1791"/>
  <c r="U22" i="1791"/>
  <c r="T22" i="1791"/>
  <c r="S22" i="1791"/>
  <c r="R22" i="1791"/>
  <c r="N22" i="1791"/>
  <c r="J22" i="1791"/>
  <c r="I22" i="1791"/>
  <c r="AF21" i="1791"/>
  <c r="Q21" i="1791"/>
  <c r="O21" i="1791"/>
  <c r="AF20" i="1791"/>
  <c r="AB20" i="1791"/>
  <c r="Q20" i="1791"/>
  <c r="O20" i="1791"/>
  <c r="AF19" i="1791"/>
  <c r="Q19" i="1791"/>
  <c r="AB19" i="1791"/>
  <c r="AF18" i="1791"/>
  <c r="Q18" i="1791"/>
  <c r="P18" i="1791" s="1"/>
  <c r="AC18" i="1791" s="1"/>
  <c r="O18" i="1791"/>
  <c r="AF17" i="1791"/>
  <c r="AB17" i="1791"/>
  <c r="Q17" i="1791"/>
  <c r="P17" i="1791"/>
  <c r="AC17" i="1791" s="1"/>
  <c r="O17" i="1791"/>
  <c r="M17" i="1791"/>
  <c r="K17" i="1791"/>
  <c r="AF16" i="1791"/>
  <c r="AB16" i="1791"/>
  <c r="Q16" i="1791"/>
  <c r="P16" i="1791"/>
  <c r="AC16" i="1791" s="1"/>
  <c r="AD16" i="1791" s="1"/>
  <c r="V13" i="16" s="1"/>
  <c r="O16" i="1791"/>
  <c r="M16" i="1791"/>
  <c r="K16" i="1791"/>
  <c r="AF15" i="1791"/>
  <c r="AB15" i="1791"/>
  <c r="Q15" i="1791"/>
  <c r="P15" i="1791"/>
  <c r="AC15" i="1791" s="1"/>
  <c r="O15" i="1791"/>
  <c r="M15" i="1791"/>
  <c r="K15" i="1791"/>
  <c r="AF14" i="1791"/>
  <c r="AB14" i="1791"/>
  <c r="Q14" i="1791"/>
  <c r="P14" i="1791" s="1"/>
  <c r="AC14" i="1791" s="1"/>
  <c r="O14" i="1791"/>
  <c r="M14" i="1791"/>
  <c r="AF13" i="1791"/>
  <c r="Q13" i="1791"/>
  <c r="O13" i="1791"/>
  <c r="AF12" i="1791"/>
  <c r="AB12" i="1791"/>
  <c r="Q12" i="1791"/>
  <c r="P12" i="1791" s="1"/>
  <c r="AC12" i="1791" s="1"/>
  <c r="O12" i="1791"/>
  <c r="M12" i="1791"/>
  <c r="AF11" i="1791"/>
  <c r="AB11" i="1791"/>
  <c r="Q11" i="1791"/>
  <c r="P11" i="1791"/>
  <c r="AC11" i="1791" s="1"/>
  <c r="O11" i="1791"/>
  <c r="M11" i="1791"/>
  <c r="K11" i="1791"/>
  <c r="AF10" i="1791"/>
  <c r="Q10" i="1791"/>
  <c r="O10" i="1791"/>
  <c r="AF9" i="1791"/>
  <c r="AB9" i="1791"/>
  <c r="Q9" i="1791"/>
  <c r="P9" i="1791" s="1"/>
  <c r="AC9" i="1791" s="1"/>
  <c r="O9" i="1791"/>
  <c r="M9" i="1791"/>
  <c r="AF8" i="1791"/>
  <c r="Q8" i="1791"/>
  <c r="AB8" i="1791"/>
  <c r="AF7" i="1791"/>
  <c r="AB7" i="1791"/>
  <c r="Q7" i="1791"/>
  <c r="P7" i="1791"/>
  <c r="AC7" i="1791" s="1"/>
  <c r="O7" i="1791"/>
  <c r="M7" i="1791"/>
  <c r="K7" i="1791"/>
  <c r="AF6" i="1791"/>
  <c r="Q6" i="1791"/>
  <c r="M6" i="1791"/>
  <c r="O6" i="1791" l="1"/>
  <c r="M10" i="1791"/>
  <c r="AB10" i="1791"/>
  <c r="P13" i="1791"/>
  <c r="AC13" i="1791" s="1"/>
  <c r="AD17" i="1791"/>
  <c r="V14" i="16" s="1"/>
  <c r="K13" i="1791"/>
  <c r="K20" i="1791"/>
  <c r="AD20" i="1792"/>
  <c r="W17" i="16" s="1"/>
  <c r="AE10" i="1794"/>
  <c r="AE15" i="1794"/>
  <c r="AE12" i="1794"/>
  <c r="AE21" i="1794"/>
  <c r="L22" i="1791"/>
  <c r="O22" i="1791" s="1"/>
  <c r="AB6" i="1791"/>
  <c r="AD15" i="1791"/>
  <c r="V12" i="16" s="1"/>
  <c r="P21" i="1791"/>
  <c r="AC21" i="1791" s="1"/>
  <c r="AD22" i="1793"/>
  <c r="AB22" i="1792"/>
  <c r="AD13" i="1792"/>
  <c r="W10" i="16" s="1"/>
  <c r="M22" i="1792"/>
  <c r="AD10" i="1792"/>
  <c r="W7" i="16" s="1"/>
  <c r="AD6" i="1792"/>
  <c r="W3" i="16" s="1"/>
  <c r="AC22" i="1792"/>
  <c r="P22" i="1792"/>
  <c r="P20" i="1791"/>
  <c r="AC20" i="1791" s="1"/>
  <c r="AD20" i="1791" s="1"/>
  <c r="V17" i="16" s="1"/>
  <c r="AD10" i="1791"/>
  <c r="V7" i="16" s="1"/>
  <c r="Q22" i="1791"/>
  <c r="AD14" i="1791"/>
  <c r="V11" i="16" s="1"/>
  <c r="AD9" i="1791"/>
  <c r="V6" i="16" s="1"/>
  <c r="AD11" i="1791"/>
  <c r="V8" i="16" s="1"/>
  <c r="AD12" i="1791"/>
  <c r="V9" i="16" s="1"/>
  <c r="AD7" i="1791"/>
  <c r="V4" i="16" s="1"/>
  <c r="AD13" i="1791"/>
  <c r="V10" i="16" s="1"/>
  <c r="M8" i="1791"/>
  <c r="P6" i="1791"/>
  <c r="O8" i="1791"/>
  <c r="M18" i="1791"/>
  <c r="AB18" i="1791"/>
  <c r="O19" i="1791"/>
  <c r="M21" i="1791"/>
  <c r="AB21" i="1791"/>
  <c r="AD21" i="1791" s="1"/>
  <c r="V18" i="16" s="1"/>
  <c r="P8" i="1791"/>
  <c r="AC8" i="1791" s="1"/>
  <c r="M13" i="1791"/>
  <c r="P19" i="1791"/>
  <c r="AC19" i="1791" s="1"/>
  <c r="M19" i="1791"/>
  <c r="L21" i="1790"/>
  <c r="L19" i="1790"/>
  <c r="K19" i="1790"/>
  <c r="L18" i="1790"/>
  <c r="K18" i="1790" s="1"/>
  <c r="L13" i="1790"/>
  <c r="L12" i="1790"/>
  <c r="L10" i="1790"/>
  <c r="L9" i="1790"/>
  <c r="K9" i="1790"/>
  <c r="L8" i="1790"/>
  <c r="L6" i="1790"/>
  <c r="AE18" i="1793" l="1"/>
  <c r="X19" i="16"/>
  <c r="AD8" i="1791"/>
  <c r="V5" i="16" s="1"/>
  <c r="AE9" i="1793"/>
  <c r="AE8" i="1793"/>
  <c r="AE11" i="1793"/>
  <c r="AE15" i="1793"/>
  <c r="AE21" i="1793"/>
  <c r="AE12" i="1793"/>
  <c r="AE6" i="1793"/>
  <c r="AE17" i="1793"/>
  <c r="AE19" i="1793"/>
  <c r="AE10" i="1793"/>
  <c r="AE14" i="1793"/>
  <c r="AE7" i="1793"/>
  <c r="AE20" i="1793"/>
  <c r="AE13" i="1793"/>
  <c r="AE16" i="1793"/>
  <c r="AD22" i="1792"/>
  <c r="AB22" i="1791"/>
  <c r="M22" i="1791"/>
  <c r="AC6" i="1791"/>
  <c r="P22" i="1791"/>
  <c r="AD18" i="1791"/>
  <c r="V15" i="16" s="1"/>
  <c r="AD19" i="1791"/>
  <c r="V16" i="16" s="1"/>
  <c r="K22" i="1791"/>
  <c r="K21" i="1790"/>
  <c r="K13" i="1790"/>
  <c r="K12" i="1790"/>
  <c r="K10" i="1790"/>
  <c r="K8" i="1790"/>
  <c r="A77" i="1790"/>
  <c r="A78" i="1790" s="1"/>
  <c r="A79" i="1790" s="1"/>
  <c r="A80" i="1790" s="1"/>
  <c r="A81" i="1790" s="1"/>
  <c r="A82" i="1790" s="1"/>
  <c r="AF61" i="1790"/>
  <c r="AF63" i="1790" s="1"/>
  <c r="AF60" i="1790"/>
  <c r="AA22" i="1790"/>
  <c r="Z22" i="1790"/>
  <c r="Y22" i="1790"/>
  <c r="X22" i="1790"/>
  <c r="W22" i="1790"/>
  <c r="V22" i="1790"/>
  <c r="U22" i="1790"/>
  <c r="T22" i="1790"/>
  <c r="S22" i="1790"/>
  <c r="R22" i="1790"/>
  <c r="N22" i="1790"/>
  <c r="J22" i="1790"/>
  <c r="I22" i="1790"/>
  <c r="AF21" i="1790"/>
  <c r="AB21" i="1790"/>
  <c r="Q21" i="1790"/>
  <c r="P21" i="1790"/>
  <c r="AC21" i="1790" s="1"/>
  <c r="O21" i="1790"/>
  <c r="M21" i="1790"/>
  <c r="AF20" i="1790"/>
  <c r="AB20" i="1790"/>
  <c r="Q20" i="1790"/>
  <c r="P20" i="1790"/>
  <c r="AC20" i="1790" s="1"/>
  <c r="AD20" i="1790" s="1"/>
  <c r="U17" i="16" s="1"/>
  <c r="O20" i="1790"/>
  <c r="M20" i="1790"/>
  <c r="K20" i="1790"/>
  <c r="AF19" i="1790"/>
  <c r="AB19" i="1790"/>
  <c r="Q19" i="1790"/>
  <c r="P19" i="1790" s="1"/>
  <c r="AC19" i="1790" s="1"/>
  <c r="O19" i="1790"/>
  <c r="M19" i="1790"/>
  <c r="AF18" i="1790"/>
  <c r="AB18" i="1790"/>
  <c r="Q18" i="1790"/>
  <c r="P18" i="1790" s="1"/>
  <c r="AC18" i="1790" s="1"/>
  <c r="O18" i="1790"/>
  <c r="M18" i="1790"/>
  <c r="AF17" i="1790"/>
  <c r="AB17" i="1790"/>
  <c r="Q17" i="1790"/>
  <c r="P17" i="1790"/>
  <c r="AC17" i="1790" s="1"/>
  <c r="O17" i="1790"/>
  <c r="M17" i="1790"/>
  <c r="K17" i="1790"/>
  <c r="AF16" i="1790"/>
  <c r="AB16" i="1790"/>
  <c r="Q16" i="1790"/>
  <c r="P16" i="1790"/>
  <c r="AC16" i="1790" s="1"/>
  <c r="O16" i="1790"/>
  <c r="M16" i="1790"/>
  <c r="K16" i="1790"/>
  <c r="AF15" i="1790"/>
  <c r="AB15" i="1790"/>
  <c r="Q15" i="1790"/>
  <c r="P15" i="1790"/>
  <c r="AC15" i="1790" s="1"/>
  <c r="O15" i="1790"/>
  <c r="M15" i="1790"/>
  <c r="K15" i="1790"/>
  <c r="AF14" i="1790"/>
  <c r="AB14" i="1790"/>
  <c r="Q14" i="1790"/>
  <c r="P14" i="1790"/>
  <c r="AC14" i="1790" s="1"/>
  <c r="O14" i="1790"/>
  <c r="M14" i="1790"/>
  <c r="K14" i="1790"/>
  <c r="AF13" i="1790"/>
  <c r="Q13" i="1790"/>
  <c r="AB13" i="1790"/>
  <c r="AF12" i="1790"/>
  <c r="Q12" i="1790"/>
  <c r="P12" i="1790" s="1"/>
  <c r="AC12" i="1790" s="1"/>
  <c r="O12" i="1790"/>
  <c r="AF11" i="1790"/>
  <c r="AB11" i="1790"/>
  <c r="Q11" i="1790"/>
  <c r="P11" i="1790"/>
  <c r="AC11" i="1790" s="1"/>
  <c r="O11" i="1790"/>
  <c r="M11" i="1790"/>
  <c r="K11" i="1790"/>
  <c r="AF10" i="1790"/>
  <c r="Q10" i="1790"/>
  <c r="AB10" i="1790"/>
  <c r="AF9" i="1790"/>
  <c r="AB9" i="1790"/>
  <c r="Q9" i="1790"/>
  <c r="P9" i="1790" s="1"/>
  <c r="AC9" i="1790" s="1"/>
  <c r="O9" i="1790"/>
  <c r="M9" i="1790"/>
  <c r="AF8" i="1790"/>
  <c r="AB8" i="1790"/>
  <c r="Q8" i="1790"/>
  <c r="M8" i="1790"/>
  <c r="L22" i="1790"/>
  <c r="O22" i="1790" s="1"/>
  <c r="AF7" i="1790"/>
  <c r="AB7" i="1790"/>
  <c r="Q7" i="1790"/>
  <c r="P7" i="1790"/>
  <c r="AC7" i="1790" s="1"/>
  <c r="AD7" i="1790" s="1"/>
  <c r="U4" i="16" s="1"/>
  <c r="O7" i="1790"/>
  <c r="M7" i="1790"/>
  <c r="K7" i="1790"/>
  <c r="AF6" i="1790"/>
  <c r="AB6" i="1790"/>
  <c r="Q6" i="1790"/>
  <c r="O6" i="1790"/>
  <c r="M6" i="1790"/>
  <c r="K6" i="1790"/>
  <c r="AD11" i="1790" l="1"/>
  <c r="U8" i="16" s="1"/>
  <c r="AE21" i="1792"/>
  <c r="W19" i="16"/>
  <c r="AE7" i="1792"/>
  <c r="AE13" i="1792"/>
  <c r="AE9" i="1792"/>
  <c r="AE15" i="1792"/>
  <c r="AE14" i="1792"/>
  <c r="AE12" i="1792"/>
  <c r="AE17" i="1792"/>
  <c r="AE16" i="1792"/>
  <c r="AE6" i="1792"/>
  <c r="AE20" i="1792"/>
  <c r="AE19" i="1792"/>
  <c r="AE8" i="1792"/>
  <c r="AE18" i="1792"/>
  <c r="AE10" i="1792"/>
  <c r="AE11" i="1792"/>
  <c r="AC22" i="1791"/>
  <c r="AD6" i="1791"/>
  <c r="Q22" i="1790"/>
  <c r="P6" i="1790"/>
  <c r="AC6" i="1790" s="1"/>
  <c r="AD6" i="1790" s="1"/>
  <c r="U3" i="16" s="1"/>
  <c r="AD18" i="1790"/>
  <c r="U15" i="16" s="1"/>
  <c r="AD16" i="1790"/>
  <c r="U13" i="16" s="1"/>
  <c r="AD19" i="1790"/>
  <c r="U16" i="16" s="1"/>
  <c r="AD9" i="1790"/>
  <c r="U6" i="16" s="1"/>
  <c r="AD14" i="1790"/>
  <c r="U11" i="16" s="1"/>
  <c r="AD17" i="1790"/>
  <c r="U14" i="16" s="1"/>
  <c r="AD15" i="1790"/>
  <c r="U12" i="16" s="1"/>
  <c r="AD21" i="1790"/>
  <c r="U18" i="16" s="1"/>
  <c r="O8" i="1790"/>
  <c r="P8" i="1790"/>
  <c r="AC8" i="1790" s="1"/>
  <c r="O10" i="1790"/>
  <c r="M12" i="1790"/>
  <c r="AB12" i="1790"/>
  <c r="AB22" i="1790" s="1"/>
  <c r="O13" i="1790"/>
  <c r="K22" i="1790"/>
  <c r="P10" i="1790"/>
  <c r="AC10" i="1790" s="1"/>
  <c r="P13" i="1790"/>
  <c r="AC13" i="1790" s="1"/>
  <c r="AD13" i="1790" s="1"/>
  <c r="U10" i="16" s="1"/>
  <c r="M10" i="1790"/>
  <c r="M13" i="1790"/>
  <c r="L21" i="1789"/>
  <c r="K21" i="1789" s="1"/>
  <c r="L13" i="1789"/>
  <c r="O13" i="1789" s="1"/>
  <c r="L12" i="1789"/>
  <c r="M12" i="1789" s="1"/>
  <c r="L10" i="1789"/>
  <c r="K10" i="1789" s="1"/>
  <c r="L8" i="1789"/>
  <c r="K8" i="1789" s="1"/>
  <c r="K19" i="1789"/>
  <c r="K9" i="1789"/>
  <c r="A77" i="1789"/>
  <c r="A78" i="1789" s="1"/>
  <c r="A79" i="1789" s="1"/>
  <c r="A80" i="1789" s="1"/>
  <c r="A81" i="1789" s="1"/>
  <c r="A82" i="1789" s="1"/>
  <c r="AF61" i="1789"/>
  <c r="AF60" i="1789"/>
  <c r="AF63" i="1789" s="1"/>
  <c r="AA22" i="1789"/>
  <c r="Z22" i="1789"/>
  <c r="Y22" i="1789"/>
  <c r="X22" i="1789"/>
  <c r="W22" i="1789"/>
  <c r="V22" i="1789"/>
  <c r="U22" i="1789"/>
  <c r="T22" i="1789"/>
  <c r="S22" i="1789"/>
  <c r="R22" i="1789"/>
  <c r="N22" i="1789"/>
  <c r="J22" i="1789"/>
  <c r="I22" i="1789"/>
  <c r="AF21" i="1789"/>
  <c r="Q21" i="1789"/>
  <c r="M21" i="1789"/>
  <c r="AF20" i="1789"/>
  <c r="AB20" i="1789"/>
  <c r="Q20" i="1789"/>
  <c r="P20" i="1789"/>
  <c r="AC20" i="1789" s="1"/>
  <c r="O20" i="1789"/>
  <c r="M20" i="1789"/>
  <c r="K20" i="1789"/>
  <c r="AF19" i="1789"/>
  <c r="AB19" i="1789"/>
  <c r="Q19" i="1789"/>
  <c r="M19" i="1789"/>
  <c r="P19" i="1789"/>
  <c r="AC19" i="1789" s="1"/>
  <c r="AF18" i="1789"/>
  <c r="AB18" i="1789"/>
  <c r="Q18" i="1789"/>
  <c r="P18" i="1789"/>
  <c r="AC18" i="1789" s="1"/>
  <c r="O18" i="1789"/>
  <c r="M18" i="1789"/>
  <c r="K18" i="1789"/>
  <c r="AF17" i="1789"/>
  <c r="AB17" i="1789"/>
  <c r="Q17" i="1789"/>
  <c r="P17" i="1789"/>
  <c r="AC17" i="1789" s="1"/>
  <c r="O17" i="1789"/>
  <c r="M17" i="1789"/>
  <c r="K17" i="1789"/>
  <c r="AF16" i="1789"/>
  <c r="AB16" i="1789"/>
  <c r="Q16" i="1789"/>
  <c r="P16" i="1789"/>
  <c r="AC16" i="1789" s="1"/>
  <c r="O16" i="1789"/>
  <c r="M16" i="1789"/>
  <c r="K16" i="1789"/>
  <c r="AF15" i="1789"/>
  <c r="AC15" i="1789"/>
  <c r="AB15" i="1789"/>
  <c r="Q15" i="1789"/>
  <c r="P15" i="1789"/>
  <c r="O15" i="1789"/>
  <c r="M15" i="1789"/>
  <c r="K15" i="1789"/>
  <c r="AF14" i="1789"/>
  <c r="AB14" i="1789"/>
  <c r="Q14" i="1789"/>
  <c r="P14" i="1789"/>
  <c r="AC14" i="1789" s="1"/>
  <c r="AD14" i="1789" s="1"/>
  <c r="S11" i="16" s="1"/>
  <c r="O14" i="1789"/>
  <c r="M14" i="1789"/>
  <c r="K14" i="1789"/>
  <c r="AF13" i="1789"/>
  <c r="AB13" i="1789"/>
  <c r="Q13" i="1789"/>
  <c r="M13" i="1789"/>
  <c r="P13" i="1789"/>
  <c r="AC13" i="1789" s="1"/>
  <c r="AF12" i="1789"/>
  <c r="Q12" i="1789"/>
  <c r="AF11" i="1789"/>
  <c r="AB11" i="1789"/>
  <c r="Q11" i="1789"/>
  <c r="P11" i="1789"/>
  <c r="AC11" i="1789" s="1"/>
  <c r="O11" i="1789"/>
  <c r="M11" i="1789"/>
  <c r="K11" i="1789"/>
  <c r="AF10" i="1789"/>
  <c r="Q10" i="1789"/>
  <c r="P10" i="1789" s="1"/>
  <c r="AC10" i="1789" s="1"/>
  <c r="O10" i="1789"/>
  <c r="AF9" i="1789"/>
  <c r="AB9" i="1789"/>
  <c r="Q9" i="1789"/>
  <c r="M9" i="1789"/>
  <c r="P9" i="1789"/>
  <c r="AC9" i="1789" s="1"/>
  <c r="AF8" i="1789"/>
  <c r="Q8" i="1789"/>
  <c r="P8" i="1789"/>
  <c r="AC8" i="1789" s="1"/>
  <c r="AF7" i="1789"/>
  <c r="AB7" i="1789"/>
  <c r="Q7" i="1789"/>
  <c r="P7" i="1789"/>
  <c r="AC7" i="1789" s="1"/>
  <c r="O7" i="1789"/>
  <c r="M7" i="1789"/>
  <c r="K7" i="1789"/>
  <c r="AF6" i="1789"/>
  <c r="AB6" i="1789"/>
  <c r="Q6" i="1789"/>
  <c r="P6" i="1789"/>
  <c r="O6" i="1789"/>
  <c r="M6" i="1789"/>
  <c r="K6" i="1789"/>
  <c r="P12" i="1789" l="1"/>
  <c r="AC12" i="1789" s="1"/>
  <c r="AD22" i="1791"/>
  <c r="V19" i="16" s="1"/>
  <c r="V3" i="16"/>
  <c r="AD17" i="1789"/>
  <c r="S14" i="16" s="1"/>
  <c r="P21" i="1789"/>
  <c r="AC21" i="1789" s="1"/>
  <c r="AD7" i="1789"/>
  <c r="S4" i="16" s="1"/>
  <c r="K13" i="1789"/>
  <c r="AE21" i="1791"/>
  <c r="AE18" i="1791"/>
  <c r="AE19" i="1791"/>
  <c r="AE14" i="1791"/>
  <c r="AE12" i="1791"/>
  <c r="AE9" i="1791"/>
  <c r="AE6" i="1791"/>
  <c r="AE7" i="1791"/>
  <c r="AE11" i="1791"/>
  <c r="AE8" i="1791"/>
  <c r="AE20" i="1791"/>
  <c r="AE17" i="1791"/>
  <c r="AE15" i="1791"/>
  <c r="AE13" i="1791"/>
  <c r="AE10" i="1791"/>
  <c r="AE16" i="1791"/>
  <c r="M22" i="1790"/>
  <c r="AD10" i="1790"/>
  <c r="U7" i="16" s="1"/>
  <c r="AD12" i="1790"/>
  <c r="U9" i="16" s="1"/>
  <c r="AC22" i="1790"/>
  <c r="AD8" i="1790"/>
  <c r="U5" i="16" s="1"/>
  <c r="P22" i="1790"/>
  <c r="AB21" i="1789"/>
  <c r="O21" i="1789"/>
  <c r="AD13" i="1789"/>
  <c r="S10" i="16" s="1"/>
  <c r="AB12" i="1789"/>
  <c r="K12" i="1789"/>
  <c r="K22" i="1789" s="1"/>
  <c r="AB10" i="1789"/>
  <c r="AD10" i="1789" s="1"/>
  <c r="S7" i="16" s="1"/>
  <c r="M10" i="1789"/>
  <c r="Q22" i="1789"/>
  <c r="AD15" i="1789"/>
  <c r="S12" i="16" s="1"/>
  <c r="AD18" i="1789"/>
  <c r="S15" i="16" s="1"/>
  <c r="AD20" i="1789"/>
  <c r="S17" i="16" s="1"/>
  <c r="P22" i="1789"/>
  <c r="AD11" i="1789"/>
  <c r="S8" i="16" s="1"/>
  <c r="AD16" i="1789"/>
  <c r="S13" i="16" s="1"/>
  <c r="AC6" i="1789"/>
  <c r="M8" i="1789"/>
  <c r="M22" i="1789" s="1"/>
  <c r="AB8" i="1789"/>
  <c r="O9" i="1789"/>
  <c r="AD9" i="1789" s="1"/>
  <c r="S6" i="16" s="1"/>
  <c r="O12" i="1789"/>
  <c r="O19" i="1789"/>
  <c r="AD19" i="1789" s="1"/>
  <c r="S16" i="16" s="1"/>
  <c r="L22" i="1789"/>
  <c r="O22" i="1789" s="1"/>
  <c r="O8" i="1789"/>
  <c r="L21" i="1788"/>
  <c r="L19" i="1788"/>
  <c r="L13" i="1788"/>
  <c r="L12" i="1788"/>
  <c r="L10" i="1788"/>
  <c r="L9" i="1788"/>
  <c r="L8" i="1788"/>
  <c r="K8" i="1788"/>
  <c r="AD21" i="1789" l="1"/>
  <c r="S18" i="16" s="1"/>
  <c r="AD22" i="1790"/>
  <c r="AD12" i="1789"/>
  <c r="S9" i="16" s="1"/>
  <c r="AB22" i="1789"/>
  <c r="AD8" i="1789"/>
  <c r="S5" i="16" s="1"/>
  <c r="AC22" i="1789"/>
  <c r="AD6" i="1789"/>
  <c r="K21" i="1788"/>
  <c r="K19" i="1788"/>
  <c r="K18" i="1788"/>
  <c r="K13" i="1788"/>
  <c r="K12" i="1788"/>
  <c r="K11" i="1788"/>
  <c r="K10" i="1788"/>
  <c r="K9" i="1788"/>
  <c r="K6" i="1788"/>
  <c r="A77" i="1788"/>
  <c r="A78" i="1788" s="1"/>
  <c r="A79" i="1788" s="1"/>
  <c r="A80" i="1788" s="1"/>
  <c r="A81" i="1788" s="1"/>
  <c r="A82" i="1788" s="1"/>
  <c r="AF61" i="1788"/>
  <c r="AF63" i="1788" s="1"/>
  <c r="AF60" i="1788"/>
  <c r="AA22" i="1788"/>
  <c r="Z22" i="1788"/>
  <c r="Y22" i="1788"/>
  <c r="X22" i="1788"/>
  <c r="W22" i="1788"/>
  <c r="V22" i="1788"/>
  <c r="U22" i="1788"/>
  <c r="T22" i="1788"/>
  <c r="S22" i="1788"/>
  <c r="R22" i="1788"/>
  <c r="N22" i="1788"/>
  <c r="J22" i="1788"/>
  <c r="I22" i="1788"/>
  <c r="AF21" i="1788"/>
  <c r="AB21" i="1788"/>
  <c r="Q21" i="1788"/>
  <c r="P21" i="1788" s="1"/>
  <c r="AC21" i="1788" s="1"/>
  <c r="O21" i="1788"/>
  <c r="M21" i="1788"/>
  <c r="AF20" i="1788"/>
  <c r="AB20" i="1788"/>
  <c r="Q20" i="1788"/>
  <c r="P20" i="1788"/>
  <c r="AC20" i="1788" s="1"/>
  <c r="AD20" i="1788" s="1"/>
  <c r="R17" i="16" s="1"/>
  <c r="O20" i="1788"/>
  <c r="M20" i="1788"/>
  <c r="K20" i="1788"/>
  <c r="AF19" i="1788"/>
  <c r="Q19" i="1788"/>
  <c r="O19" i="1788"/>
  <c r="AB19" i="1788"/>
  <c r="AF18" i="1788"/>
  <c r="AB18" i="1788"/>
  <c r="Q18" i="1788"/>
  <c r="M18" i="1788"/>
  <c r="P18" i="1788"/>
  <c r="AC18" i="1788" s="1"/>
  <c r="AF17" i="1788"/>
  <c r="AB17" i="1788"/>
  <c r="Q17" i="1788"/>
  <c r="P17" i="1788"/>
  <c r="AC17" i="1788" s="1"/>
  <c r="AD17" i="1788" s="1"/>
  <c r="R14" i="16" s="1"/>
  <c r="O17" i="1788"/>
  <c r="M17" i="1788"/>
  <c r="K17" i="1788"/>
  <c r="AF16" i="1788"/>
  <c r="AB16" i="1788"/>
  <c r="Q16" i="1788"/>
  <c r="P16" i="1788"/>
  <c r="AC16" i="1788" s="1"/>
  <c r="O16" i="1788"/>
  <c r="M16" i="1788"/>
  <c r="K16" i="1788"/>
  <c r="AF15" i="1788"/>
  <c r="AB15" i="1788"/>
  <c r="Q15" i="1788"/>
  <c r="P15" i="1788"/>
  <c r="AC15" i="1788" s="1"/>
  <c r="O15" i="1788"/>
  <c r="M15" i="1788"/>
  <c r="K15" i="1788"/>
  <c r="AF14" i="1788"/>
  <c r="AC14" i="1788"/>
  <c r="AB14" i="1788"/>
  <c r="Q14" i="1788"/>
  <c r="P14" i="1788"/>
  <c r="O14" i="1788"/>
  <c r="M14" i="1788"/>
  <c r="K14" i="1788"/>
  <c r="AF13" i="1788"/>
  <c r="Q13" i="1788"/>
  <c r="P13" i="1788"/>
  <c r="AC13" i="1788" s="1"/>
  <c r="AF12" i="1788"/>
  <c r="AB12" i="1788"/>
  <c r="Q12" i="1788"/>
  <c r="P12" i="1788" s="1"/>
  <c r="AC12" i="1788" s="1"/>
  <c r="O12" i="1788"/>
  <c r="M12" i="1788"/>
  <c r="AF11" i="1788"/>
  <c r="AB11" i="1788"/>
  <c r="Q11" i="1788"/>
  <c r="O11" i="1788"/>
  <c r="M11" i="1788"/>
  <c r="P11" i="1788"/>
  <c r="AC11" i="1788" s="1"/>
  <c r="AD11" i="1788" s="1"/>
  <c r="R8" i="16" s="1"/>
  <c r="AF10" i="1788"/>
  <c r="AB10" i="1788"/>
  <c r="Q10" i="1788"/>
  <c r="M10" i="1788"/>
  <c r="P10" i="1788"/>
  <c r="AC10" i="1788" s="1"/>
  <c r="AF9" i="1788"/>
  <c r="Q9" i="1788"/>
  <c r="P9" i="1788" s="1"/>
  <c r="AC9" i="1788" s="1"/>
  <c r="AF8" i="1788"/>
  <c r="AB8" i="1788"/>
  <c r="Q8" i="1788"/>
  <c r="P8" i="1788" s="1"/>
  <c r="AC8" i="1788" s="1"/>
  <c r="O8" i="1788"/>
  <c r="M8" i="1788"/>
  <c r="AF7" i="1788"/>
  <c r="AB7" i="1788"/>
  <c r="Q7" i="1788"/>
  <c r="P7" i="1788"/>
  <c r="AC7" i="1788" s="1"/>
  <c r="AD7" i="1788" s="1"/>
  <c r="R4" i="16" s="1"/>
  <c r="O7" i="1788"/>
  <c r="M7" i="1788"/>
  <c r="K7" i="1788"/>
  <c r="AF6" i="1788"/>
  <c r="AB6" i="1788"/>
  <c r="Q6" i="1788"/>
  <c r="P6" i="1788" s="1"/>
  <c r="O6" i="1788"/>
  <c r="M6" i="1788"/>
  <c r="AD14" i="1788" l="1"/>
  <c r="R11" i="16" s="1"/>
  <c r="AD16" i="1788"/>
  <c r="R13" i="16" s="1"/>
  <c r="AD22" i="1789"/>
  <c r="S19" i="16" s="1"/>
  <c r="S3" i="16"/>
  <c r="AE21" i="1790"/>
  <c r="U19" i="16"/>
  <c r="AE16" i="1790"/>
  <c r="AE18" i="1790"/>
  <c r="AE13" i="1790"/>
  <c r="AE15" i="1790"/>
  <c r="AE6" i="1790"/>
  <c r="AE17" i="1790"/>
  <c r="AE19" i="1790"/>
  <c r="AE9" i="1790"/>
  <c r="AE11" i="1790"/>
  <c r="AE20" i="1790"/>
  <c r="AE8" i="1790"/>
  <c r="AE12" i="1790"/>
  <c r="AE14" i="1790"/>
  <c r="AE10" i="1790"/>
  <c r="AE7" i="1790"/>
  <c r="AE21" i="1789"/>
  <c r="AE18" i="1789"/>
  <c r="AE14" i="1789"/>
  <c r="AE8" i="1789"/>
  <c r="AE19" i="1789"/>
  <c r="AE12" i="1789"/>
  <c r="AE9" i="1789"/>
  <c r="AE6" i="1789"/>
  <c r="AE17" i="1789"/>
  <c r="AE15" i="1789"/>
  <c r="AE13" i="1789"/>
  <c r="AE10" i="1789"/>
  <c r="AE20" i="1789"/>
  <c r="AE7" i="1789"/>
  <c r="AE16" i="1789"/>
  <c r="AE11" i="1789"/>
  <c r="AD12" i="1788"/>
  <c r="R9" i="16" s="1"/>
  <c r="AD8" i="1788"/>
  <c r="R5" i="16" s="1"/>
  <c r="AD15" i="1788"/>
  <c r="R12" i="16" s="1"/>
  <c r="AD21" i="1788"/>
  <c r="R18" i="16" s="1"/>
  <c r="AC6" i="1788"/>
  <c r="M9" i="1788"/>
  <c r="AB9" i="1788"/>
  <c r="O10" i="1788"/>
  <c r="AD10" i="1788" s="1"/>
  <c r="R7" i="16" s="1"/>
  <c r="M13" i="1788"/>
  <c r="AB13" i="1788"/>
  <c r="O18" i="1788"/>
  <c r="AD18" i="1788" s="1"/>
  <c r="R15" i="16" s="1"/>
  <c r="P19" i="1788"/>
  <c r="AC19" i="1788" s="1"/>
  <c r="AD19" i="1788" s="1"/>
  <c r="R16" i="16" s="1"/>
  <c r="Q22" i="1788"/>
  <c r="O9" i="1788"/>
  <c r="O13" i="1788"/>
  <c r="L22" i="1788"/>
  <c r="O22" i="1788" s="1"/>
  <c r="K22" i="1788"/>
  <c r="M19" i="1788"/>
  <c r="L21" i="1787"/>
  <c r="L19" i="1787"/>
  <c r="K19" i="1787" s="1"/>
  <c r="L18" i="1787"/>
  <c r="K18" i="1787"/>
  <c r="L13" i="1787"/>
  <c r="K13" i="1787" s="1"/>
  <c r="L12" i="1787"/>
  <c r="K12" i="1787" s="1"/>
  <c r="L11" i="1787"/>
  <c r="K11" i="1787" s="1"/>
  <c r="L10" i="1787"/>
  <c r="K10" i="1787" s="1"/>
  <c r="K9" i="1787"/>
  <c r="L9" i="1787"/>
  <c r="L8" i="1787"/>
  <c r="K6" i="1787"/>
  <c r="K21" i="1787"/>
  <c r="K14" i="1787"/>
  <c r="K8" i="1787"/>
  <c r="A77" i="1787"/>
  <c r="A78" i="1787" s="1"/>
  <c r="A79" i="1787" s="1"/>
  <c r="A80" i="1787" s="1"/>
  <c r="A81" i="1787" s="1"/>
  <c r="A82" i="1787" s="1"/>
  <c r="AF61" i="1787"/>
  <c r="AF60" i="1787"/>
  <c r="AA22" i="1787"/>
  <c r="Z22" i="1787"/>
  <c r="Y22" i="1787"/>
  <c r="X22" i="1787"/>
  <c r="W22" i="1787"/>
  <c r="V22" i="1787"/>
  <c r="U22" i="1787"/>
  <c r="T22" i="1787"/>
  <c r="S22" i="1787"/>
  <c r="R22" i="1787"/>
  <c r="N22" i="1787"/>
  <c r="J22" i="1787"/>
  <c r="I22" i="1787"/>
  <c r="AF21" i="1787"/>
  <c r="Q21" i="1787"/>
  <c r="P21" i="1787" s="1"/>
  <c r="AC21" i="1787" s="1"/>
  <c r="AF20" i="1787"/>
  <c r="AB20" i="1787"/>
  <c r="Q20" i="1787"/>
  <c r="P20" i="1787"/>
  <c r="AC20" i="1787" s="1"/>
  <c r="O20" i="1787"/>
  <c r="M20" i="1787"/>
  <c r="K20" i="1787"/>
  <c r="AF19" i="1787"/>
  <c r="Q19" i="1787"/>
  <c r="M19" i="1787"/>
  <c r="AB19" i="1787"/>
  <c r="AF18" i="1787"/>
  <c r="AB18" i="1787"/>
  <c r="Q18" i="1787"/>
  <c r="P18" i="1787" s="1"/>
  <c r="AC18" i="1787" s="1"/>
  <c r="O18" i="1787"/>
  <c r="M18" i="1787"/>
  <c r="AF17" i="1787"/>
  <c r="AB17" i="1787"/>
  <c r="Q17" i="1787"/>
  <c r="P17" i="1787"/>
  <c r="AC17" i="1787" s="1"/>
  <c r="O17" i="1787"/>
  <c r="M17" i="1787"/>
  <c r="K17" i="1787"/>
  <c r="AF16" i="1787"/>
  <c r="AB16" i="1787"/>
  <c r="Q16" i="1787"/>
  <c r="P16" i="1787"/>
  <c r="AC16" i="1787" s="1"/>
  <c r="O16" i="1787"/>
  <c r="M16" i="1787"/>
  <c r="K16" i="1787"/>
  <c r="AF15" i="1787"/>
  <c r="AB15" i="1787"/>
  <c r="Q15" i="1787"/>
  <c r="P15" i="1787"/>
  <c r="AC15" i="1787" s="1"/>
  <c r="O15" i="1787"/>
  <c r="M15" i="1787"/>
  <c r="K15" i="1787"/>
  <c r="AF14" i="1787"/>
  <c r="AB14" i="1787"/>
  <c r="Q14" i="1787"/>
  <c r="P14" i="1787" s="1"/>
  <c r="AC14" i="1787" s="1"/>
  <c r="O14" i="1787"/>
  <c r="M14" i="1787"/>
  <c r="AF13" i="1787"/>
  <c r="Q13" i="1787"/>
  <c r="AF12" i="1787"/>
  <c r="Q12" i="1787"/>
  <c r="P12" i="1787" s="1"/>
  <c r="AC12" i="1787" s="1"/>
  <c r="O12" i="1787"/>
  <c r="AB12" i="1787"/>
  <c r="AF11" i="1787"/>
  <c r="AB11" i="1787"/>
  <c r="Q11" i="1787"/>
  <c r="P11" i="1787" s="1"/>
  <c r="AC11" i="1787" s="1"/>
  <c r="O11" i="1787"/>
  <c r="M11" i="1787"/>
  <c r="AF10" i="1787"/>
  <c r="Q10" i="1787"/>
  <c r="AF9" i="1787"/>
  <c r="Q9" i="1787"/>
  <c r="P9" i="1787" s="1"/>
  <c r="AC9" i="1787" s="1"/>
  <c r="AF8" i="1787"/>
  <c r="Q8" i="1787"/>
  <c r="P8" i="1787"/>
  <c r="AC8" i="1787" s="1"/>
  <c r="O8" i="1787"/>
  <c r="AB8" i="1787"/>
  <c r="AF7" i="1787"/>
  <c r="AB7" i="1787"/>
  <c r="Q7" i="1787"/>
  <c r="P7" i="1787"/>
  <c r="AC7" i="1787" s="1"/>
  <c r="O7" i="1787"/>
  <c r="M7" i="1787"/>
  <c r="K7" i="1787"/>
  <c r="AF6" i="1787"/>
  <c r="Q6" i="1787"/>
  <c r="P10" i="1787" l="1"/>
  <c r="AC10" i="1787" s="1"/>
  <c r="P13" i="1787"/>
  <c r="AC13" i="1787" s="1"/>
  <c r="AD7" i="1787"/>
  <c r="Q4" i="16" s="1"/>
  <c r="AF63" i="1787"/>
  <c r="AD13" i="1788"/>
  <c r="R10" i="16" s="1"/>
  <c r="M22" i="1788"/>
  <c r="AD6" i="1788"/>
  <c r="R3" i="16" s="1"/>
  <c r="AC22" i="1788"/>
  <c r="AB22" i="1788"/>
  <c r="AD9" i="1788"/>
  <c r="R6" i="16" s="1"/>
  <c r="P22" i="1788"/>
  <c r="AD18" i="1787"/>
  <c r="Q15" i="16" s="1"/>
  <c r="AD17" i="1787"/>
  <c r="Q14" i="16" s="1"/>
  <c r="M10" i="1787"/>
  <c r="AD14" i="1787"/>
  <c r="Q11" i="16" s="1"/>
  <c r="AD20" i="1787"/>
  <c r="Q17" i="16" s="1"/>
  <c r="AD16" i="1787"/>
  <c r="Q13" i="16" s="1"/>
  <c r="AB10" i="1787"/>
  <c r="AD15" i="1787"/>
  <c r="Q12" i="16" s="1"/>
  <c r="Q22" i="1787"/>
  <c r="AD11" i="1787"/>
  <c r="Q8" i="16" s="1"/>
  <c r="P6" i="1787"/>
  <c r="AC6" i="1787" s="1"/>
  <c r="AD12" i="1787"/>
  <c r="Q9" i="16" s="1"/>
  <c r="AD8" i="1787"/>
  <c r="Q5" i="16" s="1"/>
  <c r="M6" i="1787"/>
  <c r="M9" i="1787"/>
  <c r="AB9" i="1787"/>
  <c r="O10" i="1787"/>
  <c r="AD10" i="1787" s="1"/>
  <c r="Q7" i="16" s="1"/>
  <c r="M13" i="1787"/>
  <c r="AB13" i="1787"/>
  <c r="O19" i="1787"/>
  <c r="M21" i="1787"/>
  <c r="AB21" i="1787"/>
  <c r="L22" i="1787"/>
  <c r="O22" i="1787" s="1"/>
  <c r="AB6" i="1787"/>
  <c r="O6" i="1787"/>
  <c r="M8" i="1787"/>
  <c r="O9" i="1787"/>
  <c r="M12" i="1787"/>
  <c r="O13" i="1787"/>
  <c r="P19" i="1787"/>
  <c r="AC19" i="1787" s="1"/>
  <c r="O21" i="1787"/>
  <c r="K22" i="1787"/>
  <c r="L22" i="1786"/>
  <c r="L20" i="1786"/>
  <c r="K20" i="1786" s="1"/>
  <c r="K19" i="1786"/>
  <c r="AF14" i="1786"/>
  <c r="AB14" i="1786"/>
  <c r="Q14" i="1786"/>
  <c r="P14" i="1786" s="1"/>
  <c r="AC14" i="1786" s="1"/>
  <c r="O14" i="1786"/>
  <c r="M14" i="1786"/>
  <c r="K14" i="1786"/>
  <c r="K15" i="1786"/>
  <c r="L13" i="1786"/>
  <c r="AB13" i="1786" s="1"/>
  <c r="L12" i="1786"/>
  <c r="O12" i="1786" s="1"/>
  <c r="L11" i="1786"/>
  <c r="K11" i="1786"/>
  <c r="L10" i="1786"/>
  <c r="K10" i="1786" s="1"/>
  <c r="L9" i="1786"/>
  <c r="K9" i="1786" s="1"/>
  <c r="L8" i="1786"/>
  <c r="K8" i="1786" s="1"/>
  <c r="L6" i="1786"/>
  <c r="K6" i="1786" s="1"/>
  <c r="K22" i="1786"/>
  <c r="K13" i="1786"/>
  <c r="A78" i="1786"/>
  <c r="A79" i="1786" s="1"/>
  <c r="A80" i="1786" s="1"/>
  <c r="A81" i="1786" s="1"/>
  <c r="A82" i="1786" s="1"/>
  <c r="A83" i="1786" s="1"/>
  <c r="AF62" i="1786"/>
  <c r="AF61" i="1786"/>
  <c r="AA23" i="1786"/>
  <c r="Z23" i="1786"/>
  <c r="Y23" i="1786"/>
  <c r="X23" i="1786"/>
  <c r="W23" i="1786"/>
  <c r="V23" i="1786"/>
  <c r="U23" i="1786"/>
  <c r="T23" i="1786"/>
  <c r="S23" i="1786"/>
  <c r="R23" i="1786"/>
  <c r="N23" i="1786"/>
  <c r="J23" i="1786"/>
  <c r="I23" i="1786"/>
  <c r="AF22" i="1786"/>
  <c r="AB22" i="1786"/>
  <c r="Q22" i="1786"/>
  <c r="P22" i="1786" s="1"/>
  <c r="AC22" i="1786" s="1"/>
  <c r="O22" i="1786"/>
  <c r="M22" i="1786"/>
  <c r="AF21" i="1786"/>
  <c r="AB21" i="1786"/>
  <c r="Q21" i="1786"/>
  <c r="P21" i="1786"/>
  <c r="AC21" i="1786" s="1"/>
  <c r="O21" i="1786"/>
  <c r="M21" i="1786"/>
  <c r="K21" i="1786"/>
  <c r="AF20" i="1786"/>
  <c r="Q20" i="1786"/>
  <c r="AF19" i="1786"/>
  <c r="AB19" i="1786"/>
  <c r="Q19" i="1786"/>
  <c r="P19" i="1786"/>
  <c r="AC19" i="1786" s="1"/>
  <c r="O19" i="1786"/>
  <c r="M19" i="1786"/>
  <c r="AF18" i="1786"/>
  <c r="AB18" i="1786"/>
  <c r="Q18" i="1786"/>
  <c r="P18" i="1786"/>
  <c r="AC18" i="1786" s="1"/>
  <c r="O18" i="1786"/>
  <c r="M18" i="1786"/>
  <c r="K18" i="1786"/>
  <c r="AF17" i="1786"/>
  <c r="AB17" i="1786"/>
  <c r="Q17" i="1786"/>
  <c r="P17" i="1786"/>
  <c r="AC17" i="1786" s="1"/>
  <c r="O17" i="1786"/>
  <c r="M17" i="1786"/>
  <c r="K17" i="1786"/>
  <c r="AF16" i="1786"/>
  <c r="AB16" i="1786"/>
  <c r="Q16" i="1786"/>
  <c r="P16" i="1786"/>
  <c r="AC16" i="1786" s="1"/>
  <c r="O16" i="1786"/>
  <c r="M16" i="1786"/>
  <c r="K16" i="1786"/>
  <c r="AF15" i="1786"/>
  <c r="AB15" i="1786"/>
  <c r="Q15" i="1786"/>
  <c r="P15" i="1786" s="1"/>
  <c r="AC15" i="1786" s="1"/>
  <c r="O15" i="1786"/>
  <c r="M15" i="1786"/>
  <c r="AF13" i="1786"/>
  <c r="Q13" i="1786"/>
  <c r="M13" i="1786"/>
  <c r="AF12" i="1786"/>
  <c r="Q12" i="1786"/>
  <c r="AF11" i="1786"/>
  <c r="AB11" i="1786"/>
  <c r="Q11" i="1786"/>
  <c r="P11" i="1786" s="1"/>
  <c r="AC11" i="1786" s="1"/>
  <c r="M11" i="1786"/>
  <c r="AF10" i="1786"/>
  <c r="Q10" i="1786"/>
  <c r="P10" i="1786" s="1"/>
  <c r="AC10" i="1786" s="1"/>
  <c r="AF9" i="1786"/>
  <c r="Q9" i="1786"/>
  <c r="O9" i="1786"/>
  <c r="AF8" i="1786"/>
  <c r="Q8" i="1786"/>
  <c r="O8" i="1786"/>
  <c r="AB8" i="1786"/>
  <c r="AF7" i="1786"/>
  <c r="AB7" i="1786"/>
  <c r="Q7" i="1786"/>
  <c r="P7" i="1786"/>
  <c r="AC7" i="1786" s="1"/>
  <c r="O7" i="1786"/>
  <c r="M7" i="1786"/>
  <c r="K7" i="1786"/>
  <c r="AF6" i="1786"/>
  <c r="Q6" i="1786"/>
  <c r="M6" i="1786"/>
  <c r="P9" i="1786" l="1"/>
  <c r="AC9" i="1786" s="1"/>
  <c r="AB9" i="1786"/>
  <c r="AB12" i="1786"/>
  <c r="AD14" i="1786"/>
  <c r="P11" i="16" s="1"/>
  <c r="AD7" i="1786"/>
  <c r="P4" i="16" s="1"/>
  <c r="M9" i="1786"/>
  <c r="AD22" i="1788"/>
  <c r="R19" i="16" s="1"/>
  <c r="AD13" i="1787"/>
  <c r="Q10" i="16" s="1"/>
  <c r="AD9" i="1787"/>
  <c r="Q6" i="16" s="1"/>
  <c r="AD19" i="1787"/>
  <c r="Q16" i="16" s="1"/>
  <c r="AD21" i="1787"/>
  <c r="Q18" i="16" s="1"/>
  <c r="AB22" i="1787"/>
  <c r="P22" i="1787"/>
  <c r="M22" i="1787"/>
  <c r="AD6" i="1787"/>
  <c r="AC22" i="1787"/>
  <c r="O20" i="1786"/>
  <c r="AB20" i="1786"/>
  <c r="O6" i="1786"/>
  <c r="O13" i="1786"/>
  <c r="AD16" i="1786"/>
  <c r="P12" i="16" s="1"/>
  <c r="AD21" i="1786"/>
  <c r="P17" i="16" s="1"/>
  <c r="AF64" i="1786"/>
  <c r="P13" i="1786"/>
  <c r="AC13" i="1786" s="1"/>
  <c r="K12" i="1786"/>
  <c r="AB6" i="1786"/>
  <c r="AD15" i="1786"/>
  <c r="AD13" i="1786"/>
  <c r="P10" i="16" s="1"/>
  <c r="Q23" i="1786"/>
  <c r="P6" i="1786"/>
  <c r="AC6" i="1786" s="1"/>
  <c r="AD6" i="1786" s="1"/>
  <c r="P3" i="16" s="1"/>
  <c r="AD19" i="1786"/>
  <c r="P15" i="16" s="1"/>
  <c r="AD18" i="1786"/>
  <c r="P14" i="16" s="1"/>
  <c r="AD22" i="1786"/>
  <c r="P18" i="16" s="1"/>
  <c r="AD9" i="1786"/>
  <c r="P6" i="16" s="1"/>
  <c r="AD17" i="1786"/>
  <c r="P13" i="16" s="1"/>
  <c r="K23" i="1786"/>
  <c r="P8" i="1786"/>
  <c r="AC8" i="1786" s="1"/>
  <c r="AD8" i="1786" s="1"/>
  <c r="P5" i="16" s="1"/>
  <c r="M10" i="1786"/>
  <c r="AB10" i="1786"/>
  <c r="O11" i="1786"/>
  <c r="AD11" i="1786" s="1"/>
  <c r="P8" i="16" s="1"/>
  <c r="P12" i="1786"/>
  <c r="AC12" i="1786" s="1"/>
  <c r="AD12" i="1786" s="1"/>
  <c r="P9" i="16" s="1"/>
  <c r="P20" i="1786"/>
  <c r="AC20" i="1786" s="1"/>
  <c r="L23" i="1786"/>
  <c r="O23" i="1786" s="1"/>
  <c r="O10" i="1786"/>
  <c r="M8" i="1786"/>
  <c r="M12" i="1786"/>
  <c r="M20" i="1786"/>
  <c r="L21" i="1785"/>
  <c r="L19" i="1785"/>
  <c r="AB19" i="1785" s="1"/>
  <c r="L13" i="1785"/>
  <c r="K13" i="1785" s="1"/>
  <c r="L12" i="1785"/>
  <c r="O12" i="1785" s="1"/>
  <c r="K12" i="1785"/>
  <c r="L11" i="1785"/>
  <c r="AB11" i="1785" s="1"/>
  <c r="L10" i="1785"/>
  <c r="P10" i="1785" s="1"/>
  <c r="AC10" i="1785" s="1"/>
  <c r="L9" i="1785"/>
  <c r="K9" i="1785"/>
  <c r="L8" i="1785"/>
  <c r="K8" i="1785" s="1"/>
  <c r="K21" i="1785"/>
  <c r="K20" i="1785"/>
  <c r="K18" i="1785"/>
  <c r="K17" i="1785"/>
  <c r="K15" i="1785"/>
  <c r="K14" i="1785"/>
  <c r="K6" i="1785"/>
  <c r="A77" i="1785"/>
  <c r="A78" i="1785" s="1"/>
  <c r="A79" i="1785" s="1"/>
  <c r="A80" i="1785" s="1"/>
  <c r="A81" i="1785" s="1"/>
  <c r="A82" i="1785" s="1"/>
  <c r="AF61" i="1785"/>
  <c r="AF63" i="1785" s="1"/>
  <c r="AF60" i="1785"/>
  <c r="AA22" i="1785"/>
  <c r="Z22" i="1785"/>
  <c r="Y22" i="1785"/>
  <c r="X22" i="1785"/>
  <c r="W22" i="1785"/>
  <c r="V22" i="1785"/>
  <c r="U22" i="1785"/>
  <c r="T22" i="1785"/>
  <c r="S22" i="1785"/>
  <c r="R22" i="1785"/>
  <c r="N22" i="1785"/>
  <c r="J22" i="1785"/>
  <c r="I22" i="1785"/>
  <c r="AF21" i="1785"/>
  <c r="AB21" i="1785"/>
  <c r="Q21" i="1785"/>
  <c r="P21" i="1785"/>
  <c r="AC21" i="1785" s="1"/>
  <c r="O21" i="1785"/>
  <c r="M21" i="1785"/>
  <c r="AF20" i="1785"/>
  <c r="Q20" i="1785"/>
  <c r="P20" i="1785"/>
  <c r="AC20" i="1785" s="1"/>
  <c r="AF19" i="1785"/>
  <c r="Q19" i="1785"/>
  <c r="O19" i="1785"/>
  <c r="AF18" i="1785"/>
  <c r="AB18" i="1785"/>
  <c r="Q18" i="1785"/>
  <c r="M18" i="1785"/>
  <c r="P18" i="1785"/>
  <c r="AC18" i="1785" s="1"/>
  <c r="AF17" i="1785"/>
  <c r="Q17" i="1785"/>
  <c r="P17" i="1785"/>
  <c r="AC17" i="1785" s="1"/>
  <c r="AF16" i="1785"/>
  <c r="AB16" i="1785"/>
  <c r="Q16" i="1785"/>
  <c r="P16" i="1785"/>
  <c r="AC16" i="1785" s="1"/>
  <c r="O16" i="1785"/>
  <c r="M16" i="1785"/>
  <c r="K16" i="1785"/>
  <c r="AF15" i="1785"/>
  <c r="AB15" i="1785"/>
  <c r="Q15" i="1785"/>
  <c r="M15" i="1785"/>
  <c r="P15" i="1785"/>
  <c r="AC15" i="1785" s="1"/>
  <c r="AF14" i="1785"/>
  <c r="Q14" i="1785"/>
  <c r="P14" i="1785" s="1"/>
  <c r="AC14" i="1785" s="1"/>
  <c r="AF13" i="1785"/>
  <c r="Q13" i="1785"/>
  <c r="AF12" i="1785"/>
  <c r="AB12" i="1785"/>
  <c r="Q12" i="1785"/>
  <c r="P12" i="1785" s="1"/>
  <c r="AC12" i="1785" s="1"/>
  <c r="M12" i="1785"/>
  <c r="AF11" i="1785"/>
  <c r="Q11" i="1785"/>
  <c r="O11" i="1785"/>
  <c r="AF10" i="1785"/>
  <c r="AB10" i="1785"/>
  <c r="Q10" i="1785"/>
  <c r="AF9" i="1785"/>
  <c r="AB9" i="1785"/>
  <c r="Q9" i="1785"/>
  <c r="P9" i="1785" s="1"/>
  <c r="AC9" i="1785" s="1"/>
  <c r="O9" i="1785"/>
  <c r="M9" i="1785"/>
  <c r="AF8" i="1785"/>
  <c r="Q8" i="1785"/>
  <c r="AF7" i="1785"/>
  <c r="AB7" i="1785"/>
  <c r="Q7" i="1785"/>
  <c r="P7" i="1785"/>
  <c r="AC7" i="1785" s="1"/>
  <c r="O7" i="1785"/>
  <c r="M7" i="1785"/>
  <c r="K7" i="1785"/>
  <c r="AF6" i="1785"/>
  <c r="AB6" i="1785"/>
  <c r="Q6" i="1785"/>
  <c r="M6" i="1785"/>
  <c r="M10" i="1785" l="1"/>
  <c r="P13" i="1785"/>
  <c r="AC13" i="1785" s="1"/>
  <c r="K19" i="1785"/>
  <c r="AD22" i="1787"/>
  <c r="Q19" i="16" s="1"/>
  <c r="Q3" i="16"/>
  <c r="AD10" i="1785"/>
  <c r="O7" i="16" s="1"/>
  <c r="O10" i="1785"/>
  <c r="P19" i="1785"/>
  <c r="AC19" i="1785" s="1"/>
  <c r="AD19" i="1785" s="1"/>
  <c r="O16" i="16" s="1"/>
  <c r="AE21" i="1788"/>
  <c r="AE18" i="1788"/>
  <c r="AE10" i="1788"/>
  <c r="AE17" i="1788"/>
  <c r="AE15" i="1788"/>
  <c r="AE13" i="1788"/>
  <c r="AE9" i="1788"/>
  <c r="AE19" i="1788"/>
  <c r="AE16" i="1788"/>
  <c r="AE14" i="1788"/>
  <c r="AE11" i="1788"/>
  <c r="AE7" i="1788"/>
  <c r="AE20" i="1788"/>
  <c r="AE6" i="1788"/>
  <c r="AE12" i="1788"/>
  <c r="AE8" i="1788"/>
  <c r="AE10" i="1787"/>
  <c r="AE17" i="1787"/>
  <c r="AE6" i="1787"/>
  <c r="AE16" i="1787"/>
  <c r="AD20" i="1786"/>
  <c r="P16" i="16" s="1"/>
  <c r="P23" i="1786"/>
  <c r="AD10" i="1786"/>
  <c r="P7" i="16" s="1"/>
  <c r="M23" i="1786"/>
  <c r="AC23" i="1786"/>
  <c r="AB23" i="1786"/>
  <c r="M19" i="1785"/>
  <c r="AB13" i="1785"/>
  <c r="O13" i="1785"/>
  <c r="AD12" i="1785"/>
  <c r="O9" i="16" s="1"/>
  <c r="Q22" i="1785"/>
  <c r="K11" i="1785"/>
  <c r="P11" i="1785"/>
  <c r="AC11" i="1785" s="1"/>
  <c r="AD11" i="1785" s="1"/>
  <c r="O8" i="16" s="1"/>
  <c r="M11" i="1785"/>
  <c r="K10" i="1785"/>
  <c r="AD9" i="1785"/>
  <c r="O6" i="16" s="1"/>
  <c r="P8" i="1785"/>
  <c r="AC8" i="1785" s="1"/>
  <c r="P6" i="1785"/>
  <c r="AC6" i="1785" s="1"/>
  <c r="AD16" i="1785"/>
  <c r="O13" i="16" s="1"/>
  <c r="AD21" i="1785"/>
  <c r="O18" i="16" s="1"/>
  <c r="AD7" i="1785"/>
  <c r="O4" i="16" s="1"/>
  <c r="L22" i="1785"/>
  <c r="O22" i="1785" s="1"/>
  <c r="O6" i="1785"/>
  <c r="M8" i="1785"/>
  <c r="AB8" i="1785"/>
  <c r="M14" i="1785"/>
  <c r="AB14" i="1785"/>
  <c r="O15" i="1785"/>
  <c r="AD15" i="1785" s="1"/>
  <c r="O12" i="16" s="1"/>
  <c r="M17" i="1785"/>
  <c r="AB17" i="1785"/>
  <c r="O18" i="1785"/>
  <c r="AD18" i="1785" s="1"/>
  <c r="O15" i="16" s="1"/>
  <c r="M20" i="1785"/>
  <c r="AB20" i="1785"/>
  <c r="O8" i="1785"/>
  <c r="M13" i="1785"/>
  <c r="O14" i="1785"/>
  <c r="O17" i="1785"/>
  <c r="O20" i="1785"/>
  <c r="L21" i="1784"/>
  <c r="K21" i="1784" s="1"/>
  <c r="L20" i="1784"/>
  <c r="O20" i="1784" s="1"/>
  <c r="K20" i="1784"/>
  <c r="L18" i="1784"/>
  <c r="M18" i="1784" s="1"/>
  <c r="L17" i="1784"/>
  <c r="O17" i="1784" s="1"/>
  <c r="L15" i="1784"/>
  <c r="AB15" i="1784" s="1"/>
  <c r="L14" i="1784"/>
  <c r="K14" i="1784" s="1"/>
  <c r="L13" i="1784"/>
  <c r="K13" i="1784" s="1"/>
  <c r="L10" i="1784"/>
  <c r="K10" i="1784" s="1"/>
  <c r="L9" i="1784"/>
  <c r="K9" i="1784" s="1"/>
  <c r="L8" i="1784"/>
  <c r="O8" i="1784" s="1"/>
  <c r="L6" i="1784"/>
  <c r="K18" i="1784"/>
  <c r="K15" i="1784"/>
  <c r="K7" i="1784"/>
  <c r="K6" i="1784"/>
  <c r="A77" i="1784"/>
  <c r="A78" i="1784" s="1"/>
  <c r="A79" i="1784" s="1"/>
  <c r="A80" i="1784" s="1"/>
  <c r="A81" i="1784" s="1"/>
  <c r="A82" i="1784" s="1"/>
  <c r="AF61" i="1784"/>
  <c r="AF60" i="1784"/>
  <c r="AA22" i="1784"/>
  <c r="Z22" i="1784"/>
  <c r="Y22" i="1784"/>
  <c r="X22" i="1784"/>
  <c r="W22" i="1784"/>
  <c r="V22" i="1784"/>
  <c r="U22" i="1784"/>
  <c r="T22" i="1784"/>
  <c r="S22" i="1784"/>
  <c r="R22" i="1784"/>
  <c r="N22" i="1784"/>
  <c r="J22" i="1784"/>
  <c r="I22" i="1784"/>
  <c r="AF21" i="1784"/>
  <c r="AB21" i="1784"/>
  <c r="Q21" i="1784"/>
  <c r="P21" i="1784"/>
  <c r="AC21" i="1784" s="1"/>
  <c r="O21" i="1784"/>
  <c r="M21" i="1784"/>
  <c r="AF20" i="1784"/>
  <c r="AB20" i="1784"/>
  <c r="Q20" i="1784"/>
  <c r="P20" i="1784"/>
  <c r="AC20" i="1784" s="1"/>
  <c r="M20" i="1784"/>
  <c r="AF19" i="1784"/>
  <c r="AB19" i="1784"/>
  <c r="Q19" i="1784"/>
  <c r="P19" i="1784"/>
  <c r="AC19" i="1784" s="1"/>
  <c r="O19" i="1784"/>
  <c r="M19" i="1784"/>
  <c r="K19" i="1784"/>
  <c r="AF18" i="1784"/>
  <c r="AB18" i="1784"/>
  <c r="Q18" i="1784"/>
  <c r="P18" i="1784" s="1"/>
  <c r="AC18" i="1784" s="1"/>
  <c r="O18" i="1784"/>
  <c r="AF17" i="1784"/>
  <c r="AB17" i="1784"/>
  <c r="Q17" i="1784"/>
  <c r="P17" i="1784" s="1"/>
  <c r="AC17" i="1784" s="1"/>
  <c r="M17" i="1784"/>
  <c r="AF16" i="1784"/>
  <c r="AB16" i="1784"/>
  <c r="Q16" i="1784"/>
  <c r="P16" i="1784"/>
  <c r="AC16" i="1784" s="1"/>
  <c r="O16" i="1784"/>
  <c r="M16" i="1784"/>
  <c r="K16" i="1784"/>
  <c r="AF15" i="1784"/>
  <c r="Q15" i="1784"/>
  <c r="AF14" i="1784"/>
  <c r="Q14" i="1784"/>
  <c r="O14" i="1784"/>
  <c r="AF13" i="1784"/>
  <c r="Q13" i="1784"/>
  <c r="AB13" i="1784"/>
  <c r="AF12" i="1784"/>
  <c r="AB12" i="1784"/>
  <c r="Q12" i="1784"/>
  <c r="P12" i="1784"/>
  <c r="AC12" i="1784" s="1"/>
  <c r="AD12" i="1784" s="1"/>
  <c r="N9" i="16" s="1"/>
  <c r="O12" i="1784"/>
  <c r="M12" i="1784"/>
  <c r="K12" i="1784"/>
  <c r="AF11" i="1784"/>
  <c r="AB11" i="1784"/>
  <c r="Q11" i="1784"/>
  <c r="P11" i="1784"/>
  <c r="AC11" i="1784" s="1"/>
  <c r="O11" i="1784"/>
  <c r="M11" i="1784"/>
  <c r="K11" i="1784"/>
  <c r="AF10" i="1784"/>
  <c r="Q10" i="1784"/>
  <c r="P10" i="1784" s="1"/>
  <c r="AC10" i="1784" s="1"/>
  <c r="O10" i="1784"/>
  <c r="AF9" i="1784"/>
  <c r="AB9" i="1784"/>
  <c r="Q9" i="1784"/>
  <c r="AF8" i="1784"/>
  <c r="Q8" i="1784"/>
  <c r="M8" i="1784"/>
  <c r="AF7" i="1784"/>
  <c r="AB7" i="1784"/>
  <c r="Q7" i="1784"/>
  <c r="P7" i="1784" s="1"/>
  <c r="AC7" i="1784" s="1"/>
  <c r="O7" i="1784"/>
  <c r="M7" i="1784"/>
  <c r="AF6" i="1784"/>
  <c r="AB6" i="1784"/>
  <c r="Q6" i="1784"/>
  <c r="P6" i="1784" s="1"/>
  <c r="O6" i="1784"/>
  <c r="M6" i="1784"/>
  <c r="P9" i="1784" l="1"/>
  <c r="AC9" i="1784" s="1"/>
  <c r="K17" i="1784"/>
  <c r="AD17" i="1785"/>
  <c r="O14" i="16" s="1"/>
  <c r="AD20" i="1785"/>
  <c r="O17" i="16" s="1"/>
  <c r="AE8" i="1787"/>
  <c r="AE7" i="1787"/>
  <c r="AE9" i="1787"/>
  <c r="AE19" i="1787"/>
  <c r="M9" i="1784"/>
  <c r="O15" i="1784"/>
  <c r="AE12" i="1787"/>
  <c r="AE11" i="1787"/>
  <c r="AE13" i="1787"/>
  <c r="AE18" i="1787"/>
  <c r="P15" i="1784"/>
  <c r="AC15" i="1784" s="1"/>
  <c r="AD19" i="1784"/>
  <c r="N16" i="16" s="1"/>
  <c r="AF63" i="1784"/>
  <c r="AD13" i="1785"/>
  <c r="O10" i="16" s="1"/>
  <c r="AE20" i="1787"/>
  <c r="AE15" i="1787"/>
  <c r="AE14" i="1787"/>
  <c r="AE21" i="1787"/>
  <c r="AD23" i="1786"/>
  <c r="M22" i="1785"/>
  <c r="AD8" i="1785"/>
  <c r="O5" i="16" s="1"/>
  <c r="P22" i="1785"/>
  <c r="AB22" i="1785"/>
  <c r="K22" i="1785"/>
  <c r="AD14" i="1785"/>
  <c r="O11" i="16" s="1"/>
  <c r="AD6" i="1785"/>
  <c r="O3" i="16" s="1"/>
  <c r="AC22" i="1785"/>
  <c r="AD21" i="1784"/>
  <c r="N18" i="16" s="1"/>
  <c r="AD20" i="1784"/>
  <c r="N17" i="16" s="1"/>
  <c r="AD18" i="1784"/>
  <c r="N15" i="16" s="1"/>
  <c r="P14" i="1784"/>
  <c r="AC14" i="1784" s="1"/>
  <c r="AD14" i="1784" s="1"/>
  <c r="N11" i="16" s="1"/>
  <c r="M14" i="1784"/>
  <c r="AB14" i="1784"/>
  <c r="Q22" i="1784"/>
  <c r="AB10" i="1784"/>
  <c r="AD10" i="1784" s="1"/>
  <c r="N7" i="16" s="1"/>
  <c r="O9" i="1784"/>
  <c r="AD9" i="1784" s="1"/>
  <c r="N6" i="16" s="1"/>
  <c r="K8" i="1784"/>
  <c r="AB8" i="1784"/>
  <c r="AD11" i="1784"/>
  <c r="N8" i="16" s="1"/>
  <c r="AD17" i="1784"/>
  <c r="N14" i="16" s="1"/>
  <c r="AD7" i="1784"/>
  <c r="N4" i="16" s="1"/>
  <c r="AD16" i="1784"/>
  <c r="N13" i="16" s="1"/>
  <c r="AC6" i="1784"/>
  <c r="AD15" i="1784"/>
  <c r="N12" i="16" s="1"/>
  <c r="P8" i="1784"/>
  <c r="AC8" i="1784" s="1"/>
  <c r="M10" i="1784"/>
  <c r="O13" i="1784"/>
  <c r="M15" i="1784"/>
  <c r="L22" i="1784"/>
  <c r="O22" i="1784" s="1"/>
  <c r="P13" i="1784"/>
  <c r="AC13" i="1784" s="1"/>
  <c r="AD13" i="1784" s="1"/>
  <c r="N10" i="16" s="1"/>
  <c r="M13" i="1784"/>
  <c r="L15" i="1783"/>
  <c r="K15" i="1783"/>
  <c r="L13" i="1783"/>
  <c r="K13" i="1783" s="1"/>
  <c r="L10" i="1783"/>
  <c r="O10" i="1783" s="1"/>
  <c r="L9" i="1783"/>
  <c r="K9" i="1783" s="1"/>
  <c r="L8" i="1783"/>
  <c r="K8" i="1783" s="1"/>
  <c r="K7" i="1783"/>
  <c r="L6" i="1783"/>
  <c r="O6" i="1783" s="1"/>
  <c r="K6" i="1783"/>
  <c r="K21" i="1783"/>
  <c r="K19" i="1783"/>
  <c r="K18" i="1783"/>
  <c r="A77" i="1783"/>
  <c r="A78" i="1783" s="1"/>
  <c r="A79" i="1783" s="1"/>
  <c r="A80" i="1783" s="1"/>
  <c r="A81" i="1783" s="1"/>
  <c r="A82" i="1783" s="1"/>
  <c r="AF61" i="1783"/>
  <c r="AF60" i="1783"/>
  <c r="AA22" i="1783"/>
  <c r="Z22" i="1783"/>
  <c r="Y22" i="1783"/>
  <c r="X22" i="1783"/>
  <c r="W22" i="1783"/>
  <c r="V22" i="1783"/>
  <c r="U22" i="1783"/>
  <c r="T22" i="1783"/>
  <c r="S22" i="1783"/>
  <c r="R22" i="1783"/>
  <c r="N22" i="1783"/>
  <c r="J22" i="1783"/>
  <c r="I22" i="1783"/>
  <c r="AF21" i="1783"/>
  <c r="AB21" i="1783"/>
  <c r="Q21" i="1783"/>
  <c r="O21" i="1783"/>
  <c r="M21" i="1783"/>
  <c r="P21" i="1783"/>
  <c r="AC21" i="1783" s="1"/>
  <c r="AD21" i="1783" s="1"/>
  <c r="L18" i="16" s="1"/>
  <c r="AF20" i="1783"/>
  <c r="AB20" i="1783"/>
  <c r="Q20" i="1783"/>
  <c r="P20" i="1783"/>
  <c r="AC20" i="1783" s="1"/>
  <c r="O20" i="1783"/>
  <c r="M20" i="1783"/>
  <c r="K20" i="1783"/>
  <c r="AF19" i="1783"/>
  <c r="AB19" i="1783"/>
  <c r="Q19" i="1783"/>
  <c r="P19" i="1783"/>
  <c r="AC19" i="1783" s="1"/>
  <c r="AD19" i="1783" s="1"/>
  <c r="L16" i="16" s="1"/>
  <c r="O19" i="1783"/>
  <c r="M19" i="1783"/>
  <c r="AF18" i="1783"/>
  <c r="AB18" i="1783"/>
  <c r="Q18" i="1783"/>
  <c r="P18" i="1783" s="1"/>
  <c r="AC18" i="1783" s="1"/>
  <c r="O18" i="1783"/>
  <c r="M18" i="1783"/>
  <c r="AF17" i="1783"/>
  <c r="AB17" i="1783"/>
  <c r="Q17" i="1783"/>
  <c r="P17" i="1783"/>
  <c r="AC17" i="1783" s="1"/>
  <c r="O17" i="1783"/>
  <c r="M17" i="1783"/>
  <c r="K17" i="1783"/>
  <c r="AF16" i="1783"/>
  <c r="AB16" i="1783"/>
  <c r="Q16" i="1783"/>
  <c r="P16" i="1783"/>
  <c r="AC16" i="1783" s="1"/>
  <c r="O16" i="1783"/>
  <c r="M16" i="1783"/>
  <c r="K16" i="1783"/>
  <c r="AF15" i="1783"/>
  <c r="AB15" i="1783"/>
  <c r="Q15" i="1783"/>
  <c r="O15" i="1783"/>
  <c r="M15" i="1783"/>
  <c r="AF14" i="1783"/>
  <c r="AB14" i="1783"/>
  <c r="Q14" i="1783"/>
  <c r="P14" i="1783"/>
  <c r="AC14" i="1783" s="1"/>
  <c r="O14" i="1783"/>
  <c r="M14" i="1783"/>
  <c r="K14" i="1783"/>
  <c r="AF13" i="1783"/>
  <c r="Q13" i="1783"/>
  <c r="AF12" i="1783"/>
  <c r="AB12" i="1783"/>
  <c r="Q12" i="1783"/>
  <c r="P12" i="1783"/>
  <c r="AC12" i="1783" s="1"/>
  <c r="O12" i="1783"/>
  <c r="M12" i="1783"/>
  <c r="K12" i="1783"/>
  <c r="AF11" i="1783"/>
  <c r="AB11" i="1783"/>
  <c r="Q11" i="1783"/>
  <c r="P11" i="1783"/>
  <c r="AC11" i="1783" s="1"/>
  <c r="O11" i="1783"/>
  <c r="M11" i="1783"/>
  <c r="K11" i="1783"/>
  <c r="AF10" i="1783"/>
  <c r="Q10" i="1783"/>
  <c r="AF9" i="1783"/>
  <c r="Q9" i="1783"/>
  <c r="P9" i="1783"/>
  <c r="AC9" i="1783" s="1"/>
  <c r="O9" i="1783"/>
  <c r="AF8" i="1783"/>
  <c r="Q8" i="1783"/>
  <c r="P8" i="1783" s="1"/>
  <c r="AF7" i="1783"/>
  <c r="AB7" i="1783"/>
  <c r="Q7" i="1783"/>
  <c r="P7" i="1783" s="1"/>
  <c r="AC7" i="1783" s="1"/>
  <c r="O7" i="1783"/>
  <c r="M7" i="1783"/>
  <c r="AF6" i="1783"/>
  <c r="AB6" i="1783"/>
  <c r="Q6" i="1783"/>
  <c r="P6" i="1783" s="1"/>
  <c r="AC6" i="1783" s="1"/>
  <c r="M6" i="1783"/>
  <c r="AD11" i="1783" l="1"/>
  <c r="L8" i="16" s="1"/>
  <c r="AD14" i="1783"/>
  <c r="L11" i="16" s="1"/>
  <c r="AD16" i="1783"/>
  <c r="L13" i="16" s="1"/>
  <c r="AB8" i="1783"/>
  <c r="AD18" i="1783"/>
  <c r="L15" i="16" s="1"/>
  <c r="AD20" i="1783"/>
  <c r="L17" i="16" s="1"/>
  <c r="AF63" i="1783"/>
  <c r="M8" i="1783"/>
  <c r="AE14" i="1786"/>
  <c r="P19" i="16"/>
  <c r="P10" i="1783"/>
  <c r="AC10" i="1783" s="1"/>
  <c r="AD17" i="1783"/>
  <c r="L14" i="16" s="1"/>
  <c r="K22" i="1784"/>
  <c r="AE6" i="1786"/>
  <c r="AE10" i="1786"/>
  <c r="AE9" i="1786"/>
  <c r="AE8" i="1786"/>
  <c r="AE7" i="1786"/>
  <c r="AE19" i="1786"/>
  <c r="AE21" i="1786"/>
  <c r="AE16" i="1786"/>
  <c r="AE20" i="1786"/>
  <c r="AE15" i="1786"/>
  <c r="AE18" i="1786"/>
  <c r="AE17" i="1786"/>
  <c r="AE13" i="1786"/>
  <c r="AE12" i="1786"/>
  <c r="AE11" i="1786"/>
  <c r="AE22" i="1786"/>
  <c r="AD22" i="1785"/>
  <c r="M22" i="1784"/>
  <c r="AB22" i="1784"/>
  <c r="AD8" i="1784"/>
  <c r="N5" i="16" s="1"/>
  <c r="AD6" i="1784"/>
  <c r="N3" i="16" s="1"/>
  <c r="AC22" i="1784"/>
  <c r="P22" i="1784"/>
  <c r="P15" i="1783"/>
  <c r="AC15" i="1783" s="1"/>
  <c r="AD15" i="1783" s="1"/>
  <c r="L12" i="16" s="1"/>
  <c r="P13" i="1783"/>
  <c r="AC13" i="1783" s="1"/>
  <c r="K10" i="1783"/>
  <c r="M9" i="1783"/>
  <c r="AB9" i="1783"/>
  <c r="AD9" i="1783" s="1"/>
  <c r="L6" i="16" s="1"/>
  <c r="O8" i="1783"/>
  <c r="Q22" i="1783"/>
  <c r="AD7" i="1783"/>
  <c r="L4" i="16" s="1"/>
  <c r="AD12" i="1783"/>
  <c r="L9" i="16" s="1"/>
  <c r="AC8" i="1783"/>
  <c r="AB13" i="1783"/>
  <c r="K22" i="1783"/>
  <c r="M10" i="1783"/>
  <c r="AB10" i="1783"/>
  <c r="O13" i="1783"/>
  <c r="L22" i="1783"/>
  <c r="O22" i="1783" s="1"/>
  <c r="AD6" i="1783"/>
  <c r="L3" i="16" s="1"/>
  <c r="M13" i="1783"/>
  <c r="L21" i="1782"/>
  <c r="L19" i="1782"/>
  <c r="K19" i="1782" s="1"/>
  <c r="L18" i="1782"/>
  <c r="L13" i="1782"/>
  <c r="L10" i="1782"/>
  <c r="L9" i="1782"/>
  <c r="L8" i="1782"/>
  <c r="AD8" i="1783" l="1"/>
  <c r="L5" i="16" s="1"/>
  <c r="AE21" i="1785"/>
  <c r="O19" i="16"/>
  <c r="AE17" i="1785"/>
  <c r="AE11" i="1785"/>
  <c r="AE19" i="1785"/>
  <c r="AE7" i="1785"/>
  <c r="AE14" i="1785"/>
  <c r="AE9" i="1785"/>
  <c r="AE10" i="1785"/>
  <c r="AE15" i="1785"/>
  <c r="AE13" i="1785"/>
  <c r="AE12" i="1785"/>
  <c r="AE20" i="1785"/>
  <c r="AE18" i="1785"/>
  <c r="AE16" i="1785"/>
  <c r="AE8" i="1785"/>
  <c r="AE6" i="1785"/>
  <c r="AD22" i="1784"/>
  <c r="AD13" i="1783"/>
  <c r="L10" i="16" s="1"/>
  <c r="P22" i="1783"/>
  <c r="AB22" i="1783"/>
  <c r="AC22" i="1783"/>
  <c r="M22" i="1783"/>
  <c r="AD10" i="1783"/>
  <c r="K21" i="1782"/>
  <c r="K18" i="1782"/>
  <c r="K13" i="1782"/>
  <c r="K11" i="1782"/>
  <c r="K10" i="1782"/>
  <c r="K9" i="1782"/>
  <c r="K8" i="1782"/>
  <c r="K7" i="1782"/>
  <c r="K6" i="1782"/>
  <c r="A77" i="1782"/>
  <c r="A78" i="1782" s="1"/>
  <c r="A79" i="1782" s="1"/>
  <c r="A80" i="1782" s="1"/>
  <c r="A81" i="1782" s="1"/>
  <c r="A82" i="1782" s="1"/>
  <c r="AF63" i="1782"/>
  <c r="AF61" i="1782"/>
  <c r="AF60" i="1782"/>
  <c r="AA22" i="1782"/>
  <c r="Z22" i="1782"/>
  <c r="Y22" i="1782"/>
  <c r="X22" i="1782"/>
  <c r="W22" i="1782"/>
  <c r="V22" i="1782"/>
  <c r="U22" i="1782"/>
  <c r="T22" i="1782"/>
  <c r="S22" i="1782"/>
  <c r="R22" i="1782"/>
  <c r="N22" i="1782"/>
  <c r="J22" i="1782"/>
  <c r="I22" i="1782"/>
  <c r="AF21" i="1782"/>
  <c r="Q21" i="1782"/>
  <c r="P21" i="1782" s="1"/>
  <c r="AC21" i="1782" s="1"/>
  <c r="O21" i="1782"/>
  <c r="AB21" i="1782"/>
  <c r="AF20" i="1782"/>
  <c r="AB20" i="1782"/>
  <c r="Q20" i="1782"/>
  <c r="P20" i="1782"/>
  <c r="AC20" i="1782" s="1"/>
  <c r="O20" i="1782"/>
  <c r="M20" i="1782"/>
  <c r="K20" i="1782"/>
  <c r="AF19" i="1782"/>
  <c r="Q19" i="1782"/>
  <c r="AB19" i="1782"/>
  <c r="AF18" i="1782"/>
  <c r="Q18" i="1782"/>
  <c r="P18" i="1782" s="1"/>
  <c r="AC18" i="1782" s="1"/>
  <c r="O18" i="1782"/>
  <c r="AB18" i="1782"/>
  <c r="AF17" i="1782"/>
  <c r="AB17" i="1782"/>
  <c r="Q17" i="1782"/>
  <c r="P17" i="1782"/>
  <c r="AC17" i="1782" s="1"/>
  <c r="O17" i="1782"/>
  <c r="M17" i="1782"/>
  <c r="K17" i="1782"/>
  <c r="AF16" i="1782"/>
  <c r="AB16" i="1782"/>
  <c r="Q16" i="1782"/>
  <c r="P16" i="1782"/>
  <c r="AC16" i="1782" s="1"/>
  <c r="O16" i="1782"/>
  <c r="M16" i="1782"/>
  <c r="K16" i="1782"/>
  <c r="AF15" i="1782"/>
  <c r="AB15" i="1782"/>
  <c r="Q15" i="1782"/>
  <c r="P15" i="1782"/>
  <c r="AC15" i="1782" s="1"/>
  <c r="O15" i="1782"/>
  <c r="M15" i="1782"/>
  <c r="K15" i="1782"/>
  <c r="AF14" i="1782"/>
  <c r="AB14" i="1782"/>
  <c r="Q14" i="1782"/>
  <c r="P14" i="1782"/>
  <c r="AC14" i="1782" s="1"/>
  <c r="O14" i="1782"/>
  <c r="M14" i="1782"/>
  <c r="K14" i="1782"/>
  <c r="AF13" i="1782"/>
  <c r="AB13" i="1782"/>
  <c r="Q13" i="1782"/>
  <c r="P13" i="1782" s="1"/>
  <c r="AC13" i="1782" s="1"/>
  <c r="O13" i="1782"/>
  <c r="M13" i="1782"/>
  <c r="AF12" i="1782"/>
  <c r="AB12" i="1782"/>
  <c r="Q12" i="1782"/>
  <c r="P12" i="1782"/>
  <c r="AC12" i="1782" s="1"/>
  <c r="O12" i="1782"/>
  <c r="M12" i="1782"/>
  <c r="K12" i="1782"/>
  <c r="AF11" i="1782"/>
  <c r="Q11" i="1782"/>
  <c r="P11" i="1782"/>
  <c r="AC11" i="1782" s="1"/>
  <c r="O11" i="1782"/>
  <c r="AB11" i="1782"/>
  <c r="AF10" i="1782"/>
  <c r="AB10" i="1782"/>
  <c r="Q10" i="1782"/>
  <c r="P10" i="1782" s="1"/>
  <c r="AC10" i="1782" s="1"/>
  <c r="O10" i="1782"/>
  <c r="M10" i="1782"/>
  <c r="AF9" i="1782"/>
  <c r="AB9" i="1782"/>
  <c r="Q9" i="1782"/>
  <c r="M9" i="1782"/>
  <c r="O9" i="1782"/>
  <c r="AF8" i="1782"/>
  <c r="Q8" i="1782"/>
  <c r="AB8" i="1782"/>
  <c r="AF7" i="1782"/>
  <c r="Q7" i="1782"/>
  <c r="P7" i="1782"/>
  <c r="AC7" i="1782" s="1"/>
  <c r="O7" i="1782"/>
  <c r="AB7" i="1782"/>
  <c r="AF6" i="1782"/>
  <c r="AB6" i="1782"/>
  <c r="Q6" i="1782"/>
  <c r="P6" i="1782"/>
  <c r="AC6" i="1782" s="1"/>
  <c r="O6" i="1782"/>
  <c r="M6" i="1782"/>
  <c r="L22" i="1782"/>
  <c r="O22" i="1782" s="1"/>
  <c r="L21" i="1781"/>
  <c r="O21" i="1781" s="1"/>
  <c r="L19" i="1781"/>
  <c r="K19" i="1781" s="1"/>
  <c r="L18" i="1781"/>
  <c r="L13" i="1781"/>
  <c r="K13" i="1781"/>
  <c r="K12" i="1781"/>
  <c r="L11" i="1781"/>
  <c r="K11" i="1781" s="1"/>
  <c r="L10" i="1781"/>
  <c r="L9" i="1781"/>
  <c r="K9" i="1781" s="1"/>
  <c r="L8" i="1781"/>
  <c r="M8" i="1781" s="1"/>
  <c r="L7" i="1781"/>
  <c r="K7" i="1781"/>
  <c r="L6" i="1781"/>
  <c r="K6" i="1781" s="1"/>
  <c r="K20" i="1781"/>
  <c r="K18" i="1781"/>
  <c r="K14" i="1781"/>
  <c r="K10" i="1781"/>
  <c r="A77" i="1781"/>
  <c r="A78" i="1781" s="1"/>
  <c r="A79" i="1781" s="1"/>
  <c r="A80" i="1781" s="1"/>
  <c r="A81" i="1781" s="1"/>
  <c r="A82" i="1781" s="1"/>
  <c r="AF61" i="1781"/>
  <c r="AF60" i="1781"/>
  <c r="AA22" i="1781"/>
  <c r="Z22" i="1781"/>
  <c r="Y22" i="1781"/>
  <c r="X22" i="1781"/>
  <c r="W22" i="1781"/>
  <c r="V22" i="1781"/>
  <c r="U22" i="1781"/>
  <c r="T22" i="1781"/>
  <c r="S22" i="1781"/>
  <c r="R22" i="1781"/>
  <c r="N22" i="1781"/>
  <c r="J22" i="1781"/>
  <c r="I22" i="1781"/>
  <c r="AF21" i="1781"/>
  <c r="Q21" i="1781"/>
  <c r="AF20" i="1781"/>
  <c r="Q20" i="1781"/>
  <c r="P20" i="1781"/>
  <c r="AC20" i="1781" s="1"/>
  <c r="AF19" i="1781"/>
  <c r="AB19" i="1781"/>
  <c r="Q19" i="1781"/>
  <c r="M19" i="1781"/>
  <c r="AF18" i="1781"/>
  <c r="AB18" i="1781"/>
  <c r="Q18" i="1781"/>
  <c r="P18" i="1781" s="1"/>
  <c r="AC18" i="1781" s="1"/>
  <c r="M18" i="1781"/>
  <c r="AF17" i="1781"/>
  <c r="AB17" i="1781"/>
  <c r="Q17" i="1781"/>
  <c r="P17" i="1781"/>
  <c r="AC17" i="1781" s="1"/>
  <c r="O17" i="1781"/>
  <c r="M17" i="1781"/>
  <c r="K17" i="1781"/>
  <c r="AF16" i="1781"/>
  <c r="AB16" i="1781"/>
  <c r="Q16" i="1781"/>
  <c r="P16" i="1781"/>
  <c r="AC16" i="1781" s="1"/>
  <c r="O16" i="1781"/>
  <c r="M16" i="1781"/>
  <c r="K16" i="1781"/>
  <c r="AF15" i="1781"/>
  <c r="AB15" i="1781"/>
  <c r="Q15" i="1781"/>
  <c r="P15" i="1781"/>
  <c r="AC15" i="1781" s="1"/>
  <c r="O15" i="1781"/>
  <c r="M15" i="1781"/>
  <c r="K15" i="1781"/>
  <c r="AF14" i="1781"/>
  <c r="AB14" i="1781"/>
  <c r="Q14" i="1781"/>
  <c r="P14" i="1781" s="1"/>
  <c r="AC14" i="1781" s="1"/>
  <c r="O14" i="1781"/>
  <c r="M14" i="1781"/>
  <c r="AF13" i="1781"/>
  <c r="Q13" i="1781"/>
  <c r="P13" i="1781" s="1"/>
  <c r="AC13" i="1781" s="1"/>
  <c r="AF12" i="1781"/>
  <c r="AB12" i="1781"/>
  <c r="Q12" i="1781"/>
  <c r="P12" i="1781"/>
  <c r="AC12" i="1781" s="1"/>
  <c r="O12" i="1781"/>
  <c r="M12" i="1781"/>
  <c r="AF11" i="1781"/>
  <c r="AB11" i="1781"/>
  <c r="Q11" i="1781"/>
  <c r="AF10" i="1781"/>
  <c r="AB10" i="1781"/>
  <c r="Q10" i="1781"/>
  <c r="AF9" i="1781"/>
  <c r="Q9" i="1781"/>
  <c r="AF8" i="1781"/>
  <c r="AB8" i="1781"/>
  <c r="Q8" i="1781"/>
  <c r="AF7" i="1781"/>
  <c r="Q7" i="1781"/>
  <c r="M7" i="1781"/>
  <c r="AF6" i="1781"/>
  <c r="Q6" i="1781"/>
  <c r="P10" i="1781" l="1"/>
  <c r="AC10" i="1781" s="1"/>
  <c r="AD11" i="1782"/>
  <c r="K8" i="16" s="1"/>
  <c r="AD16" i="1782"/>
  <c r="K13" i="16" s="1"/>
  <c r="AE21" i="1784"/>
  <c r="N19" i="16"/>
  <c r="AD15" i="1782"/>
  <c r="K12" i="16" s="1"/>
  <c r="AD12" i="1782"/>
  <c r="K9" i="16" s="1"/>
  <c r="AD22" i="1783"/>
  <c r="L19" i="16" s="1"/>
  <c r="L7" i="16"/>
  <c r="AE7" i="1784"/>
  <c r="AE6" i="1784"/>
  <c r="AE20" i="1784"/>
  <c r="AE13" i="1784"/>
  <c r="AE8" i="1784"/>
  <c r="AE15" i="1784"/>
  <c r="AE11" i="1784"/>
  <c r="AE17" i="1784"/>
  <c r="AE9" i="1784"/>
  <c r="AE16" i="1784"/>
  <c r="AE10" i="1784"/>
  <c r="AE19" i="1784"/>
  <c r="AE14" i="1784"/>
  <c r="AE18" i="1784"/>
  <c r="AE12" i="1784"/>
  <c r="AD13" i="1782"/>
  <c r="K10" i="16" s="1"/>
  <c r="Q22" i="1782"/>
  <c r="AD10" i="1782"/>
  <c r="K7" i="16" s="1"/>
  <c r="AD14" i="1782"/>
  <c r="K11" i="16" s="1"/>
  <c r="AD6" i="1782"/>
  <c r="K3" i="16" s="1"/>
  <c r="AD17" i="1782"/>
  <c r="K14" i="16" s="1"/>
  <c r="AD20" i="1782"/>
  <c r="K17" i="16" s="1"/>
  <c r="AB22" i="1782"/>
  <c r="K22" i="1782"/>
  <c r="AD7" i="1782"/>
  <c r="K4" i="16" s="1"/>
  <c r="AD18" i="1782"/>
  <c r="K15" i="16" s="1"/>
  <c r="AD21" i="1782"/>
  <c r="K18" i="16" s="1"/>
  <c r="M7" i="1782"/>
  <c r="O8" i="1782"/>
  <c r="P9" i="1782"/>
  <c r="AC9" i="1782" s="1"/>
  <c r="AD9" i="1782" s="1"/>
  <c r="K6" i="16" s="1"/>
  <c r="M11" i="1782"/>
  <c r="M18" i="1782"/>
  <c r="O19" i="1782"/>
  <c r="M21" i="1782"/>
  <c r="P8" i="1782"/>
  <c r="AC8" i="1782" s="1"/>
  <c r="P19" i="1782"/>
  <c r="AC19" i="1782" s="1"/>
  <c r="M8" i="1782"/>
  <c r="M19" i="1782"/>
  <c r="M21" i="1781"/>
  <c r="AB21" i="1781"/>
  <c r="P21" i="1781"/>
  <c r="AC21" i="1781" s="1"/>
  <c r="K21" i="1781"/>
  <c r="O19" i="1781"/>
  <c r="P19" i="1781"/>
  <c r="AC19" i="1781" s="1"/>
  <c r="M11" i="1781"/>
  <c r="P11" i="1781"/>
  <c r="AC11" i="1781" s="1"/>
  <c r="O11" i="1781"/>
  <c r="M10" i="1781"/>
  <c r="AF63" i="1781"/>
  <c r="AD17" i="1781"/>
  <c r="J14" i="16" s="1"/>
  <c r="AD16" i="1781"/>
  <c r="J13" i="16" s="1"/>
  <c r="P9" i="1781"/>
  <c r="AC9" i="1781" s="1"/>
  <c r="P8" i="1781"/>
  <c r="K8" i="1781"/>
  <c r="K22" i="1781" s="1"/>
  <c r="Q22" i="1781"/>
  <c r="P7" i="1781"/>
  <c r="AC7" i="1781" s="1"/>
  <c r="O7" i="1781"/>
  <c r="AB7" i="1781"/>
  <c r="AB6" i="1781"/>
  <c r="M6" i="1781"/>
  <c r="O6" i="1781"/>
  <c r="P6" i="1781"/>
  <c r="AC6" i="1781" s="1"/>
  <c r="AD15" i="1781"/>
  <c r="J12" i="16" s="1"/>
  <c r="AD12" i="1781"/>
  <c r="J9" i="16" s="1"/>
  <c r="AD14" i="1781"/>
  <c r="J11" i="16" s="1"/>
  <c r="AC8" i="1781"/>
  <c r="L22" i="1781"/>
  <c r="O22" i="1781" s="1"/>
  <c r="O8" i="1781"/>
  <c r="M9" i="1781"/>
  <c r="AB9" i="1781"/>
  <c r="O10" i="1781"/>
  <c r="AD10" i="1781" s="1"/>
  <c r="J7" i="16" s="1"/>
  <c r="M13" i="1781"/>
  <c r="AB13" i="1781"/>
  <c r="O18" i="1781"/>
  <c r="AD18" i="1781" s="1"/>
  <c r="J15" i="16" s="1"/>
  <c r="M20" i="1781"/>
  <c r="AB20" i="1781"/>
  <c r="O9" i="1781"/>
  <c r="O13" i="1781"/>
  <c r="O20" i="1781"/>
  <c r="L22" i="1780"/>
  <c r="L21" i="1780"/>
  <c r="K21" i="1780" s="1"/>
  <c r="L19" i="1780"/>
  <c r="K19" i="1780" s="1"/>
  <c r="L14" i="1780"/>
  <c r="K14" i="1780" s="1"/>
  <c r="L13" i="1780"/>
  <c r="K13" i="1780" s="1"/>
  <c r="L12" i="1780"/>
  <c r="K12" i="1780" s="1"/>
  <c r="L11" i="1780"/>
  <c r="K11" i="1780" s="1"/>
  <c r="L10" i="1780"/>
  <c r="K10" i="1780"/>
  <c r="AF10" i="1780"/>
  <c r="Q10" i="1780"/>
  <c r="L8" i="1780"/>
  <c r="K8" i="1780" s="1"/>
  <c r="K22" i="1780"/>
  <c r="K20" i="1780"/>
  <c r="K9" i="1780"/>
  <c r="A78" i="1780"/>
  <c r="A79" i="1780" s="1"/>
  <c r="A80" i="1780" s="1"/>
  <c r="A81" i="1780" s="1"/>
  <c r="A82" i="1780" s="1"/>
  <c r="A83" i="1780" s="1"/>
  <c r="AF62" i="1780"/>
  <c r="AF61" i="1780"/>
  <c r="AA23" i="1780"/>
  <c r="Z23" i="1780"/>
  <c r="Y23" i="1780"/>
  <c r="X23" i="1780"/>
  <c r="W23" i="1780"/>
  <c r="V23" i="1780"/>
  <c r="U23" i="1780"/>
  <c r="T23" i="1780"/>
  <c r="S23" i="1780"/>
  <c r="R23" i="1780"/>
  <c r="N23" i="1780"/>
  <c r="J23" i="1780"/>
  <c r="I23" i="1780"/>
  <c r="AF22" i="1780"/>
  <c r="AB22" i="1780"/>
  <c r="Q22" i="1780"/>
  <c r="P22" i="1780" s="1"/>
  <c r="AC22" i="1780" s="1"/>
  <c r="O22" i="1780"/>
  <c r="M22" i="1780"/>
  <c r="AF21" i="1780"/>
  <c r="Q21" i="1780"/>
  <c r="AF20" i="1780"/>
  <c r="AB20" i="1780"/>
  <c r="Q20" i="1780"/>
  <c r="P20" i="1780"/>
  <c r="AC20" i="1780" s="1"/>
  <c r="O20" i="1780"/>
  <c r="M20" i="1780"/>
  <c r="AF19" i="1780"/>
  <c r="AB19" i="1780"/>
  <c r="Q19" i="1780"/>
  <c r="P19" i="1780" s="1"/>
  <c r="AC19" i="1780" s="1"/>
  <c r="O19" i="1780"/>
  <c r="M19" i="1780"/>
  <c r="AF18" i="1780"/>
  <c r="AB18" i="1780"/>
  <c r="Q18" i="1780"/>
  <c r="P18" i="1780"/>
  <c r="AC18" i="1780" s="1"/>
  <c r="O18" i="1780"/>
  <c r="M18" i="1780"/>
  <c r="K18" i="1780"/>
  <c r="AF17" i="1780"/>
  <c r="AB17" i="1780"/>
  <c r="Q17" i="1780"/>
  <c r="P17" i="1780"/>
  <c r="AC17" i="1780" s="1"/>
  <c r="O17" i="1780"/>
  <c r="M17" i="1780"/>
  <c r="K17" i="1780"/>
  <c r="AF16" i="1780"/>
  <c r="AB16" i="1780"/>
  <c r="Q16" i="1780"/>
  <c r="P16" i="1780"/>
  <c r="AC16" i="1780" s="1"/>
  <c r="O16" i="1780"/>
  <c r="M16" i="1780"/>
  <c r="K16" i="1780"/>
  <c r="AF15" i="1780"/>
  <c r="AB15" i="1780"/>
  <c r="Q15" i="1780"/>
  <c r="P15" i="1780" s="1"/>
  <c r="AC15" i="1780" s="1"/>
  <c r="O15" i="1780"/>
  <c r="M15" i="1780"/>
  <c r="K15" i="1780"/>
  <c r="AF14" i="1780"/>
  <c r="Q14" i="1780"/>
  <c r="P14" i="1780" s="1"/>
  <c r="AC14" i="1780" s="1"/>
  <c r="O14" i="1780"/>
  <c r="AF13" i="1780"/>
  <c r="Q13" i="1780"/>
  <c r="P13" i="1780" s="1"/>
  <c r="AC13" i="1780" s="1"/>
  <c r="AB13" i="1780"/>
  <c r="AF12" i="1780"/>
  <c r="Q12" i="1780"/>
  <c r="P12" i="1780" s="1"/>
  <c r="AC12" i="1780" s="1"/>
  <c r="AF11" i="1780"/>
  <c r="Q11" i="1780"/>
  <c r="AB11" i="1780"/>
  <c r="AF9" i="1780"/>
  <c r="Q9" i="1780"/>
  <c r="P9" i="1780" s="1"/>
  <c r="AC9" i="1780" s="1"/>
  <c r="O9" i="1780"/>
  <c r="AF8" i="1780"/>
  <c r="Q8" i="1780"/>
  <c r="O8" i="1780"/>
  <c r="AB8" i="1780"/>
  <c r="AF7" i="1780"/>
  <c r="AB7" i="1780"/>
  <c r="Q7" i="1780"/>
  <c r="P7" i="1780"/>
  <c r="AC7" i="1780" s="1"/>
  <c r="O7" i="1780"/>
  <c r="M7" i="1780"/>
  <c r="K7" i="1780"/>
  <c r="AF6" i="1780"/>
  <c r="AB6" i="1780"/>
  <c r="Q6" i="1780"/>
  <c r="P6" i="1780"/>
  <c r="AC6" i="1780" s="1"/>
  <c r="O6" i="1780"/>
  <c r="M6" i="1780"/>
  <c r="K6" i="1780"/>
  <c r="AE7" i="1783" l="1"/>
  <c r="AE6" i="1783"/>
  <c r="AE19" i="1783"/>
  <c r="AE8" i="1783"/>
  <c r="AB12" i="1780"/>
  <c r="AD11" i="1781"/>
  <c r="J8" i="16" s="1"/>
  <c r="AE13" i="1783"/>
  <c r="AE9" i="1783"/>
  <c r="AE17" i="1783"/>
  <c r="AE11" i="1783"/>
  <c r="M12" i="1780"/>
  <c r="AE15" i="1783"/>
  <c r="AE14" i="1783"/>
  <c r="AE20" i="1783"/>
  <c r="AE18" i="1783"/>
  <c r="O12" i="1780"/>
  <c r="AD19" i="1781"/>
  <c r="J16" i="16" s="1"/>
  <c r="AE12" i="1783"/>
  <c r="AE16" i="1783"/>
  <c r="AE10" i="1783"/>
  <c r="AE21" i="1783"/>
  <c r="M22" i="1782"/>
  <c r="AD19" i="1782"/>
  <c r="K16" i="16" s="1"/>
  <c r="AD8" i="1782"/>
  <c r="AC22" i="1782"/>
  <c r="P22" i="1782"/>
  <c r="AD21" i="1781"/>
  <c r="J18" i="16" s="1"/>
  <c r="AD13" i="1781"/>
  <c r="J10" i="16" s="1"/>
  <c r="AD6" i="1781"/>
  <c r="J3" i="16" s="1"/>
  <c r="AD7" i="1781"/>
  <c r="J4" i="16" s="1"/>
  <c r="M22" i="1781"/>
  <c r="P22" i="1781"/>
  <c r="AC22" i="1781"/>
  <c r="AD20" i="1781"/>
  <c r="J17" i="16" s="1"/>
  <c r="AB22" i="1781"/>
  <c r="AD8" i="1781"/>
  <c r="J5" i="16" s="1"/>
  <c r="AD9" i="1781"/>
  <c r="J6" i="16" s="1"/>
  <c r="P21" i="1780"/>
  <c r="AC21" i="1780" s="1"/>
  <c r="AD7" i="1780"/>
  <c r="I4" i="16" s="1"/>
  <c r="O13" i="1780"/>
  <c r="AD13" i="1780" s="1"/>
  <c r="I9" i="16" s="1"/>
  <c r="AF64" i="1780"/>
  <c r="P10" i="1780"/>
  <c r="AC10" i="1780" s="1"/>
  <c r="M10" i="1780"/>
  <c r="AB10" i="1780"/>
  <c r="O10" i="1780"/>
  <c r="AD16" i="1780"/>
  <c r="I12" i="16" s="1"/>
  <c r="Q23" i="1780"/>
  <c r="P8" i="1780"/>
  <c r="AC8" i="1780" s="1"/>
  <c r="AD8" i="1780" s="1"/>
  <c r="I5" i="16" s="1"/>
  <c r="AD15" i="1780"/>
  <c r="I11" i="16" s="1"/>
  <c r="AD19" i="1780"/>
  <c r="I15" i="16" s="1"/>
  <c r="AD20" i="1780"/>
  <c r="I16" i="16" s="1"/>
  <c r="AD12" i="1780"/>
  <c r="I8" i="16" s="1"/>
  <c r="AD18" i="1780"/>
  <c r="I14" i="16" s="1"/>
  <c r="AD22" i="1780"/>
  <c r="I18" i="16" s="1"/>
  <c r="AD17" i="1780"/>
  <c r="I13" i="16" s="1"/>
  <c r="AD6" i="1780"/>
  <c r="I3" i="16" s="1"/>
  <c r="M9" i="1780"/>
  <c r="AB9" i="1780"/>
  <c r="O11" i="1780"/>
  <c r="M14" i="1780"/>
  <c r="AB14" i="1780"/>
  <c r="AD14" i="1780" s="1"/>
  <c r="I10" i="16" s="1"/>
  <c r="L23" i="1780"/>
  <c r="O23" i="1780" s="1"/>
  <c r="M8" i="1780"/>
  <c r="K23" i="1780"/>
  <c r="P11" i="1780"/>
  <c r="AC11" i="1780" s="1"/>
  <c r="M13" i="1780"/>
  <c r="M21" i="1780"/>
  <c r="AB21" i="1780"/>
  <c r="O21" i="1780"/>
  <c r="M11" i="1780"/>
  <c r="L22" i="1779"/>
  <c r="L21" i="1779"/>
  <c r="K20" i="1779"/>
  <c r="AD22" i="1782" l="1"/>
  <c r="K19" i="16" s="1"/>
  <c r="K5" i="16"/>
  <c r="AE21" i="1782"/>
  <c r="AE19" i="1782"/>
  <c r="AE12" i="1782"/>
  <c r="AE15" i="1782"/>
  <c r="AE18" i="1782"/>
  <c r="AE16" i="1782"/>
  <c r="AE9" i="1782"/>
  <c r="AE13" i="1782"/>
  <c r="AE11" i="1782"/>
  <c r="AE14" i="1782"/>
  <c r="AE20" i="1782"/>
  <c r="AE10" i="1782"/>
  <c r="AE8" i="1782"/>
  <c r="AE17" i="1782"/>
  <c r="AE6" i="1782"/>
  <c r="AE7" i="1782"/>
  <c r="AD22" i="1781"/>
  <c r="AD10" i="1780"/>
  <c r="AD11" i="1780"/>
  <c r="I7" i="16" s="1"/>
  <c r="AD21" i="1780"/>
  <c r="I17" i="16" s="1"/>
  <c r="M23" i="1780"/>
  <c r="AB23" i="1780"/>
  <c r="AD9" i="1780"/>
  <c r="AC23" i="1780"/>
  <c r="P23" i="1780"/>
  <c r="AF20" i="1779"/>
  <c r="AB20" i="1779"/>
  <c r="Q20" i="1779"/>
  <c r="P20" i="1779" s="1"/>
  <c r="AC20" i="1779" s="1"/>
  <c r="O20" i="1779"/>
  <c r="M20" i="1779"/>
  <c r="L13" i="1779"/>
  <c r="L12" i="1779"/>
  <c r="L11" i="1779"/>
  <c r="K11" i="1779"/>
  <c r="L10" i="1779"/>
  <c r="L9" i="1779"/>
  <c r="L8" i="1779"/>
  <c r="AE21" i="1781" l="1"/>
  <c r="J19" i="16"/>
  <c r="I6" i="16"/>
  <c r="AE12" i="1781"/>
  <c r="AE17" i="1781"/>
  <c r="AE14" i="1781"/>
  <c r="AE8" i="1781"/>
  <c r="AE19" i="1781"/>
  <c r="AE20" i="1781"/>
  <c r="AE16" i="1781"/>
  <c r="AE10" i="1781"/>
  <c r="AE15" i="1781"/>
  <c r="AE11" i="1781"/>
  <c r="AE9" i="1781"/>
  <c r="AE13" i="1781"/>
  <c r="AE6" i="1781"/>
  <c r="AE7" i="1781"/>
  <c r="AE18" i="1781"/>
  <c r="AD23" i="1780"/>
  <c r="AD20" i="1779"/>
  <c r="AE10" i="1780" l="1"/>
  <c r="I19" i="16"/>
  <c r="AE11" i="1780"/>
  <c r="AE15" i="1780"/>
  <c r="AE9" i="1780"/>
  <c r="AE8" i="1780"/>
  <c r="AE6" i="1780"/>
  <c r="AE17" i="1780"/>
  <c r="AE14" i="1780"/>
  <c r="AE13" i="1780"/>
  <c r="AE7" i="1780"/>
  <c r="AE19" i="1780"/>
  <c r="AE16" i="1780"/>
  <c r="AE21" i="1780"/>
  <c r="AE12" i="1780"/>
  <c r="AE20" i="1780"/>
  <c r="AE18" i="1780"/>
  <c r="AE22" i="1780"/>
  <c r="K22" i="1779"/>
  <c r="K21" i="1779"/>
  <c r="K19" i="1779"/>
  <c r="K13" i="1779"/>
  <c r="K12" i="1779"/>
  <c r="K10" i="1779"/>
  <c r="K9" i="1779"/>
  <c r="K8" i="1779"/>
  <c r="K7" i="1779"/>
  <c r="K6" i="1779"/>
  <c r="A78" i="1779"/>
  <c r="A79" i="1779" s="1"/>
  <c r="A80" i="1779" s="1"/>
  <c r="A81" i="1779" s="1"/>
  <c r="A82" i="1779" s="1"/>
  <c r="A83" i="1779" s="1"/>
  <c r="AF62" i="1779"/>
  <c r="AF64" i="1779" s="1"/>
  <c r="AF61" i="1779"/>
  <c r="AA23" i="1779"/>
  <c r="Z23" i="1779"/>
  <c r="Y23" i="1779"/>
  <c r="X23" i="1779"/>
  <c r="W23" i="1779"/>
  <c r="V23" i="1779"/>
  <c r="U23" i="1779"/>
  <c r="T23" i="1779"/>
  <c r="S23" i="1779"/>
  <c r="R23" i="1779"/>
  <c r="N23" i="1779"/>
  <c r="J23" i="1779"/>
  <c r="I23" i="1779"/>
  <c r="AF22" i="1779"/>
  <c r="AB22" i="1779"/>
  <c r="Q22" i="1779"/>
  <c r="P22" i="1779"/>
  <c r="AC22" i="1779" s="1"/>
  <c r="O22" i="1779"/>
  <c r="M22" i="1779"/>
  <c r="AF21" i="1779"/>
  <c r="Q21" i="1779"/>
  <c r="P21" i="1779" s="1"/>
  <c r="AC21" i="1779" s="1"/>
  <c r="AF19" i="1779"/>
  <c r="AB19" i="1779"/>
  <c r="Q19" i="1779"/>
  <c r="P19" i="1779" s="1"/>
  <c r="AC19" i="1779" s="1"/>
  <c r="M19" i="1779"/>
  <c r="O19" i="1779"/>
  <c r="AF18" i="1779"/>
  <c r="AC18" i="1779"/>
  <c r="AB18" i="1779"/>
  <c r="Q18" i="1779"/>
  <c r="P18" i="1779"/>
  <c r="O18" i="1779"/>
  <c r="M18" i="1779"/>
  <c r="K18" i="1779"/>
  <c r="AF17" i="1779"/>
  <c r="AC17" i="1779"/>
  <c r="AB17" i="1779"/>
  <c r="Q17" i="1779"/>
  <c r="P17" i="1779"/>
  <c r="O17" i="1779"/>
  <c r="M17" i="1779"/>
  <c r="K17" i="1779"/>
  <c r="AF16" i="1779"/>
  <c r="AC16" i="1779"/>
  <c r="AB16" i="1779"/>
  <c r="Q16" i="1779"/>
  <c r="P16" i="1779"/>
  <c r="O16" i="1779"/>
  <c r="M16" i="1779"/>
  <c r="K16" i="1779"/>
  <c r="AF15" i="1779"/>
  <c r="AC15" i="1779"/>
  <c r="AB15" i="1779"/>
  <c r="Q15" i="1779"/>
  <c r="P15" i="1779"/>
  <c r="O15" i="1779"/>
  <c r="M15" i="1779"/>
  <c r="K15" i="1779"/>
  <c r="AF14" i="1779"/>
  <c r="AC14" i="1779"/>
  <c r="AB14" i="1779"/>
  <c r="Q14" i="1779"/>
  <c r="P14" i="1779"/>
  <c r="O14" i="1779"/>
  <c r="M14" i="1779"/>
  <c r="K14" i="1779"/>
  <c r="AF13" i="1779"/>
  <c r="Q13" i="1779"/>
  <c r="P13" i="1779" s="1"/>
  <c r="AC13" i="1779" s="1"/>
  <c r="AF12" i="1779"/>
  <c r="AB12" i="1779"/>
  <c r="Q12" i="1779"/>
  <c r="P12" i="1779" s="1"/>
  <c r="AC12" i="1779" s="1"/>
  <c r="M12" i="1779"/>
  <c r="O12" i="1779"/>
  <c r="AF11" i="1779"/>
  <c r="Q11" i="1779"/>
  <c r="O11" i="1779"/>
  <c r="AB11" i="1779"/>
  <c r="AF10" i="1779"/>
  <c r="AB10" i="1779"/>
  <c r="Q10" i="1779"/>
  <c r="P10" i="1779" s="1"/>
  <c r="AC10" i="1779" s="1"/>
  <c r="M10" i="1779"/>
  <c r="O10" i="1779"/>
  <c r="AF9" i="1779"/>
  <c r="Q9" i="1779"/>
  <c r="P9" i="1779" s="1"/>
  <c r="AC9" i="1779" s="1"/>
  <c r="AF8" i="1779"/>
  <c r="AB8" i="1779"/>
  <c r="Q8" i="1779"/>
  <c r="P8" i="1779" s="1"/>
  <c r="AC8" i="1779" s="1"/>
  <c r="M8" i="1779"/>
  <c r="O8" i="1779"/>
  <c r="AF7" i="1779"/>
  <c r="Q7" i="1779"/>
  <c r="O7" i="1779"/>
  <c r="AB7" i="1779"/>
  <c r="AF6" i="1779"/>
  <c r="AB6" i="1779"/>
  <c r="Q6" i="1779"/>
  <c r="P6" i="1779"/>
  <c r="AC6" i="1779" s="1"/>
  <c r="M6" i="1779"/>
  <c r="O6" i="1779"/>
  <c r="AD15" i="1779" l="1"/>
  <c r="H12" i="16" s="1"/>
  <c r="AD10" i="1779"/>
  <c r="H7" i="16" s="1"/>
  <c r="Q23" i="1779"/>
  <c r="AD16" i="1779"/>
  <c r="H13" i="16" s="1"/>
  <c r="AD17" i="1779"/>
  <c r="H14" i="16" s="1"/>
  <c r="AD18" i="1779"/>
  <c r="H15" i="16" s="1"/>
  <c r="AD22" i="1779"/>
  <c r="H18" i="16" s="1"/>
  <c r="AD14" i="1779"/>
  <c r="H11" i="16" s="1"/>
  <c r="AD12" i="1779"/>
  <c r="H9" i="16" s="1"/>
  <c r="AD6" i="1779"/>
  <c r="H3" i="16" s="1"/>
  <c r="AD19" i="1779"/>
  <c r="H16" i="16" s="1"/>
  <c r="AD8" i="1779"/>
  <c r="H5" i="16" s="1"/>
  <c r="L23" i="1779"/>
  <c r="O23" i="1779" s="1"/>
  <c r="K23" i="1779"/>
  <c r="P7" i="1779"/>
  <c r="AC7" i="1779" s="1"/>
  <c r="AD7" i="1779" s="1"/>
  <c r="H4" i="16" s="1"/>
  <c r="M9" i="1779"/>
  <c r="AB9" i="1779"/>
  <c r="P11" i="1779"/>
  <c r="AC11" i="1779" s="1"/>
  <c r="AD11" i="1779" s="1"/>
  <c r="H8" i="16" s="1"/>
  <c r="M13" i="1779"/>
  <c r="AB13" i="1779"/>
  <c r="M21" i="1779"/>
  <c r="AB21" i="1779"/>
  <c r="O21" i="1779"/>
  <c r="O9" i="1779"/>
  <c r="O13" i="1779"/>
  <c r="M7" i="1779"/>
  <c r="M11" i="1779"/>
  <c r="L21" i="1778"/>
  <c r="AB21" i="1778" s="1"/>
  <c r="L20" i="1778"/>
  <c r="M20" i="1778" s="1"/>
  <c r="L19" i="1778"/>
  <c r="K14" i="1778"/>
  <c r="L13" i="1778"/>
  <c r="K13" i="1778" s="1"/>
  <c r="L12" i="1778"/>
  <c r="O12" i="1778" s="1"/>
  <c r="L11" i="1778"/>
  <c r="K11" i="1778" s="1"/>
  <c r="L10" i="1778"/>
  <c r="L9" i="1778"/>
  <c r="K9" i="1778"/>
  <c r="L8" i="1778"/>
  <c r="L7" i="1778"/>
  <c r="L6" i="1778"/>
  <c r="O6" i="1778" s="1"/>
  <c r="K6" i="1778"/>
  <c r="K19" i="1778"/>
  <c r="K18" i="1778"/>
  <c r="K12" i="1778"/>
  <c r="K10" i="1778"/>
  <c r="A77" i="1778"/>
  <c r="A78" i="1778" s="1"/>
  <c r="A79" i="1778" s="1"/>
  <c r="A80" i="1778" s="1"/>
  <c r="A81" i="1778" s="1"/>
  <c r="A82" i="1778" s="1"/>
  <c r="AF61" i="1778"/>
  <c r="AF60" i="1778"/>
  <c r="AF63" i="1778" s="1"/>
  <c r="AA22" i="1778"/>
  <c r="Z22" i="1778"/>
  <c r="Y22" i="1778"/>
  <c r="X22" i="1778"/>
  <c r="W22" i="1778"/>
  <c r="V22" i="1778"/>
  <c r="U22" i="1778"/>
  <c r="T22" i="1778"/>
  <c r="S22" i="1778"/>
  <c r="R22" i="1778"/>
  <c r="N22" i="1778"/>
  <c r="J22" i="1778"/>
  <c r="I22" i="1778"/>
  <c r="AF21" i="1778"/>
  <c r="Q21" i="1778"/>
  <c r="AF20" i="1778"/>
  <c r="Q20" i="1778"/>
  <c r="AF19" i="1778"/>
  <c r="Q19" i="1778"/>
  <c r="AB19" i="1778"/>
  <c r="AF18" i="1778"/>
  <c r="Q18" i="1778"/>
  <c r="P18" i="1778"/>
  <c r="AC18" i="1778" s="1"/>
  <c r="O18" i="1778"/>
  <c r="AB18" i="1778"/>
  <c r="AF17" i="1778"/>
  <c r="AB17" i="1778"/>
  <c r="Q17" i="1778"/>
  <c r="P17" i="1778"/>
  <c r="AC17" i="1778" s="1"/>
  <c r="AD17" i="1778" s="1"/>
  <c r="G14" i="16" s="1"/>
  <c r="O17" i="1778"/>
  <c r="M17" i="1778"/>
  <c r="K17" i="1778"/>
  <c r="AF16" i="1778"/>
  <c r="AB16" i="1778"/>
  <c r="Q16" i="1778"/>
  <c r="P16" i="1778"/>
  <c r="AC16" i="1778" s="1"/>
  <c r="O16" i="1778"/>
  <c r="M16" i="1778"/>
  <c r="K16" i="1778"/>
  <c r="AF15" i="1778"/>
  <c r="AB15" i="1778"/>
  <c r="Q15" i="1778"/>
  <c r="P15" i="1778"/>
  <c r="AC15" i="1778" s="1"/>
  <c r="O15" i="1778"/>
  <c r="M15" i="1778"/>
  <c r="K15" i="1778"/>
  <c r="AF14" i="1778"/>
  <c r="AB14" i="1778"/>
  <c r="Q14" i="1778"/>
  <c r="P14" i="1778"/>
  <c r="AC14" i="1778" s="1"/>
  <c r="O14" i="1778"/>
  <c r="M14" i="1778"/>
  <c r="AF13" i="1778"/>
  <c r="AB13" i="1778"/>
  <c r="Q13" i="1778"/>
  <c r="P13" i="1778" s="1"/>
  <c r="AC13" i="1778" s="1"/>
  <c r="O13" i="1778"/>
  <c r="M13" i="1778"/>
  <c r="AF12" i="1778"/>
  <c r="AB12" i="1778"/>
  <c r="Q12" i="1778"/>
  <c r="M12" i="1778"/>
  <c r="AF11" i="1778"/>
  <c r="Q11" i="1778"/>
  <c r="AF10" i="1778"/>
  <c r="Q10" i="1778"/>
  <c r="P10" i="1778"/>
  <c r="AC10" i="1778" s="1"/>
  <c r="O10" i="1778"/>
  <c r="AB10" i="1778"/>
  <c r="AF9" i="1778"/>
  <c r="AB9" i="1778"/>
  <c r="Q9" i="1778"/>
  <c r="P9" i="1778" s="1"/>
  <c r="AC9" i="1778" s="1"/>
  <c r="O9" i="1778"/>
  <c r="M9" i="1778"/>
  <c r="AF8" i="1778"/>
  <c r="Q8" i="1778"/>
  <c r="M8" i="1778"/>
  <c r="AF7" i="1778"/>
  <c r="Q7" i="1778"/>
  <c r="AB7" i="1778"/>
  <c r="AF6" i="1778"/>
  <c r="Q6" i="1778"/>
  <c r="AD18" i="1778" l="1"/>
  <c r="G15" i="16" s="1"/>
  <c r="AB11" i="1778"/>
  <c r="M23" i="1779"/>
  <c r="AC23" i="1779"/>
  <c r="AD21" i="1779"/>
  <c r="H17" i="16" s="1"/>
  <c r="AD13" i="1779"/>
  <c r="AD9" i="1779"/>
  <c r="H6" i="16" s="1"/>
  <c r="P23" i="1779"/>
  <c r="AB23" i="1779"/>
  <c r="O21" i="1778"/>
  <c r="P21" i="1778"/>
  <c r="AC21" i="1778" s="1"/>
  <c r="AD21" i="1778" s="1"/>
  <c r="G18" i="16" s="1"/>
  <c r="K21" i="1778"/>
  <c r="M21" i="1778"/>
  <c r="AB20" i="1778"/>
  <c r="O20" i="1778"/>
  <c r="K20" i="1778"/>
  <c r="L22" i="1778"/>
  <c r="O22" i="1778" s="1"/>
  <c r="K8" i="1778"/>
  <c r="Q22" i="1778"/>
  <c r="P7" i="1778"/>
  <c r="AC7" i="1778" s="1"/>
  <c r="K7" i="1778"/>
  <c r="O7" i="1778"/>
  <c r="P6" i="1778"/>
  <c r="AC6" i="1778" s="1"/>
  <c r="AD6" i="1778" s="1"/>
  <c r="G3" i="16" s="1"/>
  <c r="M6" i="1778"/>
  <c r="AB6" i="1778"/>
  <c r="AD15" i="1778"/>
  <c r="G12" i="16" s="1"/>
  <c r="AD10" i="1778"/>
  <c r="G7" i="16" s="1"/>
  <c r="AD13" i="1778"/>
  <c r="G10" i="16" s="1"/>
  <c r="AD16" i="1778"/>
  <c r="G13" i="16" s="1"/>
  <c r="AD9" i="1778"/>
  <c r="G6" i="16" s="1"/>
  <c r="AD14" i="1778"/>
  <c r="G11" i="16" s="1"/>
  <c r="AB8" i="1778"/>
  <c r="AB22" i="1778" s="1"/>
  <c r="M7" i="1778"/>
  <c r="O8" i="1778"/>
  <c r="M10" i="1778"/>
  <c r="O11" i="1778"/>
  <c r="P12" i="1778"/>
  <c r="AC12" i="1778" s="1"/>
  <c r="AD12" i="1778" s="1"/>
  <c r="G9" i="16" s="1"/>
  <c r="M18" i="1778"/>
  <c r="O19" i="1778"/>
  <c r="P20" i="1778"/>
  <c r="AC20" i="1778" s="1"/>
  <c r="P8" i="1778"/>
  <c r="AC8" i="1778" s="1"/>
  <c r="P11" i="1778"/>
  <c r="AC11" i="1778" s="1"/>
  <c r="P19" i="1778"/>
  <c r="AC19" i="1778" s="1"/>
  <c r="AD19" i="1778" s="1"/>
  <c r="G16" i="16" s="1"/>
  <c r="M11" i="1778"/>
  <c r="M19" i="1778"/>
  <c r="L20" i="1777"/>
  <c r="K20" i="1777" s="1"/>
  <c r="L19" i="1777"/>
  <c r="L18" i="1777"/>
  <c r="K18" i="1777"/>
  <c r="L13" i="1777"/>
  <c r="K13" i="1777" s="1"/>
  <c r="L12" i="1777"/>
  <c r="O12" i="1777" s="1"/>
  <c r="K12" i="1777"/>
  <c r="L11" i="1777"/>
  <c r="O11" i="1777" s="1"/>
  <c r="L10" i="1777"/>
  <c r="L8" i="1777"/>
  <c r="AB8" i="1777" s="1"/>
  <c r="L7" i="1777"/>
  <c r="K7" i="1777" s="1"/>
  <c r="L6" i="1777"/>
  <c r="K6" i="1777" s="1"/>
  <c r="K21" i="1777"/>
  <c r="K19" i="1777"/>
  <c r="K14" i="1777"/>
  <c r="K11" i="1777"/>
  <c r="K8" i="1777"/>
  <c r="A77" i="1777"/>
  <c r="A78" i="1777" s="1"/>
  <c r="A79" i="1777" s="1"/>
  <c r="A80" i="1777" s="1"/>
  <c r="A81" i="1777" s="1"/>
  <c r="A82" i="1777" s="1"/>
  <c r="AF61" i="1777"/>
  <c r="AF60" i="1777"/>
  <c r="AA22" i="1777"/>
  <c r="Z22" i="1777"/>
  <c r="Y22" i="1777"/>
  <c r="X22" i="1777"/>
  <c r="W22" i="1777"/>
  <c r="V22" i="1777"/>
  <c r="U22" i="1777"/>
  <c r="T22" i="1777"/>
  <c r="S22" i="1777"/>
  <c r="R22" i="1777"/>
  <c r="N22" i="1777"/>
  <c r="J22" i="1777"/>
  <c r="I22" i="1777"/>
  <c r="AF21" i="1777"/>
  <c r="AB21" i="1777"/>
  <c r="Q21" i="1777"/>
  <c r="P21" i="1777"/>
  <c r="AC21" i="1777" s="1"/>
  <c r="O21" i="1777"/>
  <c r="M21" i="1777"/>
  <c r="AF20" i="1777"/>
  <c r="Q20" i="1777"/>
  <c r="AF19" i="1777"/>
  <c r="Q19" i="1777"/>
  <c r="P19" i="1777"/>
  <c r="AC19" i="1777" s="1"/>
  <c r="O19" i="1777"/>
  <c r="AF18" i="1777"/>
  <c r="AB18" i="1777"/>
  <c r="Q18" i="1777"/>
  <c r="O18" i="1777"/>
  <c r="M18" i="1777"/>
  <c r="AF17" i="1777"/>
  <c r="AB17" i="1777"/>
  <c r="Q17" i="1777"/>
  <c r="P17" i="1777"/>
  <c r="AC17" i="1777" s="1"/>
  <c r="O17" i="1777"/>
  <c r="M17" i="1777"/>
  <c r="K17" i="1777"/>
  <c r="AF16" i="1777"/>
  <c r="AB16" i="1777"/>
  <c r="Q16" i="1777"/>
  <c r="P16" i="1777"/>
  <c r="AC16" i="1777" s="1"/>
  <c r="O16" i="1777"/>
  <c r="M16" i="1777"/>
  <c r="K16" i="1777"/>
  <c r="AF15" i="1777"/>
  <c r="AB15" i="1777"/>
  <c r="Q15" i="1777"/>
  <c r="P15" i="1777"/>
  <c r="AC15" i="1777" s="1"/>
  <c r="O15" i="1777"/>
  <c r="M15" i="1777"/>
  <c r="K15" i="1777"/>
  <c r="AF14" i="1777"/>
  <c r="Q14" i="1777"/>
  <c r="P14" i="1777"/>
  <c r="AC14" i="1777" s="1"/>
  <c r="AF13" i="1777"/>
  <c r="Q13" i="1777"/>
  <c r="AF12" i="1777"/>
  <c r="Q12" i="1777"/>
  <c r="P12" i="1777" s="1"/>
  <c r="AC12" i="1777" s="1"/>
  <c r="AB12" i="1777"/>
  <c r="AF11" i="1777"/>
  <c r="Q11" i="1777"/>
  <c r="M11" i="1777"/>
  <c r="AF10" i="1777"/>
  <c r="Q10" i="1777"/>
  <c r="AF9" i="1777"/>
  <c r="AB9" i="1777"/>
  <c r="Q9" i="1777"/>
  <c r="P9" i="1777"/>
  <c r="AC9" i="1777" s="1"/>
  <c r="O9" i="1777"/>
  <c r="M9" i="1777"/>
  <c r="K9" i="1777"/>
  <c r="AF8" i="1777"/>
  <c r="Q8" i="1777"/>
  <c r="P8" i="1777" s="1"/>
  <c r="AC8" i="1777" s="1"/>
  <c r="M8" i="1777"/>
  <c r="AF7" i="1777"/>
  <c r="Q7" i="1777"/>
  <c r="P7" i="1777"/>
  <c r="AC7" i="1777" s="1"/>
  <c r="AF6" i="1777"/>
  <c r="Q6" i="1777"/>
  <c r="M6" i="1777"/>
  <c r="AB6" i="1777" l="1"/>
  <c r="AB11" i="1777"/>
  <c r="AD23" i="1779"/>
  <c r="H10" i="16"/>
  <c r="AF63" i="1777"/>
  <c r="P11" i="1777"/>
  <c r="AC11" i="1777" s="1"/>
  <c r="O13" i="1777"/>
  <c r="P10" i="1777"/>
  <c r="AC10" i="1777" s="1"/>
  <c r="AE6" i="1779"/>
  <c r="AE16" i="1779"/>
  <c r="AE7" i="1779"/>
  <c r="AE9" i="1779"/>
  <c r="AE12" i="1779"/>
  <c r="AE8" i="1779"/>
  <c r="AE15" i="1779"/>
  <c r="AE13" i="1779"/>
  <c r="AD20" i="1778"/>
  <c r="G17" i="16" s="1"/>
  <c r="K22" i="1778"/>
  <c r="AD7" i="1778"/>
  <c r="G4" i="16" s="1"/>
  <c r="M22" i="1778"/>
  <c r="AD11" i="1778"/>
  <c r="G8" i="16" s="1"/>
  <c r="AD8" i="1778"/>
  <c r="P22" i="1778"/>
  <c r="AC22" i="1778"/>
  <c r="P20" i="1777"/>
  <c r="AC20" i="1777" s="1"/>
  <c r="AD21" i="1777"/>
  <c r="E18" i="16" s="1"/>
  <c r="AD15" i="1777"/>
  <c r="E12" i="16" s="1"/>
  <c r="K10" i="1777"/>
  <c r="K22" i="1777" s="1"/>
  <c r="P18" i="1777"/>
  <c r="AC18" i="1777" s="1"/>
  <c r="AD18" i="1777" s="1"/>
  <c r="E15" i="16" s="1"/>
  <c r="P13" i="1777"/>
  <c r="AC13" i="1777" s="1"/>
  <c r="Q22" i="1777"/>
  <c r="AD11" i="1777"/>
  <c r="E8" i="16" s="1"/>
  <c r="P6" i="1777"/>
  <c r="AC6" i="1777" s="1"/>
  <c r="O6" i="1777"/>
  <c r="AD17" i="1777"/>
  <c r="E14" i="16" s="1"/>
  <c r="AD9" i="1777"/>
  <c r="E6" i="16" s="1"/>
  <c r="AD16" i="1777"/>
  <c r="E13" i="16" s="1"/>
  <c r="AD12" i="1777"/>
  <c r="E9" i="16" s="1"/>
  <c r="L22" i="1777"/>
  <c r="O22" i="1777" s="1"/>
  <c r="M7" i="1777"/>
  <c r="AB7" i="1777"/>
  <c r="O8" i="1777"/>
  <c r="AD8" i="1777" s="1"/>
  <c r="E5" i="16" s="1"/>
  <c r="M10" i="1777"/>
  <c r="AB10" i="1777"/>
  <c r="M14" i="1777"/>
  <c r="AB14" i="1777"/>
  <c r="M20" i="1777"/>
  <c r="AB20" i="1777"/>
  <c r="O7" i="1777"/>
  <c r="O10" i="1777"/>
  <c r="M13" i="1777"/>
  <c r="AB13" i="1777"/>
  <c r="AD13" i="1777" s="1"/>
  <c r="E10" i="16" s="1"/>
  <c r="O14" i="1777"/>
  <c r="M19" i="1777"/>
  <c r="AB19" i="1777"/>
  <c r="AD19" i="1777" s="1"/>
  <c r="E16" i="16" s="1"/>
  <c r="O20" i="1777"/>
  <c r="M12" i="1777"/>
  <c r="L22" i="1776"/>
  <c r="L21" i="1776"/>
  <c r="L20" i="1776"/>
  <c r="AF19" i="1776"/>
  <c r="AB19" i="1776"/>
  <c r="Q19" i="1776"/>
  <c r="P19" i="1776" s="1"/>
  <c r="AC19" i="1776" s="1"/>
  <c r="O19" i="1776"/>
  <c r="M19" i="1776"/>
  <c r="K19" i="1776"/>
  <c r="L14" i="1776"/>
  <c r="K14" i="1776" s="1"/>
  <c r="L13" i="1776"/>
  <c r="L12" i="1776"/>
  <c r="K12" i="1776"/>
  <c r="L11" i="1776"/>
  <c r="L10" i="1776"/>
  <c r="L8" i="1776"/>
  <c r="L7" i="1776"/>
  <c r="AE20" i="1779" l="1"/>
  <c r="H19" i="16"/>
  <c r="AD22" i="1778"/>
  <c r="G19" i="16" s="1"/>
  <c r="G5" i="16"/>
  <c r="AE17" i="1779"/>
  <c r="AE19" i="1779"/>
  <c r="AE11" i="1779"/>
  <c r="AE10" i="1779"/>
  <c r="AE21" i="1779"/>
  <c r="AE18" i="1779"/>
  <c r="AE14" i="1779"/>
  <c r="AE22" i="1779"/>
  <c r="AE10" i="1778"/>
  <c r="AE7" i="1778"/>
  <c r="AE19" i="1778"/>
  <c r="AE20" i="1778"/>
  <c r="AE8" i="1778"/>
  <c r="AE17" i="1778"/>
  <c r="AE9" i="1778"/>
  <c r="AE6" i="1778"/>
  <c r="AD20" i="1777"/>
  <c r="E17" i="16" s="1"/>
  <c r="AC22" i="1777"/>
  <c r="AD10" i="1777"/>
  <c r="E7" i="16" s="1"/>
  <c r="P22" i="1777"/>
  <c r="AD6" i="1777"/>
  <c r="E3" i="16" s="1"/>
  <c r="AD14" i="1777"/>
  <c r="E11" i="16" s="1"/>
  <c r="M22" i="1777"/>
  <c r="AB22" i="1777"/>
  <c r="AD7" i="1777"/>
  <c r="E4" i="16" s="1"/>
  <c r="AD19" i="1776"/>
  <c r="K22" i="1776"/>
  <c r="K21" i="1776"/>
  <c r="K20" i="1776"/>
  <c r="K17" i="1776"/>
  <c r="K15" i="1776"/>
  <c r="K13" i="1776"/>
  <c r="K11" i="1776"/>
  <c r="K10" i="1776"/>
  <c r="K8" i="1776"/>
  <c r="K7" i="1776"/>
  <c r="K6" i="1776"/>
  <c r="A78" i="1776"/>
  <c r="A79" i="1776" s="1"/>
  <c r="A80" i="1776" s="1"/>
  <c r="A81" i="1776" s="1"/>
  <c r="A82" i="1776" s="1"/>
  <c r="A83" i="1776" s="1"/>
  <c r="AF62" i="1776"/>
  <c r="AF61" i="1776"/>
  <c r="AA23" i="1776"/>
  <c r="Z23" i="1776"/>
  <c r="Y23" i="1776"/>
  <c r="X23" i="1776"/>
  <c r="W23" i="1776"/>
  <c r="V23" i="1776"/>
  <c r="U23" i="1776"/>
  <c r="T23" i="1776"/>
  <c r="S23" i="1776"/>
  <c r="R23" i="1776"/>
  <c r="N23" i="1776"/>
  <c r="J23" i="1776"/>
  <c r="I23" i="1776"/>
  <c r="AF22" i="1776"/>
  <c r="Q22" i="1776"/>
  <c r="P22" i="1776" s="1"/>
  <c r="AC22" i="1776" s="1"/>
  <c r="AF21" i="1776"/>
  <c r="AB21" i="1776"/>
  <c r="Q21" i="1776"/>
  <c r="P21" i="1776" s="1"/>
  <c r="AC21" i="1776" s="1"/>
  <c r="O21" i="1776"/>
  <c r="M21" i="1776"/>
  <c r="AF20" i="1776"/>
  <c r="Q20" i="1776"/>
  <c r="O20" i="1776"/>
  <c r="AB20" i="1776"/>
  <c r="AF18" i="1776"/>
  <c r="AB18" i="1776"/>
  <c r="Q18" i="1776"/>
  <c r="P18" i="1776" s="1"/>
  <c r="AC18" i="1776" s="1"/>
  <c r="O18" i="1776"/>
  <c r="M18" i="1776"/>
  <c r="K18" i="1776"/>
  <c r="AF17" i="1776"/>
  <c r="AB17" i="1776"/>
  <c r="Q17" i="1776"/>
  <c r="P17" i="1776"/>
  <c r="AC17" i="1776" s="1"/>
  <c r="O17" i="1776"/>
  <c r="M17" i="1776"/>
  <c r="AF16" i="1776"/>
  <c r="AB16" i="1776"/>
  <c r="Q16" i="1776"/>
  <c r="P16" i="1776"/>
  <c r="AC16" i="1776" s="1"/>
  <c r="O16" i="1776"/>
  <c r="M16" i="1776"/>
  <c r="K16" i="1776"/>
  <c r="AF15" i="1776"/>
  <c r="AB15" i="1776"/>
  <c r="Q15" i="1776"/>
  <c r="P15" i="1776"/>
  <c r="AC15" i="1776" s="1"/>
  <c r="O15" i="1776"/>
  <c r="M15" i="1776"/>
  <c r="AF14" i="1776"/>
  <c r="AB14" i="1776"/>
  <c r="Q14" i="1776"/>
  <c r="P14" i="1776" s="1"/>
  <c r="AC14" i="1776" s="1"/>
  <c r="O14" i="1776"/>
  <c r="M14" i="1776"/>
  <c r="AF13" i="1776"/>
  <c r="AB13" i="1776"/>
  <c r="Q13" i="1776"/>
  <c r="P13" i="1776" s="1"/>
  <c r="AC13" i="1776" s="1"/>
  <c r="M13" i="1776"/>
  <c r="O13" i="1776"/>
  <c r="AF12" i="1776"/>
  <c r="AB12" i="1776"/>
  <c r="Q12" i="1776"/>
  <c r="P12" i="1776" s="1"/>
  <c r="AC12" i="1776" s="1"/>
  <c r="O12" i="1776"/>
  <c r="M12" i="1776"/>
  <c r="AF11" i="1776"/>
  <c r="Q11" i="1776"/>
  <c r="P11" i="1776"/>
  <c r="AC11" i="1776" s="1"/>
  <c r="AF10" i="1776"/>
  <c r="AB10" i="1776"/>
  <c r="Q10" i="1776"/>
  <c r="P10" i="1776"/>
  <c r="AC10" i="1776" s="1"/>
  <c r="M10" i="1776"/>
  <c r="O10" i="1776"/>
  <c r="AF9" i="1776"/>
  <c r="AB9" i="1776"/>
  <c r="Q9" i="1776"/>
  <c r="P9" i="1776"/>
  <c r="AC9" i="1776" s="1"/>
  <c r="O9" i="1776"/>
  <c r="M9" i="1776"/>
  <c r="K9" i="1776"/>
  <c r="AF8" i="1776"/>
  <c r="Q8" i="1776"/>
  <c r="P8" i="1776"/>
  <c r="AC8" i="1776" s="1"/>
  <c r="AF7" i="1776"/>
  <c r="AB7" i="1776"/>
  <c r="Q7" i="1776"/>
  <c r="P7" i="1776" s="1"/>
  <c r="AC7" i="1776" s="1"/>
  <c r="M7" i="1776"/>
  <c r="O7" i="1776"/>
  <c r="AF6" i="1776"/>
  <c r="AB6" i="1776"/>
  <c r="Q6" i="1776"/>
  <c r="O6" i="1776"/>
  <c r="M6" i="1776"/>
  <c r="L21" i="1775"/>
  <c r="L20" i="1775"/>
  <c r="L19" i="1775"/>
  <c r="K18" i="1775"/>
  <c r="K17" i="1775"/>
  <c r="L13" i="1775"/>
  <c r="L11" i="1775"/>
  <c r="L10" i="1775"/>
  <c r="L8" i="1775"/>
  <c r="L7" i="1775"/>
  <c r="K7" i="1775" s="1"/>
  <c r="K6" i="1775"/>
  <c r="AD15" i="1776" l="1"/>
  <c r="D12" i="16" s="1"/>
  <c r="AE13" i="1778"/>
  <c r="AE11" i="1778"/>
  <c r="AE14" i="1778"/>
  <c r="AE18" i="1778"/>
  <c r="AF64" i="1776"/>
  <c r="AE15" i="1778"/>
  <c r="AE12" i="1778"/>
  <c r="AE16" i="1778"/>
  <c r="AE21" i="1778"/>
  <c r="AD22" i="1777"/>
  <c r="AD9" i="1776"/>
  <c r="D6" i="16" s="1"/>
  <c r="AD18" i="1776"/>
  <c r="D15" i="16" s="1"/>
  <c r="AD13" i="1776"/>
  <c r="D10" i="16" s="1"/>
  <c r="AD12" i="1776"/>
  <c r="D9" i="16" s="1"/>
  <c r="AD10" i="1776"/>
  <c r="D7" i="16" s="1"/>
  <c r="Q23" i="1776"/>
  <c r="AD14" i="1776"/>
  <c r="D11" i="16" s="1"/>
  <c r="AD21" i="1776"/>
  <c r="D17" i="16" s="1"/>
  <c r="AD16" i="1776"/>
  <c r="D13" i="16" s="1"/>
  <c r="AD17" i="1776"/>
  <c r="D14" i="16" s="1"/>
  <c r="AD7" i="1776"/>
  <c r="D4" i="16" s="1"/>
  <c r="P6" i="1776"/>
  <c r="M8" i="1776"/>
  <c r="AB8" i="1776"/>
  <c r="M11" i="1776"/>
  <c r="AB11" i="1776"/>
  <c r="P20" i="1776"/>
  <c r="AC20" i="1776" s="1"/>
  <c r="AD20" i="1776" s="1"/>
  <c r="D16" i="16" s="1"/>
  <c r="M22" i="1776"/>
  <c r="AB22" i="1776"/>
  <c r="L23" i="1776"/>
  <c r="O23" i="1776" s="1"/>
  <c r="O11" i="1776"/>
  <c r="O22" i="1776"/>
  <c r="O8" i="1776"/>
  <c r="K23" i="1776"/>
  <c r="M20" i="1776"/>
  <c r="AE11" i="1777" l="1"/>
  <c r="E19" i="16"/>
  <c r="AE7" i="1777"/>
  <c r="AE21" i="1777"/>
  <c r="AE10" i="1777"/>
  <c r="AE20" i="1777"/>
  <c r="AE12" i="1777"/>
  <c r="AE9" i="1777"/>
  <c r="AE13" i="1777"/>
  <c r="AE16" i="1777"/>
  <c r="AE14" i="1777"/>
  <c r="AE19" i="1777"/>
  <c r="AE15" i="1777"/>
  <c r="AE8" i="1777"/>
  <c r="AE6" i="1777"/>
  <c r="AE18" i="1777"/>
  <c r="AE17" i="1777"/>
  <c r="M23" i="1776"/>
  <c r="AD11" i="1776"/>
  <c r="D8" i="16" s="1"/>
  <c r="AD8" i="1776"/>
  <c r="D5" i="16" s="1"/>
  <c r="AD22" i="1776"/>
  <c r="D18" i="16" s="1"/>
  <c r="AC6" i="1776"/>
  <c r="P23" i="1776"/>
  <c r="AB23" i="1776"/>
  <c r="AC23" i="1776" l="1"/>
  <c r="AD6" i="1776"/>
  <c r="AD23" i="1776" l="1"/>
  <c r="D3" i="16"/>
  <c r="AE19" i="1776" l="1"/>
  <c r="D19" i="16"/>
  <c r="AE10" i="1776"/>
  <c r="AE21" i="1776"/>
  <c r="AE9" i="1776"/>
  <c r="AE16" i="1776"/>
  <c r="AE13" i="1776"/>
  <c r="AE8" i="1776"/>
  <c r="AE12" i="1776"/>
  <c r="AE18" i="1776"/>
  <c r="AE7" i="1776"/>
  <c r="AE17" i="1776"/>
  <c r="AE6" i="1776"/>
  <c r="AE14" i="1776"/>
  <c r="AE11" i="1776"/>
  <c r="AE15" i="1776"/>
  <c r="AE22" i="1776"/>
  <c r="AE20" i="1776"/>
  <c r="K21" i="1775"/>
  <c r="K20" i="1775"/>
  <c r="K19" i="1775"/>
  <c r="K15" i="1775"/>
  <c r="K13" i="1775"/>
  <c r="K12" i="1775"/>
  <c r="K11" i="1775"/>
  <c r="K10" i="1775"/>
  <c r="K9" i="1775"/>
  <c r="K8" i="1775"/>
  <c r="A77" i="1775"/>
  <c r="A78" i="1775" s="1"/>
  <c r="A79" i="1775" s="1"/>
  <c r="A80" i="1775" s="1"/>
  <c r="A81" i="1775" s="1"/>
  <c r="A82" i="1775" s="1"/>
  <c r="AF61" i="1775"/>
  <c r="AF63" i="1775" s="1"/>
  <c r="AF60" i="1775"/>
  <c r="AA22" i="1775"/>
  <c r="Z22" i="1775"/>
  <c r="Y22" i="1775"/>
  <c r="X22" i="1775"/>
  <c r="W22" i="1775"/>
  <c r="V22" i="1775"/>
  <c r="U22" i="1775"/>
  <c r="T22" i="1775"/>
  <c r="S22" i="1775"/>
  <c r="R22" i="1775"/>
  <c r="N22" i="1775"/>
  <c r="J22" i="1775"/>
  <c r="I22" i="1775"/>
  <c r="AF21" i="1775"/>
  <c r="Q21" i="1775"/>
  <c r="P21" i="1775" s="1"/>
  <c r="AC21" i="1775" s="1"/>
  <c r="O21" i="1775"/>
  <c r="AB21" i="1775"/>
  <c r="AF20" i="1775"/>
  <c r="AB20" i="1775"/>
  <c r="Q20" i="1775"/>
  <c r="P20" i="1775"/>
  <c r="AC20" i="1775" s="1"/>
  <c r="O20" i="1775"/>
  <c r="M20" i="1775"/>
  <c r="AF19" i="1775"/>
  <c r="Q19" i="1775"/>
  <c r="O19" i="1775"/>
  <c r="AF18" i="1775"/>
  <c r="AB18" i="1775"/>
  <c r="Q18" i="1775"/>
  <c r="P18" i="1775"/>
  <c r="AC18" i="1775" s="1"/>
  <c r="O18" i="1775"/>
  <c r="M18" i="1775"/>
  <c r="AF17" i="1775"/>
  <c r="AB17" i="1775"/>
  <c r="Q17" i="1775"/>
  <c r="P17" i="1775" s="1"/>
  <c r="AC17" i="1775" s="1"/>
  <c r="O17" i="1775"/>
  <c r="M17" i="1775"/>
  <c r="AF16" i="1775"/>
  <c r="AB16" i="1775"/>
  <c r="Q16" i="1775"/>
  <c r="P16" i="1775"/>
  <c r="AC16" i="1775" s="1"/>
  <c r="O16" i="1775"/>
  <c r="M16" i="1775"/>
  <c r="K16" i="1775"/>
  <c r="AF15" i="1775"/>
  <c r="Q15" i="1775"/>
  <c r="AB15" i="1775"/>
  <c r="AF14" i="1775"/>
  <c r="AB14" i="1775"/>
  <c r="Q14" i="1775"/>
  <c r="P14" i="1775"/>
  <c r="AC14" i="1775" s="1"/>
  <c r="O14" i="1775"/>
  <c r="M14" i="1775"/>
  <c r="K14" i="1775"/>
  <c r="AF13" i="1775"/>
  <c r="AB13" i="1775"/>
  <c r="Q13" i="1775"/>
  <c r="M13" i="1775"/>
  <c r="O13" i="1775"/>
  <c r="AF12" i="1775"/>
  <c r="Q12" i="1775"/>
  <c r="AB12" i="1775"/>
  <c r="AF11" i="1775"/>
  <c r="Q11" i="1775"/>
  <c r="P11" i="1775"/>
  <c r="AC11" i="1775" s="1"/>
  <c r="O11" i="1775"/>
  <c r="AB11" i="1775"/>
  <c r="AF10" i="1775"/>
  <c r="AB10" i="1775"/>
  <c r="Q10" i="1775"/>
  <c r="P10" i="1775" s="1"/>
  <c r="AC10" i="1775" s="1"/>
  <c r="O10" i="1775"/>
  <c r="M10" i="1775"/>
  <c r="AF9" i="1775"/>
  <c r="AB9" i="1775"/>
  <c r="Q9" i="1775"/>
  <c r="M9" i="1775"/>
  <c r="P9" i="1775"/>
  <c r="AC9" i="1775" s="1"/>
  <c r="AF8" i="1775"/>
  <c r="Q8" i="1775"/>
  <c r="P8" i="1775" s="1"/>
  <c r="AC8" i="1775" s="1"/>
  <c r="O8" i="1775"/>
  <c r="AB8" i="1775"/>
  <c r="AF7" i="1775"/>
  <c r="AB7" i="1775"/>
  <c r="Q7" i="1775"/>
  <c r="P7" i="1775" s="1"/>
  <c r="AC7" i="1775" s="1"/>
  <c r="O7" i="1775"/>
  <c r="M7" i="1775"/>
  <c r="L22" i="1775"/>
  <c r="AF6" i="1775"/>
  <c r="AB6" i="1775"/>
  <c r="Q6" i="1775"/>
  <c r="O6" i="1775"/>
  <c r="M6" i="1775"/>
  <c r="AD14" i="1775" l="1"/>
  <c r="C11" i="16" s="1"/>
  <c r="AD17" i="1775"/>
  <c r="C14" i="16" s="1"/>
  <c r="AD20" i="1775"/>
  <c r="C17" i="16" s="1"/>
  <c r="AD18" i="1775"/>
  <c r="C15" i="16" s="1"/>
  <c r="O22" i="1775"/>
  <c r="Q22" i="1775"/>
  <c r="AD7" i="1775"/>
  <c r="C4" i="16" s="1"/>
  <c r="P6" i="1775"/>
  <c r="AC6" i="1775" s="1"/>
  <c r="AD6" i="1775" s="1"/>
  <c r="C3" i="16" s="1"/>
  <c r="AD10" i="1775"/>
  <c r="C7" i="16" s="1"/>
  <c r="AD16" i="1775"/>
  <c r="C13" i="16" s="1"/>
  <c r="AD11" i="1775"/>
  <c r="C8" i="16" s="1"/>
  <c r="AD8" i="1775"/>
  <c r="C5" i="16" s="1"/>
  <c r="AD21" i="1775"/>
  <c r="C18" i="16" s="1"/>
  <c r="O9" i="1775"/>
  <c r="AD9" i="1775" s="1"/>
  <c r="C6" i="16" s="1"/>
  <c r="M12" i="1775"/>
  <c r="M15" i="1775"/>
  <c r="M8" i="1775"/>
  <c r="M11" i="1775"/>
  <c r="O12" i="1775"/>
  <c r="P13" i="1775"/>
  <c r="AC13" i="1775" s="1"/>
  <c r="AD13" i="1775" s="1"/>
  <c r="C10" i="16" s="1"/>
  <c r="O15" i="1775"/>
  <c r="P19" i="1775"/>
  <c r="AC19" i="1775" s="1"/>
  <c r="M21" i="1775"/>
  <c r="K22" i="1775"/>
  <c r="P12" i="1775"/>
  <c r="AC12" i="1775" s="1"/>
  <c r="AD12" i="1775" s="1"/>
  <c r="C9" i="16" s="1"/>
  <c r="P15" i="1775"/>
  <c r="AC15" i="1775" s="1"/>
  <c r="M19" i="1775"/>
  <c r="AB19" i="1775"/>
  <c r="AB22" i="1775" s="1"/>
  <c r="AD15" i="1775" l="1"/>
  <c r="C12" i="16" s="1"/>
  <c r="M22" i="1775"/>
  <c r="AD19" i="1775"/>
  <c r="C16" i="16" s="1"/>
  <c r="AC22" i="1775"/>
  <c r="P22" i="1775"/>
  <c r="AD22" i="1775" l="1"/>
  <c r="AE21" i="1775" l="1"/>
  <c r="C19" i="16"/>
  <c r="AE11" i="1775"/>
  <c r="AE16" i="1775"/>
  <c r="AE14" i="1775"/>
  <c r="AE9" i="1775"/>
  <c r="AE15" i="1775"/>
  <c r="AE18" i="1775"/>
  <c r="AE20" i="1775"/>
  <c r="AE19" i="1775"/>
  <c r="AE13" i="1775"/>
  <c r="AE17" i="1775"/>
  <c r="AE7" i="1775"/>
  <c r="AE10" i="1775"/>
  <c r="AE6" i="1775"/>
  <c r="AE12" i="1775"/>
  <c r="AE8" i="1775"/>
  <c r="AF19" i="1774"/>
  <c r="AB19" i="1774"/>
  <c r="Q19" i="1774"/>
  <c r="P19" i="1774"/>
  <c r="AC19" i="1774" s="1"/>
  <c r="O19" i="1774"/>
  <c r="M19" i="1774"/>
  <c r="K19" i="1774"/>
  <c r="L23" i="1774"/>
  <c r="K23" i="1774" s="1"/>
  <c r="L22" i="1774"/>
  <c r="L21" i="1774"/>
  <c r="K20" i="1774"/>
  <c r="K18" i="1774"/>
  <c r="L16" i="1774"/>
  <c r="L14" i="1774"/>
  <c r="L13" i="1774"/>
  <c r="L12" i="1774"/>
  <c r="L11" i="1774"/>
  <c r="L10" i="1774"/>
  <c r="M10" i="1774" s="1"/>
  <c r="AF10" i="1774"/>
  <c r="Q10" i="1774"/>
  <c r="L9" i="1774"/>
  <c r="K9" i="1774" s="1"/>
  <c r="L8" i="1774"/>
  <c r="L7" i="1774"/>
  <c r="K7" i="1774"/>
  <c r="P10" i="1774" l="1"/>
  <c r="AC10" i="1774" s="1"/>
  <c r="AD19" i="1774"/>
  <c r="AB10" i="1774"/>
  <c r="O10" i="1774"/>
  <c r="K10" i="1774"/>
  <c r="AD10" i="1774" l="1"/>
  <c r="K22" i="1774"/>
  <c r="K21" i="1774"/>
  <c r="K16" i="1774"/>
  <c r="K15" i="1774"/>
  <c r="K14" i="1774"/>
  <c r="K12" i="1774"/>
  <c r="K11" i="1774"/>
  <c r="K8" i="1774"/>
  <c r="K6" i="1774" l="1"/>
  <c r="A79" i="1774"/>
  <c r="A80" i="1774" s="1"/>
  <c r="A81" i="1774" s="1"/>
  <c r="A82" i="1774" s="1"/>
  <c r="A83" i="1774" s="1"/>
  <c r="A84" i="1774" s="1"/>
  <c r="AF63" i="1774"/>
  <c r="AF62" i="1774"/>
  <c r="AF65" i="1774" s="1"/>
  <c r="AA24" i="1774"/>
  <c r="Z24" i="1774"/>
  <c r="Y24" i="1774"/>
  <c r="X24" i="1774"/>
  <c r="W24" i="1774"/>
  <c r="V24" i="1774"/>
  <c r="U24" i="1774"/>
  <c r="T24" i="1774"/>
  <c r="S24" i="1774"/>
  <c r="R24" i="1774"/>
  <c r="N24" i="1774"/>
  <c r="J24" i="1774"/>
  <c r="I24" i="1774"/>
  <c r="AF23" i="1774"/>
  <c r="AB23" i="1774"/>
  <c r="Q23" i="1774"/>
  <c r="P23" i="1774" s="1"/>
  <c r="AC23" i="1774" s="1"/>
  <c r="M23" i="1774"/>
  <c r="O23" i="1774"/>
  <c r="AF22" i="1774"/>
  <c r="Q22" i="1774"/>
  <c r="P22" i="1774" s="1"/>
  <c r="AC22" i="1774" s="1"/>
  <c r="AF21" i="1774"/>
  <c r="AB21" i="1774"/>
  <c r="Q21" i="1774"/>
  <c r="P21" i="1774"/>
  <c r="AC21" i="1774" s="1"/>
  <c r="O21" i="1774"/>
  <c r="M21" i="1774"/>
  <c r="AF20" i="1774"/>
  <c r="AB20" i="1774"/>
  <c r="Q20" i="1774"/>
  <c r="P20" i="1774" s="1"/>
  <c r="AC20" i="1774" s="1"/>
  <c r="O20" i="1774"/>
  <c r="M20" i="1774"/>
  <c r="AF18" i="1774"/>
  <c r="AB18" i="1774"/>
  <c r="Q18" i="1774"/>
  <c r="P18" i="1774" s="1"/>
  <c r="AC18" i="1774" s="1"/>
  <c r="O18" i="1774"/>
  <c r="M18" i="1774"/>
  <c r="AF17" i="1774"/>
  <c r="AB17" i="1774"/>
  <c r="Q17" i="1774"/>
  <c r="P17" i="1774"/>
  <c r="AC17" i="1774" s="1"/>
  <c r="O17" i="1774"/>
  <c r="M17" i="1774"/>
  <c r="K17" i="1774"/>
  <c r="AF16" i="1774"/>
  <c r="AB16" i="1774"/>
  <c r="Q16" i="1774"/>
  <c r="O16" i="1774"/>
  <c r="M16" i="1774"/>
  <c r="AF15" i="1774"/>
  <c r="AB15" i="1774"/>
  <c r="Q15" i="1774"/>
  <c r="P15" i="1774"/>
  <c r="AC15" i="1774" s="1"/>
  <c r="O15" i="1774"/>
  <c r="M15" i="1774"/>
  <c r="AF14" i="1774"/>
  <c r="Q14" i="1774"/>
  <c r="AF13" i="1774"/>
  <c r="AB13" i="1774"/>
  <c r="Q13" i="1774"/>
  <c r="P13" i="1774"/>
  <c r="AC13" i="1774" s="1"/>
  <c r="M13" i="1774"/>
  <c r="O13" i="1774"/>
  <c r="K13" i="1774"/>
  <c r="AF12" i="1774"/>
  <c r="Q12" i="1774"/>
  <c r="O12" i="1774"/>
  <c r="AB12" i="1774"/>
  <c r="AF11" i="1774"/>
  <c r="AB11" i="1774"/>
  <c r="Q11" i="1774"/>
  <c r="P11" i="1774" s="1"/>
  <c r="AC11" i="1774" s="1"/>
  <c r="O11" i="1774"/>
  <c r="M11" i="1774"/>
  <c r="AF9" i="1774"/>
  <c r="Q9" i="1774"/>
  <c r="P9" i="1774" s="1"/>
  <c r="AC9" i="1774" s="1"/>
  <c r="AF8" i="1774"/>
  <c r="AB8" i="1774"/>
  <c r="Q8" i="1774"/>
  <c r="P8" i="1774" s="1"/>
  <c r="AC8" i="1774" s="1"/>
  <c r="M8" i="1774"/>
  <c r="O8" i="1774"/>
  <c r="AF7" i="1774"/>
  <c r="AB7" i="1774"/>
  <c r="Q7" i="1774"/>
  <c r="P7" i="1774" s="1"/>
  <c r="AC7" i="1774" s="1"/>
  <c r="O7" i="1774"/>
  <c r="M7" i="1774"/>
  <c r="AF6" i="1774"/>
  <c r="AB6" i="1774"/>
  <c r="Q6" i="1774"/>
  <c r="P6" i="1774" s="1"/>
  <c r="O6" i="1774"/>
  <c r="M6" i="1774"/>
  <c r="AD17" i="1774" l="1"/>
  <c r="B13" i="16" s="1"/>
  <c r="P16" i="1774"/>
  <c r="AC16" i="1774" s="1"/>
  <c r="AD16" i="1774" s="1"/>
  <c r="B12" i="16" s="1"/>
  <c r="AD15" i="1774"/>
  <c r="B11" i="16" s="1"/>
  <c r="P14" i="1774"/>
  <c r="AC14" i="1774" s="1"/>
  <c r="AD11" i="1774"/>
  <c r="B7" i="16" s="1"/>
  <c r="AD23" i="1774"/>
  <c r="B18" i="16" s="1"/>
  <c r="AD21" i="1774"/>
  <c r="B16" i="16" s="1"/>
  <c r="AD20" i="1774"/>
  <c r="B15" i="16" s="1"/>
  <c r="AD7" i="1774"/>
  <c r="B4" i="16" s="1"/>
  <c r="AD18" i="1774"/>
  <c r="B14" i="16" s="1"/>
  <c r="AD8" i="1774"/>
  <c r="B5" i="16" s="1"/>
  <c r="AD13" i="1774"/>
  <c r="B9" i="16" s="1"/>
  <c r="AC6" i="1774"/>
  <c r="L24" i="1774"/>
  <c r="O24" i="1774" s="1"/>
  <c r="M9" i="1774"/>
  <c r="AB9" i="1774"/>
  <c r="K24" i="1774"/>
  <c r="P12" i="1774"/>
  <c r="AC12" i="1774" s="1"/>
  <c r="AD12" i="1774" s="1"/>
  <c r="B8" i="16" s="1"/>
  <c r="M14" i="1774"/>
  <c r="AB14" i="1774"/>
  <c r="M22" i="1774"/>
  <c r="AB22" i="1774"/>
  <c r="Q24" i="1774"/>
  <c r="O14" i="1774"/>
  <c r="O22" i="1774"/>
  <c r="O9" i="1774"/>
  <c r="M12" i="1774"/>
  <c r="AD14" i="1774" l="1"/>
  <c r="B10" i="16" s="1"/>
  <c r="AD22" i="1774"/>
  <c r="B17" i="16" s="1"/>
  <c r="M24" i="1774"/>
  <c r="P24" i="1774"/>
  <c r="AB24" i="1774"/>
  <c r="AD6" i="1774"/>
  <c r="B3" i="16" s="1"/>
  <c r="AC24" i="1774"/>
  <c r="AD9" i="1774"/>
  <c r="B6" i="16" s="1"/>
  <c r="AD24" i="1774" l="1"/>
  <c r="B19" i="16" s="1"/>
  <c r="AE10" i="1774" l="1"/>
  <c r="AE19" i="1774"/>
  <c r="AE23" i="1774"/>
  <c r="AE8" i="1774"/>
  <c r="AE6" i="1774"/>
  <c r="AE12" i="1774"/>
  <c r="AE15" i="1774"/>
  <c r="AE9" i="1774"/>
  <c r="AE20" i="1774"/>
  <c r="AE22" i="1774"/>
  <c r="AE14" i="1774"/>
  <c r="AE11" i="1774"/>
  <c r="AE13" i="1774"/>
  <c r="AE18" i="1774"/>
  <c r="AE7" i="1774"/>
  <c r="AE21" i="1774"/>
  <c r="AE16" i="1774"/>
  <c r="AE17" i="1774"/>
  <c r="AG18" i="16" l="1"/>
  <c r="AG17" i="16"/>
  <c r="AG16" i="16"/>
  <c r="AG12" i="16"/>
  <c r="AG13" i="16"/>
  <c r="AG11" i="16"/>
  <c r="AG9" i="16"/>
  <c r="AG8" i="16"/>
  <c r="AG7" i="16"/>
  <c r="AG6" i="16"/>
  <c r="AG5" i="16"/>
  <c r="AG3" i="16"/>
  <c r="AG19" i="16"/>
  <c r="AG15" i="16"/>
  <c r="AG14" i="16"/>
  <c r="AG10" i="16"/>
  <c r="AG4" i="16"/>
</calcChain>
</file>

<file path=xl/sharedStrings.xml><?xml version="1.0" encoding="utf-8"?>
<sst xmlns="http://schemas.openxmlformats.org/spreadsheetml/2006/main" count="5881" uniqueCount="610">
  <si>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</si>
  <si>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</si>
  <si>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</si>
  <si>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</si>
  <si>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</si>
  <si>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</si>
  <si>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</si>
  <si>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</si>
  <si>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</si>
  <si>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</si>
  <si>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</si>
  <si>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</si>
  <si>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</si>
  <si>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</si>
  <si>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</si>
  <si>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</si>
  <si>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</si>
  <si>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</si>
  <si>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</si>
  <si>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</si>
  <si>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</si>
  <si>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</si>
  <si>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</si>
  <si>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</si>
  <si>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</si>
  <si>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</si>
  <si>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</si>
  <si>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</si>
  <si>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</si>
  <si>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</si>
  <si>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</si>
  <si>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</si>
  <si>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</si>
  <si>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</si>
  <si>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</si>
  <si>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</si>
  <si>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</si>
  <si>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</si>
  <si>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</si>
  <si>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</si>
  <si>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</si>
  <si>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</si>
  <si>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</si>
  <si>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</si>
  <si>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</si>
  <si>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</si>
  <si>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</si>
  <si>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</si>
  <si>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</si>
  <si>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</si>
  <si>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</si>
  <si>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</si>
  <si>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</si>
  <si>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</si>
  <si>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</si>
  <si>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</si>
  <si>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</si>
  <si>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</si>
  <si>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</si>
  <si>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</si>
  <si>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</si>
  <si>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</si>
  <si>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</si>
  <si>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</si>
  <si>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</si>
  <si>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</si>
  <si>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</si>
  <si>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</si>
  <si>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</si>
  <si>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</si>
  <si>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</si>
  <si>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</si>
  <si>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</si>
  <si>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</si>
  <si>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</si>
  <si>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</si>
  <si>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</si>
  <si>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</si>
  <si>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</si>
  <si>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</si>
  <si>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</si>
  <si>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</si>
  <si>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</si>
  <si>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</si>
  <si>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</si>
  <si>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</si>
  <si>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</si>
  <si>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</si>
  <si>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</si>
  <si>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</si>
  <si>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</si>
  <si>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</si>
  <si>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</si>
  <si>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</si>
  <si>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</si>
  <si>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</si>
  <si>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</si>
  <si>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</si>
  <si>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</si>
  <si>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</si>
  <si>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</si>
  <si>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</si>
  <si>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</si>
  <si>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</si>
  <si>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</si>
  <si>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</si>
  <si>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</si>
  <si>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</si>
  <si>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</si>
  <si>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</si>
  <si>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</si>
  <si>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</si>
  <si>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</si>
  <si>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</si>
  <si>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</si>
  <si>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</si>
  <si>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</si>
  <si>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</si>
  <si>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SGF2033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</si>
  <si>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</si>
  <si>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</si>
  <si>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</si>
  <si>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</si>
  <si>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SGF2041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</si>
  <si>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</si>
  <si>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</si>
  <si>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</si>
  <si>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SF2255 I/V</t>
    <phoneticPr fontId="2" type="noConversion"/>
  </si>
  <si>
    <t>ADAPTER</t>
    <phoneticPr fontId="2" type="noConversion"/>
  </si>
  <si>
    <t>7301</t>
    <phoneticPr fontId="2" type="noConversion"/>
  </si>
  <si>
    <t>전일 ISSUE 사항(01일)</t>
    <phoneticPr fontId="2" type="noConversion"/>
  </si>
  <si>
    <t>당일 진행 사항(02일)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</si>
  <si>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</si>
  <si>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</si>
  <si>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</si>
  <si>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SGP2030R N/P</t>
    <phoneticPr fontId="2" type="noConversion"/>
  </si>
  <si>
    <t>LEAD GUIDE</t>
    <phoneticPr fontId="2" type="noConversion"/>
  </si>
  <si>
    <t>STOPPER</t>
    <phoneticPr fontId="2" type="noConversion"/>
  </si>
  <si>
    <t>HDB75-M01A1-1L</t>
    <phoneticPr fontId="2" type="noConversion"/>
  </si>
  <si>
    <t>수리후양산</t>
    <phoneticPr fontId="2" type="noConversion"/>
  </si>
  <si>
    <t>수정</t>
    <phoneticPr fontId="2" type="noConversion"/>
  </si>
  <si>
    <t>HDB08NL-78T4</t>
    <phoneticPr fontId="2" type="noConversion"/>
  </si>
  <si>
    <t>HDB08NL-78B1</t>
    <phoneticPr fontId="2" type="noConversion"/>
  </si>
  <si>
    <t>HDB08NL-78L5</t>
    <phoneticPr fontId="2" type="noConversion"/>
  </si>
  <si>
    <t>AMM0890A-KAD-R1</t>
    <phoneticPr fontId="2" type="noConversion"/>
  </si>
  <si>
    <t>COVER</t>
    <phoneticPr fontId="2" type="noConversion"/>
  </si>
  <si>
    <t>K-JR01936-C01AWA</t>
    <phoneticPr fontId="2" type="noConversion"/>
  </si>
  <si>
    <t>SGF2030</t>
    <phoneticPr fontId="2" type="noConversion"/>
  </si>
  <si>
    <t>8301</t>
    <phoneticPr fontId="2" type="noConversion"/>
  </si>
  <si>
    <t>7</t>
    <phoneticPr fontId="2" type="noConversion"/>
  </si>
  <si>
    <t>품  명</t>
    <phoneticPr fontId="2" type="noConversion"/>
  </si>
  <si>
    <t>형체이상</t>
    <phoneticPr fontId="2" type="noConversion"/>
  </si>
  <si>
    <t>엥겔</t>
    <phoneticPr fontId="2" type="noConversion"/>
  </si>
  <si>
    <t>드라이버 교체</t>
    <phoneticPr fontId="2" type="noConversion"/>
  </si>
  <si>
    <t>수리예정</t>
    <phoneticPr fontId="2" type="noConversion"/>
  </si>
  <si>
    <t>SGP2030R</t>
    <phoneticPr fontId="2" type="noConversion"/>
  </si>
  <si>
    <t>72P</t>
    <phoneticPr fontId="2" type="noConversion"/>
  </si>
  <si>
    <t>NP612-316-003#LB</t>
    <phoneticPr fontId="2" type="noConversion"/>
  </si>
  <si>
    <t>NP612-352-002#IN-B</t>
    <phoneticPr fontId="2" type="noConversion"/>
  </si>
  <si>
    <t>AMB07U9A-KAA-R3</t>
    <phoneticPr fontId="2" type="noConversion"/>
  </si>
  <si>
    <t>NP413-77549#IN-B</t>
    <phoneticPr fontId="2" type="noConversion"/>
  </si>
  <si>
    <t>AMB0355A-KAA-R8</t>
    <phoneticPr fontId="2" type="noConversion"/>
  </si>
  <si>
    <t>게이트막힘수리</t>
    <phoneticPr fontId="2" type="noConversion"/>
  </si>
  <si>
    <t>NP413-187-092#IN-B-1</t>
    <phoneticPr fontId="2" type="noConversion"/>
  </si>
  <si>
    <t>NP413-187-092#IN-A</t>
    <phoneticPr fontId="2" type="noConversion"/>
  </si>
  <si>
    <t>AMB07M4A-KAA-R1</t>
    <phoneticPr fontId="2" type="noConversion"/>
  </si>
  <si>
    <t>AMB0443A-KAA-R1</t>
    <phoneticPr fontId="2" type="noConversion"/>
  </si>
  <si>
    <r>
      <t>2020년 07월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</si>
  <si>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07월 호기별 가동현황</t>
    <phoneticPr fontId="2" type="noConversion"/>
  </si>
  <si>
    <t>F/ADAPTER</t>
    <phoneticPr fontId="2" type="noConversion"/>
  </si>
  <si>
    <t>AMB2071B-KAA-R3</t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</si>
  <si>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</si>
  <si>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</si>
  <si>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</si>
  <si>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2</t>
    <phoneticPr fontId="2" type="noConversion"/>
  </si>
  <si>
    <t>F/A</t>
    <phoneticPr fontId="2" type="noConversion"/>
  </si>
  <si>
    <t>치수확인후양산</t>
    <phoneticPr fontId="2" type="noConversion"/>
  </si>
  <si>
    <t>8</t>
    <phoneticPr fontId="2" type="noConversion"/>
  </si>
  <si>
    <t>HDB75-M01A1-1L</t>
    <phoneticPr fontId="2" type="noConversion"/>
  </si>
  <si>
    <t>NP413-187-092#IN-B-1</t>
    <phoneticPr fontId="2" type="noConversion"/>
  </si>
  <si>
    <t>발주분양산</t>
    <phoneticPr fontId="2" type="noConversion"/>
  </si>
  <si>
    <t>4</t>
    <phoneticPr fontId="2" type="noConversion"/>
  </si>
  <si>
    <t>NP413-187-092#IN-A</t>
    <phoneticPr fontId="2" type="noConversion"/>
  </si>
  <si>
    <t>AMB07M4A-KAA-R1</t>
    <phoneticPr fontId="2" type="noConversion"/>
  </si>
  <si>
    <t>12</t>
    <phoneticPr fontId="2" type="noConversion"/>
  </si>
  <si>
    <t>ADAPTER</t>
    <phoneticPr fontId="2" type="noConversion"/>
  </si>
  <si>
    <t>AMB0443A-KAA-R1</t>
    <phoneticPr fontId="2" type="noConversion"/>
  </si>
  <si>
    <t>13</t>
    <phoneticPr fontId="2" type="noConversion"/>
  </si>
  <si>
    <t>STOPPER</t>
    <phoneticPr fontId="2" type="noConversion"/>
  </si>
  <si>
    <t>AM0164A-A</t>
    <phoneticPr fontId="2" type="noConversion"/>
  </si>
  <si>
    <t>38P</t>
    <phoneticPr fontId="2" type="noConversion"/>
  </si>
  <si>
    <t>72P</t>
    <phoneticPr fontId="2" type="noConversion"/>
  </si>
  <si>
    <t>DI</t>
    <phoneticPr fontId="2" type="noConversion"/>
  </si>
  <si>
    <t>16</t>
    <phoneticPr fontId="2" type="noConversion"/>
  </si>
  <si>
    <t>AMB0150A-KAA-R1</t>
    <phoneticPr fontId="2" type="noConversion"/>
  </si>
  <si>
    <t>MCS</t>
    <phoneticPr fontId="2" type="noConversion"/>
  </si>
  <si>
    <t>BASE</t>
    <phoneticPr fontId="2" type="noConversion"/>
  </si>
  <si>
    <t>NP413-136-097#GP</t>
    <phoneticPr fontId="2" type="noConversion"/>
  </si>
  <si>
    <t>AYE</t>
    <phoneticPr fontId="2" type="noConversion"/>
  </si>
  <si>
    <t>AMB07P2A-KAA-R1</t>
    <phoneticPr fontId="2" type="noConversion"/>
  </si>
  <si>
    <t>1</t>
    <phoneticPr fontId="2" type="noConversion"/>
  </si>
  <si>
    <r>
      <t>2020년 07월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</si>
  <si>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AMB07P2A-KAA-R1</t>
    <phoneticPr fontId="2" type="noConversion"/>
  </si>
  <si>
    <t>AMB07W9A-KAA-R2</t>
    <phoneticPr fontId="2" type="noConversion"/>
  </si>
  <si>
    <t>AMB0450A-KAA-R2</t>
    <phoneticPr fontId="2" type="noConversion"/>
  </si>
  <si>
    <t>전일 ISSUE 사항(02일)</t>
    <phoneticPr fontId="2" type="noConversion"/>
  </si>
  <si>
    <t>AMB07W9A-KAA-R2</t>
    <phoneticPr fontId="2" type="noConversion"/>
  </si>
  <si>
    <t>BURR정지</t>
    <phoneticPr fontId="2" type="noConversion"/>
  </si>
  <si>
    <t>발주분양산-&gt;오조립수리</t>
    <phoneticPr fontId="2" type="noConversion"/>
  </si>
  <si>
    <t>HDB08NL-78L5(4C)</t>
    <phoneticPr fontId="2" type="noConversion"/>
  </si>
  <si>
    <t>수리후양산</t>
    <phoneticPr fontId="2" type="noConversion"/>
  </si>
  <si>
    <t>HICON</t>
    <phoneticPr fontId="2" type="noConversion"/>
  </si>
  <si>
    <t>3</t>
    <phoneticPr fontId="2" type="noConversion"/>
  </si>
  <si>
    <t>LEAD GUIDE</t>
    <phoneticPr fontId="2" type="noConversion"/>
  </si>
  <si>
    <t>AMB0450A-KAA-R2</t>
    <phoneticPr fontId="2" type="noConversion"/>
  </si>
  <si>
    <t>발주분양산-&gt;오조립정지</t>
    <phoneticPr fontId="2" type="noConversion"/>
  </si>
  <si>
    <t>NP413-136-097#GP</t>
    <phoneticPr fontId="2" type="noConversion"/>
  </si>
  <si>
    <t>12</t>
    <phoneticPr fontId="2" type="noConversion"/>
  </si>
  <si>
    <t>당일 진행 사항(03일)</t>
    <phoneticPr fontId="2" type="noConversion"/>
  </si>
  <si>
    <t>AMC0821A-KAA-R1</t>
    <phoneticPr fontId="2" type="noConversion"/>
  </si>
  <si>
    <t>2C BASE</t>
    <phoneticPr fontId="2" type="noConversion"/>
  </si>
  <si>
    <t>NP628-1056-001#IN-A</t>
    <phoneticPr fontId="2" type="noConversion"/>
  </si>
  <si>
    <t>AYE</t>
    <phoneticPr fontId="2" type="noConversion"/>
  </si>
  <si>
    <t>4</t>
    <phoneticPr fontId="2" type="noConversion"/>
  </si>
  <si>
    <t>9</t>
    <phoneticPr fontId="2" type="noConversion"/>
  </si>
  <si>
    <t>FRONT/REAR</t>
    <phoneticPr fontId="2" type="noConversion"/>
  </si>
  <si>
    <t>AMM0899A-KAB-R1</t>
    <phoneticPr fontId="2" type="noConversion"/>
  </si>
  <si>
    <t>13</t>
    <phoneticPr fontId="2" type="noConversion"/>
  </si>
  <si>
    <t>BASE</t>
    <phoneticPr fontId="2" type="noConversion"/>
  </si>
  <si>
    <t>AMB0150A-KAA-R1</t>
    <phoneticPr fontId="2" type="noConversion"/>
  </si>
  <si>
    <t>SAMPLE 진행 사항(02일)</t>
    <phoneticPr fontId="2" type="noConversion"/>
  </si>
  <si>
    <t>HDB08NL-78T4(2차)</t>
    <phoneticPr fontId="2" type="noConversion"/>
  </si>
  <si>
    <t>HDB08NL-78B1(2차)</t>
    <phoneticPr fontId="2" type="noConversion"/>
  </si>
  <si>
    <t>HDB08NL-78L5(2차)</t>
    <phoneticPr fontId="2" type="noConversion"/>
  </si>
  <si>
    <t>STOPPER</t>
    <phoneticPr fontId="2" type="noConversion"/>
  </si>
  <si>
    <t>SGF2041</t>
    <phoneticPr fontId="2" type="noConversion"/>
  </si>
  <si>
    <t>신작</t>
    <phoneticPr fontId="2" type="noConversion"/>
  </si>
  <si>
    <t>상측박힘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</si>
  <si>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</si>
  <si>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</si>
  <si>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07월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</si>
  <si>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G1300H</t>
    <phoneticPr fontId="2" type="noConversion"/>
  </si>
  <si>
    <t>2*2</t>
    <phoneticPr fontId="2" type="noConversion"/>
  </si>
  <si>
    <t>SF2255</t>
    <phoneticPr fontId="2" type="noConversion"/>
  </si>
  <si>
    <t>AMB0450A-KAA-R1</t>
    <phoneticPr fontId="2" type="noConversion"/>
  </si>
  <si>
    <t>전일 ISSUE 사항(03일)</t>
    <phoneticPr fontId="2" type="noConversion"/>
  </si>
  <si>
    <t>BURR수리</t>
    <phoneticPr fontId="2" type="noConversion"/>
  </si>
  <si>
    <t>BASE</t>
    <phoneticPr fontId="2" type="noConversion"/>
  </si>
  <si>
    <t>발주분양산-&gt;휨불량</t>
    <phoneticPr fontId="2" type="noConversion"/>
  </si>
  <si>
    <t>수리후양산-&gt;제품눌림정지</t>
    <phoneticPr fontId="2" type="noConversion"/>
  </si>
  <si>
    <t>HDB75-M01A1</t>
    <phoneticPr fontId="2" type="noConversion"/>
  </si>
  <si>
    <t>9</t>
    <phoneticPr fontId="2" type="noConversion"/>
  </si>
  <si>
    <t>FRONT/REAR</t>
    <phoneticPr fontId="2" type="noConversion"/>
  </si>
  <si>
    <t>SST</t>
    <phoneticPr fontId="2" type="noConversion"/>
  </si>
  <si>
    <t>13</t>
    <phoneticPr fontId="2" type="noConversion"/>
  </si>
  <si>
    <t>ROLLER/LATCH</t>
    <phoneticPr fontId="2" type="noConversion"/>
  </si>
  <si>
    <t>발주분양산-&gt;오조립</t>
    <phoneticPr fontId="2" type="noConversion"/>
  </si>
  <si>
    <t>당일 진행 사항(04일)</t>
    <phoneticPr fontId="2" type="noConversion"/>
  </si>
  <si>
    <t>AMB0201C-JAA-R3</t>
    <phoneticPr fontId="2" type="noConversion"/>
  </si>
  <si>
    <t>AMB0158A-KAA-R1</t>
    <phoneticPr fontId="2" type="noConversion"/>
  </si>
  <si>
    <t>NP628-1056-001#IN-B</t>
    <phoneticPr fontId="2" type="noConversion"/>
  </si>
  <si>
    <t>KR6125-A048AD</t>
    <phoneticPr fontId="2" type="noConversion"/>
  </si>
  <si>
    <t>1</t>
    <phoneticPr fontId="2" type="noConversion"/>
  </si>
  <si>
    <t>ADAPTER</t>
    <phoneticPr fontId="2" type="noConversion"/>
  </si>
  <si>
    <t>SAMPLE 진행 사항(03일)</t>
    <phoneticPr fontId="2" type="noConversion"/>
  </si>
  <si>
    <t>AMB0129A-KAA-R3</t>
    <phoneticPr fontId="2" type="noConversion"/>
  </si>
  <si>
    <t>SGF2050</t>
    <phoneticPr fontId="2" type="noConversion"/>
  </si>
  <si>
    <t>뜯김</t>
    <phoneticPr fontId="2" type="noConversion"/>
  </si>
  <si>
    <t>K-AR3462-2B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</si>
  <si>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</si>
  <si>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</si>
  <si>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07월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</si>
  <si>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LG35</t>
    <phoneticPr fontId="2" type="noConversion"/>
  </si>
  <si>
    <t>전일 ISSUE 사항(04일)</t>
    <phoneticPr fontId="2" type="noConversion"/>
  </si>
  <si>
    <t>1C코아파손</t>
    <phoneticPr fontId="2" type="noConversion"/>
  </si>
  <si>
    <t>HDB08NL-78B1(4C)</t>
    <phoneticPr fontId="2" type="noConversion"/>
  </si>
  <si>
    <t>뜯김수리</t>
    <phoneticPr fontId="2" type="noConversion"/>
  </si>
  <si>
    <t>15</t>
    <phoneticPr fontId="2" type="noConversion"/>
  </si>
  <si>
    <t>당일 진행 사항(06일)</t>
    <phoneticPr fontId="2" type="noConversion"/>
  </si>
  <si>
    <t>KR6303-ER01TA/E01TA</t>
    <phoneticPr fontId="2" type="noConversion"/>
  </si>
  <si>
    <t>6</t>
    <phoneticPr fontId="2" type="noConversion"/>
  </si>
  <si>
    <t>LATCH</t>
    <phoneticPr fontId="2" type="noConversion"/>
  </si>
  <si>
    <t>K-JR01920-C01AWA</t>
    <phoneticPr fontId="2" type="noConversion"/>
  </si>
  <si>
    <t>AMM0890A-KAA-R1</t>
    <phoneticPr fontId="2" type="noConversion"/>
  </si>
  <si>
    <t>SAMPLE 진행 사항(04일)</t>
    <phoneticPr fontId="2" type="noConversion"/>
  </si>
  <si>
    <t>SLIDER</t>
    <phoneticPr fontId="2" type="noConversion"/>
  </si>
  <si>
    <t>HDB08NL-78S2(2차)</t>
    <phoneticPr fontId="2" type="noConversion"/>
  </si>
  <si>
    <t>SGF2030 N/P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</si>
  <si>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</si>
  <si>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</si>
  <si>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07월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</si>
  <si>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LATCH/ROLLER</t>
    <phoneticPr fontId="2" type="noConversion"/>
  </si>
  <si>
    <t>KR6303-ER01TA/ER</t>
    <phoneticPr fontId="2" type="noConversion"/>
  </si>
  <si>
    <t>JD4901</t>
    <phoneticPr fontId="2" type="noConversion"/>
  </si>
  <si>
    <t>전일 ISSUE 사항(06일)</t>
    <phoneticPr fontId="2" type="noConversion"/>
  </si>
  <si>
    <t>수리후양산-&gt;1C코아파손-&gt;코아파손정지</t>
    <phoneticPr fontId="2" type="noConversion"/>
  </si>
  <si>
    <t>세척후양산</t>
    <phoneticPr fontId="2" type="noConversion"/>
  </si>
  <si>
    <t>발주분양산-&gt;뜯김2회정지</t>
    <phoneticPr fontId="2" type="noConversion"/>
  </si>
  <si>
    <t>당일 진행 사항(07일)</t>
    <phoneticPr fontId="2" type="noConversion"/>
  </si>
  <si>
    <t>SAMPLE 진행 사항(06일)</t>
    <phoneticPr fontId="2" type="noConversion"/>
  </si>
  <si>
    <t>KR6458AB456CA</t>
    <phoneticPr fontId="2" type="noConversion"/>
  </si>
  <si>
    <t>제품눌림 사고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</si>
  <si>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</si>
  <si>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</si>
  <si>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07월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</si>
  <si>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FLOAT</t>
    <phoneticPr fontId="2" type="noConversion"/>
  </si>
  <si>
    <t>001-906-50</t>
    <phoneticPr fontId="2" type="noConversion"/>
  </si>
  <si>
    <t>전일 ISSUE 사항(07일)</t>
    <phoneticPr fontId="2" type="noConversion"/>
  </si>
  <si>
    <t>에젝타수리</t>
    <phoneticPr fontId="2" type="noConversion"/>
  </si>
  <si>
    <t>코아파손수리-&gt;뜯김정지</t>
    <phoneticPr fontId="2" type="noConversion"/>
  </si>
  <si>
    <t>당일 진행 사항(08일)</t>
    <phoneticPr fontId="2" type="noConversion"/>
  </si>
  <si>
    <t>KR6156FA841YA</t>
    <phoneticPr fontId="2" type="noConversion"/>
  </si>
  <si>
    <t>SAMPLE 진행 사항(07일)</t>
    <phoneticPr fontId="2" type="noConversion"/>
  </si>
  <si>
    <t>이관금형</t>
    <phoneticPr fontId="2" type="noConversion"/>
  </si>
  <si>
    <t>14</t>
    <phoneticPr fontId="2" type="noConversion"/>
  </si>
  <si>
    <t>HDB75-M01A1-1L(4C)</t>
    <phoneticPr fontId="2" type="noConversion"/>
  </si>
  <si>
    <t>HDB75-M01A5-1L(4C)</t>
    <phoneticPr fontId="2" type="noConversion"/>
  </si>
  <si>
    <t>AMB0222A-KAA-R2</t>
    <phoneticPr fontId="2" type="noConversion"/>
  </si>
  <si>
    <t>금형 수리 내역(07일)</t>
    <phoneticPr fontId="2" type="noConversion"/>
  </si>
  <si>
    <r>
      <t>2020년 07월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</si>
  <si>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전일 ISSUE 사항(08일)</t>
    <phoneticPr fontId="2" type="noConversion"/>
  </si>
  <si>
    <t>수리후양산-&gt;BURR수리</t>
    <phoneticPr fontId="2" type="noConversion"/>
  </si>
  <si>
    <t>수리후양산-&gt;뜯김정지</t>
    <phoneticPr fontId="2" type="noConversion"/>
  </si>
  <si>
    <t>발주분양산-&gt;코아파손수리</t>
    <phoneticPr fontId="2" type="noConversion"/>
  </si>
  <si>
    <t>발주분양산-&gt;치수NG</t>
    <phoneticPr fontId="2" type="noConversion"/>
  </si>
  <si>
    <t>당일 진행 사항(09일)</t>
    <phoneticPr fontId="2" type="noConversion"/>
  </si>
  <si>
    <t>K-AR3533-1A</t>
    <phoneticPr fontId="2" type="noConversion"/>
  </si>
  <si>
    <t>K-AR3532-1A</t>
    <phoneticPr fontId="2" type="noConversion"/>
  </si>
  <si>
    <t>K-AR3531-1A</t>
    <phoneticPr fontId="2" type="noConversion"/>
  </si>
  <si>
    <t>K-AR3534-1A</t>
    <phoneticPr fontId="2" type="noConversion"/>
  </si>
  <si>
    <t>SAMPLE 진행 사항(08일)</t>
    <phoneticPr fontId="2" type="noConversion"/>
  </si>
  <si>
    <t>AMB0129A-KAA-RX</t>
    <phoneticPr fontId="2" type="noConversion"/>
  </si>
  <si>
    <t>HDB08NL-78S2(4C)</t>
    <phoneticPr fontId="2" type="noConversion"/>
  </si>
  <si>
    <t>AMB20E4B-KAA-R2</t>
    <phoneticPr fontId="2" type="noConversion"/>
  </si>
  <si>
    <t>요청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</si>
  <si>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</si>
  <si>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</si>
  <si>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t>설비 점검 내역(07일)</t>
    <phoneticPr fontId="2" type="noConversion"/>
  </si>
  <si>
    <r>
      <t>2020년 07월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</si>
  <si>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SGF2033 N/P</t>
    <phoneticPr fontId="2" type="noConversion"/>
  </si>
  <si>
    <t xml:space="preserve">SGF2033 </t>
    <phoneticPr fontId="2" type="noConversion"/>
  </si>
  <si>
    <t>전일 ISSUE 사항(09일)</t>
    <phoneticPr fontId="2" type="noConversion"/>
  </si>
  <si>
    <t>런너수리후양산</t>
    <phoneticPr fontId="2" type="noConversion"/>
  </si>
  <si>
    <t>설비이동-&gt;1C막음(미성형)</t>
    <phoneticPr fontId="2" type="noConversion"/>
  </si>
  <si>
    <t>발주분양산-&gt;뜯김2회-&gt;BURR정지</t>
    <phoneticPr fontId="2" type="noConversion"/>
  </si>
  <si>
    <t>당일 진행 사항(10일)</t>
    <phoneticPr fontId="2" type="noConversion"/>
  </si>
  <si>
    <t>5</t>
    <phoneticPr fontId="2" type="noConversion"/>
  </si>
  <si>
    <t>HDB08NL-78B4(4C)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</si>
  <si>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</si>
  <si>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</si>
  <si>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</si>
  <si>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07월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</si>
  <si>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</si>
  <si>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당일 진행 사항(11일)</t>
    <phoneticPr fontId="2" type="noConversion"/>
  </si>
  <si>
    <t>KR6197BGF254QA</t>
    <phoneticPr fontId="2" type="noConversion"/>
  </si>
  <si>
    <t>NEXT</t>
    <phoneticPr fontId="2" type="noConversion"/>
  </si>
  <si>
    <t>H-FLOATING</t>
    <phoneticPr fontId="2" type="noConversion"/>
  </si>
  <si>
    <t>ODT</t>
    <phoneticPr fontId="2" type="noConversion"/>
  </si>
  <si>
    <t>10</t>
    <phoneticPr fontId="2" type="noConversion"/>
  </si>
  <si>
    <t>LED A</t>
    <phoneticPr fontId="2" type="noConversion"/>
  </si>
  <si>
    <t>금형안닫힘 2회진행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</si>
  <si>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</si>
  <si>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</si>
  <si>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</si>
  <si>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07월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</si>
  <si>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FLOATING</t>
    <phoneticPr fontId="2" type="noConversion"/>
  </si>
  <si>
    <t>H과제 FLOATING_A1-01</t>
    <phoneticPr fontId="2" type="noConversion"/>
  </si>
  <si>
    <t>SW-003071</t>
    <phoneticPr fontId="2" type="noConversion"/>
  </si>
  <si>
    <t>NORYL</t>
    <phoneticPr fontId="2" type="noConversion"/>
  </si>
  <si>
    <t>전일 ISSUE 사항(11일)</t>
    <phoneticPr fontId="2" type="noConversion"/>
  </si>
  <si>
    <t>H과제</t>
    <phoneticPr fontId="2" type="noConversion"/>
  </si>
  <si>
    <t>당일 진행 사항(13일)</t>
    <phoneticPr fontId="2" type="noConversion"/>
  </si>
  <si>
    <t>AMM0827A-KAA-R2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</si>
  <si>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</si>
  <si>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</si>
  <si>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</si>
  <si>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07월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</si>
  <si>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BLUE</t>
    <phoneticPr fontId="2" type="noConversion"/>
  </si>
  <si>
    <t>HDB08PL-96S2</t>
    <phoneticPr fontId="2" type="noConversion"/>
  </si>
  <si>
    <t>HDB08PL-96L5</t>
    <phoneticPr fontId="2" type="noConversion"/>
  </si>
  <si>
    <t>치수이상정지</t>
    <phoneticPr fontId="2" type="noConversion"/>
  </si>
  <si>
    <t>발주분양산-&gt;코아파손3회정지</t>
    <phoneticPr fontId="2" type="noConversion"/>
  </si>
  <si>
    <t>발주분양산-&gt;설비이상정지</t>
    <phoneticPr fontId="2" type="noConversion"/>
  </si>
  <si>
    <t>당일 진행 사항(14일)</t>
    <phoneticPr fontId="2" type="noConversion"/>
  </si>
  <si>
    <t>전일 ISSUE 사항(13일)</t>
    <phoneticPr fontId="2" type="noConversion"/>
  </si>
  <si>
    <t>GUIDE</t>
    <phoneticPr fontId="2" type="noConversion"/>
  </si>
  <si>
    <t>3159016</t>
    <phoneticPr fontId="2" type="noConversion"/>
  </si>
  <si>
    <t>288C84A-B142A</t>
    <phoneticPr fontId="2" type="noConversion"/>
  </si>
  <si>
    <t>OKINS</t>
    <phoneticPr fontId="2" type="noConversion"/>
  </si>
  <si>
    <t>KR6197-06KA</t>
    <phoneticPr fontId="2" type="noConversion"/>
  </si>
  <si>
    <t>SHAFT</t>
    <phoneticPr fontId="2" type="noConversion"/>
  </si>
  <si>
    <t>3107002</t>
    <phoneticPr fontId="2" type="noConversion"/>
  </si>
  <si>
    <t>CAM</t>
    <phoneticPr fontId="2" type="noConversion"/>
  </si>
  <si>
    <t>SAMPLE 진행 사항(13일)</t>
    <phoneticPr fontId="2" type="noConversion"/>
  </si>
  <si>
    <t>KR6408-GA480PNB</t>
    <phoneticPr fontId="2" type="noConversion"/>
  </si>
  <si>
    <t>SF2250EPR N/P</t>
    <phoneticPr fontId="2" type="noConversion"/>
  </si>
  <si>
    <t>조건변경</t>
    <phoneticPr fontId="2" type="noConversion"/>
  </si>
  <si>
    <t>조건변경 3종</t>
    <phoneticPr fontId="2" type="noConversion"/>
  </si>
  <si>
    <t>KR6166-B299YA(증)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</si>
  <si>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</si>
  <si>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</si>
  <si>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2020년 07월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</si>
  <si>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JCL3030</t>
    <phoneticPr fontId="2" type="noConversion"/>
  </si>
  <si>
    <t>전일 ISSUE 사항(14일)</t>
    <phoneticPr fontId="2" type="noConversion"/>
  </si>
  <si>
    <t>치수확인후양산-&gt;치수NG</t>
    <phoneticPr fontId="2" type="noConversion"/>
  </si>
  <si>
    <t>수리후양산-&gt;코아파손4회정지</t>
    <phoneticPr fontId="2" type="noConversion"/>
  </si>
  <si>
    <t>당일 진행 사항(15일)</t>
    <phoneticPr fontId="2" type="noConversion"/>
  </si>
  <si>
    <t>HDB08PL-96B1</t>
    <phoneticPr fontId="2" type="noConversion"/>
  </si>
  <si>
    <t>HDB08PL-96T4</t>
    <phoneticPr fontId="2" type="noConversion"/>
  </si>
  <si>
    <t>AMB20E3A-KAA-R1</t>
    <phoneticPr fontId="2" type="noConversion"/>
  </si>
  <si>
    <t>SAMPLE 진행 사항(14일)</t>
    <phoneticPr fontId="2" type="noConversion"/>
  </si>
  <si>
    <t>치수NG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</si>
  <si>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</si>
  <si>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</si>
  <si>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07월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</si>
  <si>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AMB20E3A-KA-R1</t>
    <phoneticPr fontId="2" type="noConversion"/>
  </si>
  <si>
    <t>AMM0892A-KAA-R1</t>
    <phoneticPr fontId="2" type="noConversion"/>
  </si>
  <si>
    <t>LATCH PLATE</t>
    <phoneticPr fontId="2" type="noConversion"/>
  </si>
  <si>
    <t>AMB09F4A-KAA-R1</t>
    <phoneticPr fontId="2" type="noConversion"/>
  </si>
  <si>
    <t>전일 ISSUE 사항(15일)</t>
    <phoneticPr fontId="2" type="noConversion"/>
  </si>
  <si>
    <t>치수확인후양산-&gt;뜯김-&gt;코아파손-&gt;치수NG정지</t>
    <phoneticPr fontId="2" type="noConversion"/>
  </si>
  <si>
    <t>당일 진행 사항(16일)</t>
    <phoneticPr fontId="2" type="noConversion"/>
  </si>
  <si>
    <t>AMB20E4A-KAA-R6</t>
    <phoneticPr fontId="2" type="noConversion"/>
  </si>
  <si>
    <t>KR6202-06KA</t>
    <phoneticPr fontId="2" type="noConversion"/>
  </si>
  <si>
    <t>SP 1/2</t>
    <phoneticPr fontId="2" type="noConversion"/>
  </si>
  <si>
    <t>AMB39L1A/B-KAA-R1</t>
    <phoneticPr fontId="2" type="noConversion"/>
  </si>
  <si>
    <t>AMB0471A-KAA-R1</t>
    <phoneticPr fontId="2" type="noConversion"/>
  </si>
  <si>
    <t>SAMPLE 진행 사항(15일)</t>
    <phoneticPr fontId="2" type="noConversion"/>
  </si>
  <si>
    <t>AMM0899A-KAB-R2</t>
    <phoneticPr fontId="2" type="noConversion"/>
  </si>
  <si>
    <t>원재료</t>
    <phoneticPr fontId="2" type="noConversion"/>
  </si>
  <si>
    <t>HDB75-M01A2(4C)</t>
    <phoneticPr fontId="2" type="noConversion"/>
  </si>
  <si>
    <t>증작</t>
    <phoneticPr fontId="2" type="noConversion"/>
  </si>
  <si>
    <t>8301 10:1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</si>
  <si>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</si>
  <si>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</si>
  <si>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07월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</si>
  <si>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AMB20E4A-KA-R6</t>
    <phoneticPr fontId="2" type="noConversion"/>
  </si>
  <si>
    <t>2*1</t>
    <phoneticPr fontId="2" type="noConversion"/>
  </si>
  <si>
    <t>전일 ISSUE 사항(16일)</t>
    <phoneticPr fontId="2" type="noConversion"/>
  </si>
  <si>
    <t>발주분양산-&gt;BURR-&gt;코아파손정지</t>
    <phoneticPr fontId="2" type="noConversion"/>
  </si>
  <si>
    <t>당일 진행 사항(17일)</t>
    <phoneticPr fontId="2" type="noConversion"/>
  </si>
  <si>
    <t>SAMPLE 진행 사항(16일)</t>
    <phoneticPr fontId="2" type="noConversion"/>
  </si>
  <si>
    <t>288C84A-B125A</t>
    <phoneticPr fontId="2" type="noConversion"/>
  </si>
  <si>
    <t>8301:7301 10:1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</si>
  <si>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</si>
  <si>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</si>
  <si>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07월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</si>
  <si>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</si>
  <si>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형상이상정지</t>
    <phoneticPr fontId="2" type="noConversion"/>
  </si>
  <si>
    <t>수리후양산-&gt;코아파손정지</t>
    <phoneticPr fontId="2" type="noConversion"/>
  </si>
  <si>
    <t>당일 진행 사항(18일)</t>
    <phoneticPr fontId="2" type="noConversion"/>
  </si>
  <si>
    <t>SAMPLE 진행 사항(17일)</t>
    <phoneticPr fontId="2" type="noConversion"/>
  </si>
  <si>
    <t>HDB75-M01A4-1</t>
    <phoneticPr fontId="2" type="noConversion"/>
  </si>
  <si>
    <t>치수NG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</si>
  <si>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</si>
  <si>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</si>
  <si>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07월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</si>
  <si>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</si>
  <si>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발주분양산-&gt;노즐막힘정지</t>
    <phoneticPr fontId="2" type="noConversion"/>
  </si>
  <si>
    <t>AMM0822A-KAB-R1</t>
    <phoneticPr fontId="2" type="noConversion"/>
  </si>
  <si>
    <t>당일 진행 사항(20일)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</si>
  <si>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</si>
  <si>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</si>
  <si>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</si>
  <si>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2020년 07월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</si>
  <si>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KR6197-GP297QA</t>
    <phoneticPr fontId="2" type="noConversion"/>
  </si>
  <si>
    <t>K-JR01734AC180TD</t>
    <phoneticPr fontId="2" type="noConversion"/>
  </si>
  <si>
    <t>전일 ISSUE 사항(20일)</t>
    <phoneticPr fontId="2" type="noConversion"/>
  </si>
  <si>
    <t>당일 진행 사항(21일)</t>
    <phoneticPr fontId="2" type="noConversion"/>
  </si>
  <si>
    <t>KR6197HA297YA</t>
    <phoneticPr fontId="2" type="noConversion"/>
  </si>
  <si>
    <t>AAM0818D-KAB-R1</t>
    <phoneticPr fontId="2" type="noConversion"/>
  </si>
  <si>
    <t>K-JR01734AB180UB</t>
    <phoneticPr fontId="2" type="noConversion"/>
  </si>
  <si>
    <t>KR6414-B414UA</t>
    <phoneticPr fontId="2" type="noConversion"/>
  </si>
  <si>
    <t>SAMPLE 진행 사항(20일)</t>
    <phoneticPr fontId="2" type="noConversion"/>
  </si>
  <si>
    <t>K-AR3463-1A</t>
    <phoneticPr fontId="2" type="noConversion"/>
  </si>
  <si>
    <t>치수확인</t>
    <phoneticPr fontId="2" type="noConversion"/>
  </si>
  <si>
    <t>이관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</si>
  <si>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</si>
  <si>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</si>
  <si>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07월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</si>
  <si>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AAM0818D-KAB-R3</t>
    <phoneticPr fontId="2" type="noConversion"/>
  </si>
  <si>
    <t>GN2330</t>
    <phoneticPr fontId="2" type="noConversion"/>
  </si>
  <si>
    <t>전일 ISSUE 사항(21일)</t>
    <phoneticPr fontId="2" type="noConversion"/>
  </si>
  <si>
    <t>세척후양산-&gt;칼퀴이상수리</t>
    <phoneticPr fontId="2" type="noConversion"/>
  </si>
  <si>
    <t>세척후양산-&gt;상측박힘수리</t>
    <phoneticPr fontId="2" type="noConversion"/>
  </si>
  <si>
    <t>당일 진행 사항(22일)</t>
    <phoneticPr fontId="2" type="noConversion"/>
  </si>
  <si>
    <t>발주분양산-&gt;하측박힘수리-&gt;코아파손2회정지</t>
    <phoneticPr fontId="2" type="noConversion"/>
  </si>
  <si>
    <t>SAMPLE 진행 사항(21일)</t>
    <phoneticPr fontId="2" type="noConversion"/>
  </si>
  <si>
    <t>K-AR3464-1A</t>
    <phoneticPr fontId="2" type="noConversion"/>
  </si>
  <si>
    <t>금형 수리 내역(21일)</t>
    <phoneticPr fontId="2" type="noConversion"/>
  </si>
  <si>
    <t>HDB75-M01A4-1(4C)</t>
    <phoneticPr fontId="2" type="noConversion"/>
  </si>
  <si>
    <t>설비 점검 내역(21일)</t>
    <phoneticPr fontId="2" type="noConversion"/>
  </si>
  <si>
    <r>
      <t>2020년 07월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</si>
  <si>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NP413-254-056#IN-A</t>
    <phoneticPr fontId="2" type="noConversion"/>
  </si>
  <si>
    <t>SGF2041 N/P</t>
    <phoneticPr fontId="2" type="noConversion"/>
  </si>
  <si>
    <t>OK75SSD-050-T32-BA-1</t>
    <phoneticPr fontId="2" type="noConversion"/>
  </si>
  <si>
    <t>전일 ISSUE 사항(22일)</t>
    <phoneticPr fontId="2" type="noConversion"/>
  </si>
  <si>
    <t>당일 진행 사항(23일)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</si>
  <si>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</si>
  <si>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</si>
  <si>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</si>
  <si>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07월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</si>
  <si>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전일 ISSUE 사항(23일)</t>
    <phoneticPr fontId="2" type="noConversion"/>
  </si>
  <si>
    <t>코아파손2회정지</t>
    <phoneticPr fontId="2" type="noConversion"/>
  </si>
  <si>
    <t>수리후양산-&gt;노즐막힘정지</t>
    <phoneticPr fontId="2" type="noConversion"/>
  </si>
  <si>
    <t>당일 진행 사항(24일)</t>
    <phoneticPr fontId="2" type="noConversion"/>
  </si>
  <si>
    <t>SAMPLE 진행 사항(23일)</t>
    <phoneticPr fontId="2" type="noConversion"/>
  </si>
  <si>
    <t>NP612-110-007#IN-A</t>
    <phoneticPr fontId="2" type="noConversion"/>
  </si>
  <si>
    <t>NP612-110-007#IN-B</t>
    <phoneticPr fontId="2" type="noConversion"/>
  </si>
  <si>
    <t>NP612-110-007#LB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</si>
  <si>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</si>
  <si>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</si>
  <si>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07월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</si>
  <si>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KR6414-D414PA</t>
    <phoneticPr fontId="2" type="noConversion"/>
  </si>
  <si>
    <t>AM0833B-K</t>
    <phoneticPr fontId="2" type="noConversion"/>
  </si>
  <si>
    <t>전일 ISSUE 사항(24일)</t>
    <phoneticPr fontId="2" type="noConversion"/>
  </si>
  <si>
    <t>당일 진행 사항(27일)</t>
    <phoneticPr fontId="2" type="noConversion"/>
  </si>
  <si>
    <t>28P(4POST)</t>
    <phoneticPr fontId="2" type="noConversion"/>
  </si>
  <si>
    <t>SAMPLE 진행 사항(24일)</t>
    <phoneticPr fontId="2" type="noConversion"/>
  </si>
  <si>
    <t>AMB0129A-KAA-R5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</si>
  <si>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</si>
  <si>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</si>
  <si>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2020년 07월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</si>
  <si>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KR6408-E01TA</t>
    <phoneticPr fontId="2" type="noConversion"/>
  </si>
  <si>
    <t>28P</t>
    <phoneticPr fontId="2" type="noConversion"/>
  </si>
  <si>
    <t>전일 ISSUE 사항(27일)</t>
    <phoneticPr fontId="2" type="noConversion"/>
  </si>
  <si>
    <t>BURR3회수리-&gt;1C막음</t>
    <phoneticPr fontId="2" type="noConversion"/>
  </si>
  <si>
    <t>L/G</t>
    <phoneticPr fontId="2" type="noConversion"/>
  </si>
  <si>
    <t>상측박힘수리</t>
    <phoneticPr fontId="2" type="noConversion"/>
  </si>
  <si>
    <t>코아파손정지</t>
    <phoneticPr fontId="2" type="noConversion"/>
  </si>
  <si>
    <t>당일 진행 사항(28일)</t>
    <phoneticPr fontId="2" type="noConversion"/>
  </si>
  <si>
    <t>수정정지</t>
    <phoneticPr fontId="2" type="noConversion"/>
  </si>
  <si>
    <t>설비이동양산</t>
    <phoneticPr fontId="2" type="noConversion"/>
  </si>
  <si>
    <t>K-JR01887-G01CBA</t>
    <phoneticPr fontId="2" type="noConversion"/>
  </si>
  <si>
    <t>SAMPLE 진행 사항(27일)</t>
    <phoneticPr fontId="2" type="noConversion"/>
  </si>
  <si>
    <t>288C84A-B141X</t>
    <phoneticPr fontId="2" type="noConversion"/>
  </si>
  <si>
    <t>288C84A-U141A</t>
    <phoneticPr fontId="2" type="noConversion"/>
  </si>
  <si>
    <t>UNDER BASE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</si>
  <si>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</si>
  <si>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</si>
  <si>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07월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</si>
  <si>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KR6166CB299UA</t>
    <phoneticPr fontId="2" type="noConversion"/>
  </si>
  <si>
    <t>288C84A-B101C</t>
    <phoneticPr fontId="2" type="noConversion"/>
  </si>
  <si>
    <t>전일 ISSUE 사항(28일)</t>
    <phoneticPr fontId="2" type="noConversion"/>
  </si>
  <si>
    <t>발주분양산-&gt;상측뜯김정지</t>
    <phoneticPr fontId="2" type="noConversion"/>
  </si>
  <si>
    <t>당일 진행 사항(29일)</t>
    <phoneticPr fontId="2" type="noConversion"/>
  </si>
  <si>
    <t>KR6166-F299UA</t>
    <phoneticPr fontId="2" type="noConversion"/>
  </si>
  <si>
    <t>SAMPLE 진행 사항(28일)</t>
    <phoneticPr fontId="2" type="noConversion"/>
  </si>
  <si>
    <t>KR6166-GD200XX</t>
    <phoneticPr fontId="2" type="noConversion"/>
  </si>
  <si>
    <t>HDB08NL-78L5(3차)</t>
    <phoneticPr fontId="2" type="noConversion"/>
  </si>
  <si>
    <t>HDB08NL-78B1(3차)</t>
    <phoneticPr fontId="2" type="noConversion"/>
  </si>
  <si>
    <t>HDB08NP-C3(3차)</t>
    <phoneticPr fontId="2" type="noConversion"/>
  </si>
  <si>
    <t>치수확인용</t>
    <phoneticPr fontId="2" type="noConversion"/>
  </si>
  <si>
    <t>HDB08NL-78T4(1C)</t>
    <phoneticPr fontId="2" type="noConversion"/>
  </si>
  <si>
    <t>1CAV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</si>
  <si>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</si>
  <si>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</si>
  <si>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07월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</si>
  <si>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2*2</t>
    <phoneticPr fontId="2" type="noConversion"/>
  </si>
  <si>
    <t>HSF05-M04B1</t>
    <phoneticPr fontId="2" type="noConversion"/>
  </si>
  <si>
    <t>전일 ISSUE 사항(29일)</t>
    <phoneticPr fontId="2" type="noConversion"/>
  </si>
  <si>
    <t>수리후양산-&gt;상측뜯김2회수리-&gt;미성형정지</t>
    <phoneticPr fontId="2" type="noConversion"/>
  </si>
  <si>
    <t>15</t>
    <phoneticPr fontId="2" type="noConversion"/>
  </si>
  <si>
    <t>STOPPER</t>
    <phoneticPr fontId="2" type="noConversion"/>
  </si>
  <si>
    <t>HSF05-M04B1</t>
    <phoneticPr fontId="2" type="noConversion"/>
  </si>
  <si>
    <t>당일 진행 사항(30일)</t>
    <phoneticPr fontId="2" type="noConversion"/>
  </si>
  <si>
    <t>3</t>
    <phoneticPr fontId="2" type="noConversion"/>
  </si>
  <si>
    <t>HDB08NL-78L5(4C)</t>
    <phoneticPr fontId="2" type="noConversion"/>
  </si>
  <si>
    <t>칼퀴이상정지</t>
    <phoneticPr fontId="2" type="noConversion"/>
  </si>
  <si>
    <t>수리후양산</t>
    <phoneticPr fontId="2" type="noConversion"/>
  </si>
  <si>
    <t>HDB08NL-78B1(2차)</t>
    <phoneticPr fontId="2" type="noConversion"/>
  </si>
  <si>
    <t>1C수리후양산</t>
    <phoneticPr fontId="2" type="noConversion"/>
  </si>
  <si>
    <t>9</t>
    <phoneticPr fontId="2" type="noConversion"/>
  </si>
  <si>
    <t>BASE</t>
    <phoneticPr fontId="2" type="noConversion"/>
  </si>
  <si>
    <t>K-AR3462-2B</t>
    <phoneticPr fontId="2" type="noConversion"/>
  </si>
  <si>
    <t>승인후양산</t>
    <phoneticPr fontId="2" type="noConversion"/>
  </si>
  <si>
    <t>14</t>
    <phoneticPr fontId="2" type="noConversion"/>
  </si>
  <si>
    <t>SAMPLE 진행 사항(29일)</t>
    <phoneticPr fontId="2" type="noConversion"/>
  </si>
  <si>
    <t>AMB0354A-KAA-R1</t>
    <phoneticPr fontId="2" type="noConversion"/>
  </si>
  <si>
    <t>MCS</t>
    <phoneticPr fontId="2" type="noConversion"/>
  </si>
  <si>
    <t>COVER</t>
    <phoneticPr fontId="2" type="noConversion"/>
  </si>
  <si>
    <t>JD4901</t>
    <phoneticPr fontId="2" type="noConversion"/>
  </si>
  <si>
    <t>수정</t>
    <phoneticPr fontId="2" type="noConversion"/>
  </si>
  <si>
    <t>13</t>
    <phoneticPr fontId="2" type="noConversion"/>
  </si>
  <si>
    <t>금형 수리 내역(29일)</t>
    <phoneticPr fontId="2" type="noConversion"/>
  </si>
  <si>
    <t>.</t>
    <phoneticPr fontId="2" type="noConversion"/>
  </si>
  <si>
    <t>설비 점검 내역(29일)</t>
    <phoneticPr fontId="2" type="noConversion"/>
  </si>
  <si>
    <r>
      <t>2020년 07월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</si>
  <si>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전일 ISSUE 사항(30일)</t>
    <phoneticPr fontId="2" type="noConversion"/>
  </si>
  <si>
    <t>수리후양산-&gt;미성형정지</t>
    <phoneticPr fontId="2" type="noConversion"/>
  </si>
  <si>
    <t>1C수리후양산-&gt;BURR 1C 막음</t>
    <phoneticPr fontId="2" type="noConversion"/>
  </si>
  <si>
    <t>발주분양산-&gt;하측뜯김정지</t>
    <phoneticPr fontId="2" type="noConversion"/>
  </si>
  <si>
    <t>당일 진행 사항(31일)</t>
    <phoneticPr fontId="2" type="noConversion"/>
  </si>
  <si>
    <t>SAMPLE 진행 사항(30일)</t>
    <phoneticPr fontId="2" type="noConversion"/>
  </si>
  <si>
    <t>KR6166-GG200QC</t>
    <phoneticPr fontId="2" type="noConversion"/>
  </si>
  <si>
    <t>HDB08NL-78S2(3차)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</si>
  <si>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</si>
  <si>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</si>
  <si>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2020년 07월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</si>
  <si>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전일 ISSUE 사항(31일)</t>
    <phoneticPr fontId="2" type="noConversion"/>
  </si>
  <si>
    <t>수리후양산-&gt;뜯김수리-&gt;미성형정지</t>
    <phoneticPr fontId="2" type="noConversion"/>
  </si>
  <si>
    <t>수리후양산-&gt;뜯김3회정지</t>
    <phoneticPr fontId="2" type="noConversion"/>
  </si>
  <si>
    <t>AM0148B-K-R2</t>
    <phoneticPr fontId="2" type="noConversion"/>
  </si>
  <si>
    <t>SAMPLE 진행 사항(31일)</t>
    <phoneticPr fontId="2" type="noConversion"/>
  </si>
  <si>
    <t>HDBF05-M02B1</t>
    <phoneticPr fontId="2" type="noConversion"/>
  </si>
  <si>
    <t>HDBF05-M04B1</t>
    <phoneticPr fontId="2" type="noConversion"/>
  </si>
  <si>
    <t>칼퀴수리</t>
    <phoneticPr fontId="2" type="noConversion"/>
  </si>
  <si>
    <t>HDBF05-M01B1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</si>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</sst>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1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1">
                  <c:v>1950</c:v>
                </c:pt>
                <c:pt idx="2">
                  <c:v>10412</c:v>
                </c:pt>
                <c:pt idx="3">
                  <c:v>620</c:v>
                </c:pt>
                <c:pt idx="4">
                  <c:v>470</c:v>
                </c:pt>
                <c:pt idx="5">
                  <c:v>24900</c:v>
                </c:pt>
                <c:pt idx="6">
                  <c:v>5257</c:v>
                </c:pt>
                <c:pt idx="7">
                  <c:v>2722</c:v>
                </c:pt>
                <c:pt idx="8">
                  <c:v>10116</c:v>
                </c:pt>
                <c:pt idx="10">
                  <c:v>5260</c:v>
                </c:pt>
                <c:pt idx="12">
                  <c:v>1214</c:v>
                </c:pt>
                <c:pt idx="13">
                  <c:v>1048</c:v>
                </c:pt>
                <c:pt idx="14">
                  <c:v>645</c:v>
                </c:pt>
                <c:pt idx="15">
                  <c:v>5525</c:v>
                </c:pt>
                <c:pt idx="16">
                  <c:v>23088</c:v>
                </c:pt>
                <c:pt idx="17">
                  <c:v>17656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2-400D-BBA4-5B586F1CE76D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617</c:v>
                </c:pt>
                <c:pt idx="1">
                  <c:v>1950</c:v>
                </c:pt>
                <c:pt idx="2">
                  <c:v>10412</c:v>
                </c:pt>
                <c:pt idx="3">
                  <c:v>620</c:v>
                </c:pt>
                <c:pt idx="4">
                  <c:v>470</c:v>
                </c:pt>
                <c:pt idx="5">
                  <c:v>24900</c:v>
                </c:pt>
                <c:pt idx="6">
                  <c:v>5257</c:v>
                </c:pt>
                <c:pt idx="7">
                  <c:v>2722</c:v>
                </c:pt>
                <c:pt idx="8">
                  <c:v>10116</c:v>
                </c:pt>
                <c:pt idx="9">
                  <c:v>260</c:v>
                </c:pt>
                <c:pt idx="10">
                  <c:v>5260</c:v>
                </c:pt>
                <c:pt idx="11">
                  <c:v>495</c:v>
                </c:pt>
                <c:pt idx="12">
                  <c:v>1214</c:v>
                </c:pt>
                <c:pt idx="13">
                  <c:v>1048</c:v>
                </c:pt>
                <c:pt idx="14">
                  <c:v>645</c:v>
                </c:pt>
                <c:pt idx="15">
                  <c:v>5525</c:v>
                </c:pt>
                <c:pt idx="16">
                  <c:v>23088</c:v>
                </c:pt>
                <c:pt idx="17">
                  <c:v>17656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2-400D-BBA4-5B586F1C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0%</c:v>
                </c:pt>
                <c:pt idx="1">
                  <c:v>42%</c:v>
                </c:pt>
                <c:pt idx="2">
                  <c:v>46%</c:v>
                </c:pt>
                <c:pt idx="3">
                  <c:v>17%</c:v>
                </c:pt>
                <c:pt idx="4">
                  <c:v>17%</c:v>
                </c:pt>
                <c:pt idx="5">
                  <c:v>100%</c:v>
                </c:pt>
                <c:pt idx="6">
                  <c:v>100%</c:v>
                </c:pt>
                <c:pt idx="7">
                  <c:v>58%</c:v>
                </c:pt>
                <c:pt idx="8">
                  <c:v>92%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29%</c:v>
                </c:pt>
                <c:pt idx="14">
                  <c:v>17%</c:v>
                </c:pt>
                <c:pt idx="15">
                  <c:v>100%</c:v>
                </c:pt>
                <c:pt idx="16">
                  <c:v>100%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0</c:v>
                </c:pt>
                <c:pt idx="1">
                  <c:v>0.41666666666666669</c:v>
                </c:pt>
                <c:pt idx="2">
                  <c:v>0.45833333333333331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1</c:v>
                </c:pt>
                <c:pt idx="6">
                  <c:v>1</c:v>
                </c:pt>
                <c:pt idx="7">
                  <c:v>0.58333333333333337</c:v>
                </c:pt>
                <c:pt idx="8">
                  <c:v>0.91666666666666663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0.29166666666666669</c:v>
                </c:pt>
                <c:pt idx="14">
                  <c:v>0.16666666666666666</c:v>
                </c:pt>
                <c:pt idx="15">
                  <c:v>1</c:v>
                </c:pt>
                <c:pt idx="16">
                  <c:v>1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7-418A-81AE-BAEF2A0C0D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97-418A-81AE-BAEF2A0C0D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0.49537037037037035</c:v>
                </c:pt>
                <c:pt idx="1">
                  <c:v>0.49537037037037035</c:v>
                </c:pt>
                <c:pt idx="2">
                  <c:v>0.49537037037037035</c:v>
                </c:pt>
                <c:pt idx="3">
                  <c:v>0.49537037037037035</c:v>
                </c:pt>
                <c:pt idx="4">
                  <c:v>0.49537037037037035</c:v>
                </c:pt>
                <c:pt idx="5">
                  <c:v>0.49537037037037035</c:v>
                </c:pt>
                <c:pt idx="6">
                  <c:v>0.49537037037037035</c:v>
                </c:pt>
                <c:pt idx="7">
                  <c:v>0.49537037037037035</c:v>
                </c:pt>
                <c:pt idx="8">
                  <c:v>0.49537037037037035</c:v>
                </c:pt>
                <c:pt idx="9">
                  <c:v>0.49537037037037035</c:v>
                </c:pt>
                <c:pt idx="10">
                  <c:v>0.49537037037037035</c:v>
                </c:pt>
                <c:pt idx="11">
                  <c:v>0.49537037037037035</c:v>
                </c:pt>
                <c:pt idx="12">
                  <c:v>0.49537037037037035</c:v>
                </c:pt>
                <c:pt idx="13">
                  <c:v>0.49537037037037035</c:v>
                </c:pt>
                <c:pt idx="14">
                  <c:v>0.49537037037037035</c:v>
                </c:pt>
                <c:pt idx="15">
                  <c:v>0.49537037037037035</c:v>
                </c:pt>
                <c:pt idx="16">
                  <c:v>0.49537037037037035</c:v>
                </c:pt>
                <c:pt idx="17">
                  <c:v>0.49537037037037035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7-418A-81AE-BAEF2A0C0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1">
                  <c:v>1950</c:v>
                </c:pt>
                <c:pt idx="2">
                  <c:v>10412</c:v>
                </c:pt>
                <c:pt idx="3">
                  <c:v>620</c:v>
                </c:pt>
                <c:pt idx="4">
                  <c:v>470</c:v>
                </c:pt>
                <c:pt idx="5">
                  <c:v>24900</c:v>
                </c:pt>
                <c:pt idx="6">
                  <c:v>5257</c:v>
                </c:pt>
                <c:pt idx="7">
                  <c:v>2722</c:v>
                </c:pt>
                <c:pt idx="8">
                  <c:v>10116</c:v>
                </c:pt>
                <c:pt idx="10">
                  <c:v>5260</c:v>
                </c:pt>
                <c:pt idx="12">
                  <c:v>1214</c:v>
                </c:pt>
                <c:pt idx="13">
                  <c:v>1048</c:v>
                </c:pt>
                <c:pt idx="14">
                  <c:v>645</c:v>
                </c:pt>
                <c:pt idx="15">
                  <c:v>5525</c:v>
                </c:pt>
                <c:pt idx="16">
                  <c:v>23088</c:v>
                </c:pt>
                <c:pt idx="17">
                  <c:v>17656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A-499B-953B-A84D849D1E8A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617</c:v>
                </c:pt>
                <c:pt idx="1">
                  <c:v>1950</c:v>
                </c:pt>
                <c:pt idx="2">
                  <c:v>10412</c:v>
                </c:pt>
                <c:pt idx="3">
                  <c:v>620</c:v>
                </c:pt>
                <c:pt idx="4">
                  <c:v>470</c:v>
                </c:pt>
                <c:pt idx="5">
                  <c:v>24900</c:v>
                </c:pt>
                <c:pt idx="6">
                  <c:v>5257</c:v>
                </c:pt>
                <c:pt idx="7">
                  <c:v>2722</c:v>
                </c:pt>
                <c:pt idx="8">
                  <c:v>10116</c:v>
                </c:pt>
                <c:pt idx="9">
                  <c:v>260</c:v>
                </c:pt>
                <c:pt idx="10">
                  <c:v>5260</c:v>
                </c:pt>
                <c:pt idx="11">
                  <c:v>495</c:v>
                </c:pt>
                <c:pt idx="12">
                  <c:v>1214</c:v>
                </c:pt>
                <c:pt idx="13">
                  <c:v>1048</c:v>
                </c:pt>
                <c:pt idx="14">
                  <c:v>645</c:v>
                </c:pt>
                <c:pt idx="15">
                  <c:v>5525</c:v>
                </c:pt>
                <c:pt idx="16">
                  <c:v>23088</c:v>
                </c:pt>
                <c:pt idx="17">
                  <c:v>17656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A-499B-953B-A84D849D1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0%</c:v>
                </c:pt>
                <c:pt idx="1">
                  <c:v>42%</c:v>
                </c:pt>
                <c:pt idx="2">
                  <c:v>46%</c:v>
                </c:pt>
                <c:pt idx="3">
                  <c:v>17%</c:v>
                </c:pt>
                <c:pt idx="4">
                  <c:v>17%</c:v>
                </c:pt>
                <c:pt idx="5">
                  <c:v>100%</c:v>
                </c:pt>
                <c:pt idx="6">
                  <c:v>100%</c:v>
                </c:pt>
                <c:pt idx="7">
                  <c:v>58%</c:v>
                </c:pt>
                <c:pt idx="8">
                  <c:v>92%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29%</c:v>
                </c:pt>
                <c:pt idx="14">
                  <c:v>17%</c:v>
                </c:pt>
                <c:pt idx="15">
                  <c:v>100%</c:v>
                </c:pt>
                <c:pt idx="16">
                  <c:v>100%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0</c:v>
                </c:pt>
                <c:pt idx="1">
                  <c:v>0.41666666666666669</c:v>
                </c:pt>
                <c:pt idx="2">
                  <c:v>0.45833333333333331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1</c:v>
                </c:pt>
                <c:pt idx="6">
                  <c:v>1</c:v>
                </c:pt>
                <c:pt idx="7">
                  <c:v>0.58333333333333337</c:v>
                </c:pt>
                <c:pt idx="8">
                  <c:v>0.91666666666666663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0.29166666666666669</c:v>
                </c:pt>
                <c:pt idx="14">
                  <c:v>0.16666666666666666</c:v>
                </c:pt>
                <c:pt idx="15">
                  <c:v>1</c:v>
                </c:pt>
                <c:pt idx="16">
                  <c:v>1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A-4D7C-936A-B372849F6D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DA-4D7C-936A-B372849F6D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LEAD GUIDE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38P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0.49537037037037035</c:v>
                </c:pt>
                <c:pt idx="1">
                  <c:v>0.49537037037037035</c:v>
                </c:pt>
                <c:pt idx="2">
                  <c:v>0.49537037037037035</c:v>
                </c:pt>
                <c:pt idx="3">
                  <c:v>0.49537037037037035</c:v>
                </c:pt>
                <c:pt idx="4">
                  <c:v>0.49537037037037035</c:v>
                </c:pt>
                <c:pt idx="5">
                  <c:v>0.49537037037037035</c:v>
                </c:pt>
                <c:pt idx="6">
                  <c:v>0.49537037037037035</c:v>
                </c:pt>
                <c:pt idx="7">
                  <c:v>0.49537037037037035</c:v>
                </c:pt>
                <c:pt idx="8">
                  <c:v>0.49537037037037035</c:v>
                </c:pt>
                <c:pt idx="9">
                  <c:v>0.49537037037037035</c:v>
                </c:pt>
                <c:pt idx="10">
                  <c:v>0.49537037037037035</c:v>
                </c:pt>
                <c:pt idx="11">
                  <c:v>0.49537037037037035</c:v>
                </c:pt>
                <c:pt idx="12">
                  <c:v>0.49537037037037035</c:v>
                </c:pt>
                <c:pt idx="13">
                  <c:v>0.49537037037037035</c:v>
                </c:pt>
                <c:pt idx="14">
                  <c:v>0.49537037037037035</c:v>
                </c:pt>
                <c:pt idx="15">
                  <c:v>0.49537037037037035</c:v>
                </c:pt>
                <c:pt idx="16">
                  <c:v>0.49537037037037035</c:v>
                </c:pt>
                <c:pt idx="17">
                  <c:v>0.49537037037037035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A-4D7C-936A-B372849F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BE1-4816-908A-43938EA679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1-4816-908A-43938EA6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BE1-4816-908A-43938EA679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1-4816-908A-43938EA6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0">
                  <c:v>573</c:v>
                </c:pt>
                <c:pt idx="1">
                  <c:v>9996</c:v>
                </c:pt>
                <c:pt idx="2">
                  <c:v>14832</c:v>
                </c:pt>
                <c:pt idx="4">
                  <c:v>25224</c:v>
                </c:pt>
                <c:pt idx="5">
                  <c:v>5385</c:v>
                </c:pt>
                <c:pt idx="6">
                  <c:v>1904</c:v>
                </c:pt>
                <c:pt idx="7">
                  <c:v>12434</c:v>
                </c:pt>
                <c:pt idx="9">
                  <c:v>1328</c:v>
                </c:pt>
                <c:pt idx="11">
                  <c:v>400</c:v>
                </c:pt>
                <c:pt idx="13">
                  <c:v>5598</c:v>
                </c:pt>
                <c:pt idx="14">
                  <c:v>24200</c:v>
                </c:pt>
                <c:pt idx="15">
                  <c:v>21428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F-43F2-94EE-1DB285593FCA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573</c:v>
                </c:pt>
                <c:pt idx="1">
                  <c:v>9996</c:v>
                </c:pt>
                <c:pt idx="2">
                  <c:v>14832</c:v>
                </c:pt>
                <c:pt idx="3">
                  <c:v>470</c:v>
                </c:pt>
                <c:pt idx="4">
                  <c:v>25224</c:v>
                </c:pt>
                <c:pt idx="5">
                  <c:v>5385</c:v>
                </c:pt>
                <c:pt idx="6">
                  <c:v>1904</c:v>
                </c:pt>
                <c:pt idx="7">
                  <c:v>12434</c:v>
                </c:pt>
                <c:pt idx="8">
                  <c:v>260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1048</c:v>
                </c:pt>
                <c:pt idx="13">
                  <c:v>5598</c:v>
                </c:pt>
                <c:pt idx="14">
                  <c:v>24200</c:v>
                </c:pt>
                <c:pt idx="15">
                  <c:v>21428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F-43F2-94EE-1DB285593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21%</c:v>
                </c:pt>
                <c:pt idx="1">
                  <c:v>88%</c:v>
                </c:pt>
                <c:pt idx="2">
                  <c:v>67%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33%</c:v>
                </c:pt>
                <c:pt idx="10">
                  <c:v>0%</c:v>
                </c:pt>
                <c:pt idx="11">
                  <c:v>17%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0.20833333333333334</c:v>
                </c:pt>
                <c:pt idx="1">
                  <c:v>0.875</c:v>
                </c:pt>
                <c:pt idx="2">
                  <c:v>0.66666666666666663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0.41666666666666669</c:v>
                </c:pt>
                <c:pt idx="7">
                  <c:v>1</c:v>
                </c:pt>
                <c:pt idx="8">
                  <c:v>0</c:v>
                </c:pt>
                <c:pt idx="9">
                  <c:v>0.33333333333333331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2-478C-BF71-5D19699B67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82-478C-BF71-5D19699B67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0.51041666666666674</c:v>
                </c:pt>
                <c:pt idx="1">
                  <c:v>0.51041666666666674</c:v>
                </c:pt>
                <c:pt idx="2">
                  <c:v>0.51041666666666674</c:v>
                </c:pt>
                <c:pt idx="3">
                  <c:v>0.51041666666666674</c:v>
                </c:pt>
                <c:pt idx="4">
                  <c:v>0.51041666666666674</c:v>
                </c:pt>
                <c:pt idx="5">
                  <c:v>0.51041666666666674</c:v>
                </c:pt>
                <c:pt idx="6">
                  <c:v>0.51041666666666674</c:v>
                </c:pt>
                <c:pt idx="7">
                  <c:v>0.51041666666666674</c:v>
                </c:pt>
                <c:pt idx="8">
                  <c:v>0.51041666666666674</c:v>
                </c:pt>
                <c:pt idx="9">
                  <c:v>0.51041666666666674</c:v>
                </c:pt>
                <c:pt idx="10">
                  <c:v>0.51041666666666674</c:v>
                </c:pt>
                <c:pt idx="11">
                  <c:v>0.51041666666666674</c:v>
                </c:pt>
                <c:pt idx="12">
                  <c:v>0.51041666666666674</c:v>
                </c:pt>
                <c:pt idx="13">
                  <c:v>0.51041666666666674</c:v>
                </c:pt>
                <c:pt idx="14">
                  <c:v>0.51041666666666674</c:v>
                </c:pt>
                <c:pt idx="15">
                  <c:v>0.51041666666666674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2-478C-BF71-5D19699B6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0">
                  <c:v>573</c:v>
                </c:pt>
                <c:pt idx="1">
                  <c:v>9996</c:v>
                </c:pt>
                <c:pt idx="2">
                  <c:v>14832</c:v>
                </c:pt>
                <c:pt idx="4">
                  <c:v>25224</c:v>
                </c:pt>
                <c:pt idx="5">
                  <c:v>5385</c:v>
                </c:pt>
                <c:pt idx="6">
                  <c:v>1904</c:v>
                </c:pt>
                <c:pt idx="7">
                  <c:v>12434</c:v>
                </c:pt>
                <c:pt idx="9">
                  <c:v>1328</c:v>
                </c:pt>
                <c:pt idx="11">
                  <c:v>400</c:v>
                </c:pt>
                <c:pt idx="13">
                  <c:v>5598</c:v>
                </c:pt>
                <c:pt idx="14">
                  <c:v>24200</c:v>
                </c:pt>
                <c:pt idx="15">
                  <c:v>21428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5-405A-82C3-E665564CFB94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573</c:v>
                </c:pt>
                <c:pt idx="1">
                  <c:v>9996</c:v>
                </c:pt>
                <c:pt idx="2">
                  <c:v>14832</c:v>
                </c:pt>
                <c:pt idx="3">
                  <c:v>470</c:v>
                </c:pt>
                <c:pt idx="4">
                  <c:v>25224</c:v>
                </c:pt>
                <c:pt idx="5">
                  <c:v>5385</c:v>
                </c:pt>
                <c:pt idx="6">
                  <c:v>1904</c:v>
                </c:pt>
                <c:pt idx="7">
                  <c:v>12434</c:v>
                </c:pt>
                <c:pt idx="8">
                  <c:v>260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1048</c:v>
                </c:pt>
                <c:pt idx="13">
                  <c:v>5598</c:v>
                </c:pt>
                <c:pt idx="14">
                  <c:v>24200</c:v>
                </c:pt>
                <c:pt idx="15">
                  <c:v>21428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5-405A-82C3-E665564CF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21%</c:v>
                </c:pt>
                <c:pt idx="1">
                  <c:v>88%</c:v>
                </c:pt>
                <c:pt idx="2">
                  <c:v>67%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33%</c:v>
                </c:pt>
                <c:pt idx="10">
                  <c:v>0%</c:v>
                </c:pt>
                <c:pt idx="11">
                  <c:v>17%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0.20833333333333334</c:v>
                </c:pt>
                <c:pt idx="1">
                  <c:v>0.875</c:v>
                </c:pt>
                <c:pt idx="2">
                  <c:v>0.66666666666666663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0.41666666666666669</c:v>
                </c:pt>
                <c:pt idx="7">
                  <c:v>1</c:v>
                </c:pt>
                <c:pt idx="8">
                  <c:v>0</c:v>
                </c:pt>
                <c:pt idx="9">
                  <c:v>0.33333333333333331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A-458C-8DAE-2160D9F9D1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3A-458C-8DAE-2160D9F9D1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0.51041666666666674</c:v>
                </c:pt>
                <c:pt idx="1">
                  <c:v>0.51041666666666674</c:v>
                </c:pt>
                <c:pt idx="2">
                  <c:v>0.51041666666666674</c:v>
                </c:pt>
                <c:pt idx="3">
                  <c:v>0.51041666666666674</c:v>
                </c:pt>
                <c:pt idx="4">
                  <c:v>0.51041666666666674</c:v>
                </c:pt>
                <c:pt idx="5">
                  <c:v>0.51041666666666674</c:v>
                </c:pt>
                <c:pt idx="6">
                  <c:v>0.51041666666666674</c:v>
                </c:pt>
                <c:pt idx="7">
                  <c:v>0.51041666666666674</c:v>
                </c:pt>
                <c:pt idx="8">
                  <c:v>0.51041666666666674</c:v>
                </c:pt>
                <c:pt idx="9">
                  <c:v>0.51041666666666674</c:v>
                </c:pt>
                <c:pt idx="10">
                  <c:v>0.51041666666666674</c:v>
                </c:pt>
                <c:pt idx="11">
                  <c:v>0.51041666666666674</c:v>
                </c:pt>
                <c:pt idx="12">
                  <c:v>0.51041666666666674</c:v>
                </c:pt>
                <c:pt idx="13">
                  <c:v>0.51041666666666674</c:v>
                </c:pt>
                <c:pt idx="14">
                  <c:v>0.51041666666666674</c:v>
                </c:pt>
                <c:pt idx="15">
                  <c:v>0.51041666666666674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3A-458C-8DAE-2160D9F9D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159-4935-878C-171E9F78A1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9-4935-878C-171E9F78A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159-4935-878C-171E9F78A1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59-4935-878C-171E9F78A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'03'!$L$6:$L$22</c:f>
              <c:numCache>
                <c:formatCode>_(* #,##0_);_(* \(#,##0\);_(* "-"_);_(@_)</c:formatCode>
                <c:ptCount val="17"/>
                <c:pt idx="1">
                  <c:v>10738</c:v>
                </c:pt>
                <c:pt idx="2">
                  <c:v>23872</c:v>
                </c:pt>
                <c:pt idx="4">
                  <c:v>24840</c:v>
                </c:pt>
                <c:pt idx="5">
                  <c:v>5310</c:v>
                </c:pt>
                <c:pt idx="6">
                  <c:v>2656</c:v>
                </c:pt>
                <c:pt idx="7">
                  <c:v>2414</c:v>
                </c:pt>
                <c:pt idx="8">
                  <c:v>2920</c:v>
                </c:pt>
                <c:pt idx="12">
                  <c:v>320</c:v>
                </c:pt>
                <c:pt idx="13">
                  <c:v>212</c:v>
                </c:pt>
                <c:pt idx="14">
                  <c:v>5509</c:v>
                </c:pt>
                <c:pt idx="15">
                  <c:v>23364</c:v>
                </c:pt>
                <c:pt idx="16">
                  <c:v>32268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8-4FBC-9905-0F32B9F889B3}"/>
            </c:ext>
          </c:extLst>
        </c:ser>
        <c:ser>
          <c:idx val="1"/>
          <c:order val="1"/>
          <c:tx>
            <c:v>계획</c:v>
          </c:tx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'03'!$J$6:$J$22</c:f>
              <c:numCache>
                <c:formatCode>_(* #,##0_);_(* \(#,##0\);_(* "-"_);_(@_)</c:formatCode>
                <c:ptCount val="17"/>
                <c:pt idx="0">
                  <c:v>573</c:v>
                </c:pt>
                <c:pt idx="1">
                  <c:v>10738</c:v>
                </c:pt>
                <c:pt idx="2">
                  <c:v>23872</c:v>
                </c:pt>
                <c:pt idx="3">
                  <c:v>470</c:v>
                </c:pt>
                <c:pt idx="4">
                  <c:v>24840</c:v>
                </c:pt>
                <c:pt idx="5">
                  <c:v>5310</c:v>
                </c:pt>
                <c:pt idx="6">
                  <c:v>2656</c:v>
                </c:pt>
                <c:pt idx="7">
                  <c:v>2414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320</c:v>
                </c:pt>
                <c:pt idx="13">
                  <c:v>212</c:v>
                </c:pt>
                <c:pt idx="14">
                  <c:v>5509</c:v>
                </c:pt>
                <c:pt idx="15">
                  <c:v>23364</c:v>
                </c:pt>
                <c:pt idx="16">
                  <c:v>32268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8-4FBC-9905-0F32B9F88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'03'!$AD$6:$AD$22</c:f>
              <c:strCache>
                <c:ptCount val="17"/>
                <c:pt idx="0">
                  <c:v>0%</c:v>
                </c:pt>
                <c:pt idx="1">
                  <c:v>92%</c:v>
                </c:pt>
                <c:pt idx="2">
                  <c:v>96%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34%</c:v>
                </c:pt>
                <c:pt idx="7">
                  <c:v>25%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13%</c:v>
                </c:pt>
                <c:pt idx="14">
                  <c:v>100%</c:v>
                </c:pt>
                <c:pt idx="15">
                  <c:v>100%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'03'!$AD$6:$AD$22</c:f>
              <c:numCache>
                <c:formatCode>0%</c:formatCode>
                <c:ptCount val="17"/>
                <c:pt idx="0">
                  <c:v>0</c:v>
                </c:pt>
                <c:pt idx="1">
                  <c:v>0.91666666666666663</c:v>
                </c:pt>
                <c:pt idx="2">
                  <c:v>0.95833333333333337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0.34456576305220882</c:v>
                </c:pt>
                <c:pt idx="7">
                  <c:v>0.25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0.125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B-490E-85D1-1AAFA5F0C6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4B-490E-85D1-1AAFA5F0C6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'03'!$AE$6:$AE$22</c:f>
              <c:numCache>
                <c:formatCode>0%</c:formatCode>
                <c:ptCount val="17"/>
                <c:pt idx="0">
                  <c:v>0.45654308410111039</c:v>
                </c:pt>
                <c:pt idx="1">
                  <c:v>0.45654308410111039</c:v>
                </c:pt>
                <c:pt idx="2">
                  <c:v>0.45654308410111039</c:v>
                </c:pt>
                <c:pt idx="3">
                  <c:v>0.45654308410111039</c:v>
                </c:pt>
                <c:pt idx="4">
                  <c:v>0.45654308410111039</c:v>
                </c:pt>
                <c:pt idx="5">
                  <c:v>0.45654308410111039</c:v>
                </c:pt>
                <c:pt idx="6">
                  <c:v>0.45654308410111039</c:v>
                </c:pt>
                <c:pt idx="7">
                  <c:v>0.45654308410111039</c:v>
                </c:pt>
                <c:pt idx="8">
                  <c:v>0.45654308410111039</c:v>
                </c:pt>
                <c:pt idx="9">
                  <c:v>0.45654308410111039</c:v>
                </c:pt>
                <c:pt idx="10">
                  <c:v>0.45654308410111039</c:v>
                </c:pt>
                <c:pt idx="11">
                  <c:v>0.45654308410111039</c:v>
                </c:pt>
                <c:pt idx="12">
                  <c:v>0.45654308410111039</c:v>
                </c:pt>
                <c:pt idx="13">
                  <c:v>0.45654308410111039</c:v>
                </c:pt>
                <c:pt idx="14">
                  <c:v>0.45654308410111039</c:v>
                </c:pt>
                <c:pt idx="15">
                  <c:v>0.45654308410111039</c:v>
                </c:pt>
                <c:pt idx="16">
                  <c:v>0.45654308410111039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B-490E-85D1-1AAFA5F0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'03'!$L$6:$L$22</c:f>
              <c:numCache>
                <c:formatCode>_(* #,##0_);_(* \(#,##0\);_(* "-"_);_(@_)</c:formatCode>
                <c:ptCount val="17"/>
                <c:pt idx="1">
                  <c:v>10738</c:v>
                </c:pt>
                <c:pt idx="2">
                  <c:v>23872</c:v>
                </c:pt>
                <c:pt idx="4">
                  <c:v>24840</c:v>
                </c:pt>
                <c:pt idx="5">
                  <c:v>5310</c:v>
                </c:pt>
                <c:pt idx="6">
                  <c:v>2656</c:v>
                </c:pt>
                <c:pt idx="7">
                  <c:v>2414</c:v>
                </c:pt>
                <c:pt idx="8">
                  <c:v>2920</c:v>
                </c:pt>
                <c:pt idx="12">
                  <c:v>320</c:v>
                </c:pt>
                <c:pt idx="13">
                  <c:v>212</c:v>
                </c:pt>
                <c:pt idx="14">
                  <c:v>5509</c:v>
                </c:pt>
                <c:pt idx="15">
                  <c:v>23364</c:v>
                </c:pt>
                <c:pt idx="16">
                  <c:v>32268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B-484B-B196-8CED086D9E1C}"/>
            </c:ext>
          </c:extLst>
        </c:ser>
        <c:ser>
          <c:idx val="1"/>
          <c:order val="1"/>
          <c:tx>
            <c:v>계획</c:v>
          </c:tx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'03'!$J$6:$J$22</c:f>
              <c:numCache>
                <c:formatCode>_(* #,##0_);_(* \(#,##0\);_(* "-"_);_(@_)</c:formatCode>
                <c:ptCount val="17"/>
                <c:pt idx="0">
                  <c:v>573</c:v>
                </c:pt>
                <c:pt idx="1">
                  <c:v>10738</c:v>
                </c:pt>
                <c:pt idx="2">
                  <c:v>23872</c:v>
                </c:pt>
                <c:pt idx="3">
                  <c:v>470</c:v>
                </c:pt>
                <c:pt idx="4">
                  <c:v>24840</c:v>
                </c:pt>
                <c:pt idx="5">
                  <c:v>5310</c:v>
                </c:pt>
                <c:pt idx="6">
                  <c:v>2656</c:v>
                </c:pt>
                <c:pt idx="7">
                  <c:v>2414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320</c:v>
                </c:pt>
                <c:pt idx="13">
                  <c:v>212</c:v>
                </c:pt>
                <c:pt idx="14">
                  <c:v>5509</c:v>
                </c:pt>
                <c:pt idx="15">
                  <c:v>23364</c:v>
                </c:pt>
                <c:pt idx="16">
                  <c:v>32268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B-484B-B196-8CED086D9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'03'!$AD$6:$AD$22</c:f>
              <c:strCache>
                <c:ptCount val="17"/>
                <c:pt idx="0">
                  <c:v>0%</c:v>
                </c:pt>
                <c:pt idx="1">
                  <c:v>92%</c:v>
                </c:pt>
                <c:pt idx="2">
                  <c:v>96%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34%</c:v>
                </c:pt>
                <c:pt idx="7">
                  <c:v>25%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13%</c:v>
                </c:pt>
                <c:pt idx="14">
                  <c:v>100%</c:v>
                </c:pt>
                <c:pt idx="15">
                  <c:v>100%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'03'!$AD$6:$AD$22</c:f>
              <c:numCache>
                <c:formatCode>0%</c:formatCode>
                <c:ptCount val="17"/>
                <c:pt idx="0">
                  <c:v>0</c:v>
                </c:pt>
                <c:pt idx="1">
                  <c:v>0.91666666666666663</c:v>
                </c:pt>
                <c:pt idx="2">
                  <c:v>0.95833333333333337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0.34456576305220882</c:v>
                </c:pt>
                <c:pt idx="7">
                  <c:v>0.25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0.125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1-47EC-9730-33E468DD681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81-47EC-9730-33E468DD68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'03'!$AE$6:$AE$22</c:f>
              <c:numCache>
                <c:formatCode>0%</c:formatCode>
                <c:ptCount val="17"/>
                <c:pt idx="0">
                  <c:v>0.45654308410111039</c:v>
                </c:pt>
                <c:pt idx="1">
                  <c:v>0.45654308410111039</c:v>
                </c:pt>
                <c:pt idx="2">
                  <c:v>0.45654308410111039</c:v>
                </c:pt>
                <c:pt idx="3">
                  <c:v>0.45654308410111039</c:v>
                </c:pt>
                <c:pt idx="4">
                  <c:v>0.45654308410111039</c:v>
                </c:pt>
                <c:pt idx="5">
                  <c:v>0.45654308410111039</c:v>
                </c:pt>
                <c:pt idx="6">
                  <c:v>0.45654308410111039</c:v>
                </c:pt>
                <c:pt idx="7">
                  <c:v>0.45654308410111039</c:v>
                </c:pt>
                <c:pt idx="8">
                  <c:v>0.45654308410111039</c:v>
                </c:pt>
                <c:pt idx="9">
                  <c:v>0.45654308410111039</c:v>
                </c:pt>
                <c:pt idx="10">
                  <c:v>0.45654308410111039</c:v>
                </c:pt>
                <c:pt idx="11">
                  <c:v>0.45654308410111039</c:v>
                </c:pt>
                <c:pt idx="12">
                  <c:v>0.45654308410111039</c:v>
                </c:pt>
                <c:pt idx="13">
                  <c:v>0.45654308410111039</c:v>
                </c:pt>
                <c:pt idx="14">
                  <c:v>0.45654308410111039</c:v>
                </c:pt>
                <c:pt idx="15">
                  <c:v>0.45654308410111039</c:v>
                </c:pt>
                <c:pt idx="16">
                  <c:v>0.45654308410111039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81-47EC-9730-33E468DD6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AC1-4209-9454-633F80F0E5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1-4209-9454-633F80F0E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AC1-4209-9454-633F80F0E5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1-4209-9454-633F80F0E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3102</c:v>
                </c:pt>
                <c:pt idx="1">
                  <c:v>9482</c:v>
                </c:pt>
                <c:pt idx="2">
                  <c:v>25696</c:v>
                </c:pt>
                <c:pt idx="4">
                  <c:v>25892</c:v>
                </c:pt>
                <c:pt idx="5">
                  <c:v>5143</c:v>
                </c:pt>
                <c:pt idx="6">
                  <c:v>4211</c:v>
                </c:pt>
                <c:pt idx="7">
                  <c:v>334</c:v>
                </c:pt>
                <c:pt idx="12">
                  <c:v>3125</c:v>
                </c:pt>
                <c:pt idx="13">
                  <c:v>5673</c:v>
                </c:pt>
                <c:pt idx="14">
                  <c:v>22844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E-4ADB-B911-CF1FCAFB21B9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3102</c:v>
                </c:pt>
                <c:pt idx="1">
                  <c:v>9482</c:v>
                </c:pt>
                <c:pt idx="2">
                  <c:v>25696</c:v>
                </c:pt>
                <c:pt idx="3">
                  <c:v>470</c:v>
                </c:pt>
                <c:pt idx="4">
                  <c:v>25892</c:v>
                </c:pt>
                <c:pt idx="5">
                  <c:v>5143</c:v>
                </c:pt>
                <c:pt idx="6">
                  <c:v>4211</c:v>
                </c:pt>
                <c:pt idx="7">
                  <c:v>334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3125</c:v>
                </c:pt>
                <c:pt idx="13">
                  <c:v>5673</c:v>
                </c:pt>
                <c:pt idx="14">
                  <c:v>22844</c:v>
                </c:pt>
                <c:pt idx="15">
                  <c:v>32268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E-4ADB-B911-CF1FCAFB2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71%</c:v>
                </c:pt>
                <c:pt idx="1">
                  <c:v>96%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0.70833333333333337</c:v>
                </c:pt>
                <c:pt idx="1">
                  <c:v>0.95833333333333337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8-4D94-988B-F28F7A5772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98-4D94-988B-F28F7A5772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0.52604166666666674</c:v>
                </c:pt>
                <c:pt idx="1">
                  <c:v>0.52604166666666674</c:v>
                </c:pt>
                <c:pt idx="2">
                  <c:v>0.52604166666666674</c:v>
                </c:pt>
                <c:pt idx="3">
                  <c:v>0.52604166666666674</c:v>
                </c:pt>
                <c:pt idx="4">
                  <c:v>0.52604166666666674</c:v>
                </c:pt>
                <c:pt idx="5">
                  <c:v>0.52604166666666674</c:v>
                </c:pt>
                <c:pt idx="6">
                  <c:v>0.52604166666666674</c:v>
                </c:pt>
                <c:pt idx="7">
                  <c:v>0.52604166666666674</c:v>
                </c:pt>
                <c:pt idx="8">
                  <c:v>0.52604166666666674</c:v>
                </c:pt>
                <c:pt idx="9">
                  <c:v>0.52604166666666674</c:v>
                </c:pt>
                <c:pt idx="10">
                  <c:v>0.52604166666666674</c:v>
                </c:pt>
                <c:pt idx="11">
                  <c:v>0.52604166666666674</c:v>
                </c:pt>
                <c:pt idx="12">
                  <c:v>0.52604166666666674</c:v>
                </c:pt>
                <c:pt idx="13">
                  <c:v>0.52604166666666674</c:v>
                </c:pt>
                <c:pt idx="14">
                  <c:v>0.52604166666666674</c:v>
                </c:pt>
                <c:pt idx="15">
                  <c:v>0.52604166666666674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98-4D94-988B-F28F7A577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3102</c:v>
                </c:pt>
                <c:pt idx="1">
                  <c:v>9482</c:v>
                </c:pt>
                <c:pt idx="2">
                  <c:v>25696</c:v>
                </c:pt>
                <c:pt idx="4">
                  <c:v>25892</c:v>
                </c:pt>
                <c:pt idx="5">
                  <c:v>5143</c:v>
                </c:pt>
                <c:pt idx="6">
                  <c:v>4211</c:v>
                </c:pt>
                <c:pt idx="7">
                  <c:v>334</c:v>
                </c:pt>
                <c:pt idx="12">
                  <c:v>3125</c:v>
                </c:pt>
                <c:pt idx="13">
                  <c:v>5673</c:v>
                </c:pt>
                <c:pt idx="14">
                  <c:v>22844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5-404B-84DF-270351C6EB7D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3102</c:v>
                </c:pt>
                <c:pt idx="1">
                  <c:v>9482</c:v>
                </c:pt>
                <c:pt idx="2">
                  <c:v>25696</c:v>
                </c:pt>
                <c:pt idx="3">
                  <c:v>470</c:v>
                </c:pt>
                <c:pt idx="4">
                  <c:v>25892</c:v>
                </c:pt>
                <c:pt idx="5">
                  <c:v>5143</c:v>
                </c:pt>
                <c:pt idx="6">
                  <c:v>4211</c:v>
                </c:pt>
                <c:pt idx="7">
                  <c:v>334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3125</c:v>
                </c:pt>
                <c:pt idx="13">
                  <c:v>5673</c:v>
                </c:pt>
                <c:pt idx="14">
                  <c:v>22844</c:v>
                </c:pt>
                <c:pt idx="15">
                  <c:v>32268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5-404B-84DF-270351C6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71%</c:v>
                </c:pt>
                <c:pt idx="1">
                  <c:v>96%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0.70833333333333337</c:v>
                </c:pt>
                <c:pt idx="1">
                  <c:v>0.95833333333333337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E-409F-A261-5A2A8B6908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7E-409F-A261-5A2A8B6908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0.52604166666666674</c:v>
                </c:pt>
                <c:pt idx="1">
                  <c:v>0.52604166666666674</c:v>
                </c:pt>
                <c:pt idx="2">
                  <c:v>0.52604166666666674</c:v>
                </c:pt>
                <c:pt idx="3">
                  <c:v>0.52604166666666674</c:v>
                </c:pt>
                <c:pt idx="4">
                  <c:v>0.52604166666666674</c:v>
                </c:pt>
                <c:pt idx="5">
                  <c:v>0.52604166666666674</c:v>
                </c:pt>
                <c:pt idx="6">
                  <c:v>0.52604166666666674</c:v>
                </c:pt>
                <c:pt idx="7">
                  <c:v>0.52604166666666674</c:v>
                </c:pt>
                <c:pt idx="8">
                  <c:v>0.52604166666666674</c:v>
                </c:pt>
                <c:pt idx="9">
                  <c:v>0.52604166666666674</c:v>
                </c:pt>
                <c:pt idx="10">
                  <c:v>0.52604166666666674</c:v>
                </c:pt>
                <c:pt idx="11">
                  <c:v>0.52604166666666674</c:v>
                </c:pt>
                <c:pt idx="12">
                  <c:v>0.52604166666666674</c:v>
                </c:pt>
                <c:pt idx="13">
                  <c:v>0.52604166666666674</c:v>
                </c:pt>
                <c:pt idx="14">
                  <c:v>0.52604166666666674</c:v>
                </c:pt>
                <c:pt idx="15">
                  <c:v>0.52604166666666674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E-409F-A261-5A2A8B690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0EF-473F-A3EE-C1C8F2EAF5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F-473F-A3EE-C1C8F2EA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0EF-473F-A3EE-C1C8F2EAF5B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EF-473F-A3EE-C1C8F2EA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2240</c:v>
                </c:pt>
                <c:pt idx="1">
                  <c:v>4975</c:v>
                </c:pt>
                <c:pt idx="2">
                  <c:v>24068</c:v>
                </c:pt>
                <c:pt idx="3">
                  <c:v>4109</c:v>
                </c:pt>
                <c:pt idx="4">
                  <c:v>24064</c:v>
                </c:pt>
                <c:pt idx="5">
                  <c:v>9984</c:v>
                </c:pt>
                <c:pt idx="6">
                  <c:v>4764</c:v>
                </c:pt>
                <c:pt idx="7">
                  <c:v>4862</c:v>
                </c:pt>
                <c:pt idx="13">
                  <c:v>4422</c:v>
                </c:pt>
                <c:pt idx="14">
                  <c:v>15980</c:v>
                </c:pt>
                <c:pt idx="15">
                  <c:v>13436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1-441B-80B4-D121709EAEFF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2240</c:v>
                </c:pt>
                <c:pt idx="1">
                  <c:v>4975</c:v>
                </c:pt>
                <c:pt idx="2">
                  <c:v>24068</c:v>
                </c:pt>
                <c:pt idx="3">
                  <c:v>4109</c:v>
                </c:pt>
                <c:pt idx="4">
                  <c:v>24064</c:v>
                </c:pt>
                <c:pt idx="5">
                  <c:v>9984</c:v>
                </c:pt>
                <c:pt idx="6">
                  <c:v>4764</c:v>
                </c:pt>
                <c:pt idx="7">
                  <c:v>4862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3125</c:v>
                </c:pt>
                <c:pt idx="13">
                  <c:v>4422</c:v>
                </c:pt>
                <c:pt idx="14">
                  <c:v>15980</c:v>
                </c:pt>
                <c:pt idx="15">
                  <c:v>13436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1-441B-80B4-D121709EA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50%</c:v>
                </c:pt>
                <c:pt idx="1">
                  <c:v>83%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96%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79%</c:v>
                </c:pt>
                <c:pt idx="14">
                  <c:v>71%</c:v>
                </c:pt>
                <c:pt idx="15">
                  <c:v>29%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0.5</c:v>
                </c:pt>
                <c:pt idx="1">
                  <c:v>0.83333333333333337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0.95833333333333337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0.70833333333333337</c:v>
                </c:pt>
                <c:pt idx="15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B-4663-AF86-2496F513C5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5B-4663-AF86-2496F513C5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0.55989583333333337</c:v>
                </c:pt>
                <c:pt idx="1">
                  <c:v>0.55989583333333337</c:v>
                </c:pt>
                <c:pt idx="2">
                  <c:v>0.55989583333333337</c:v>
                </c:pt>
                <c:pt idx="3">
                  <c:v>0.55989583333333337</c:v>
                </c:pt>
                <c:pt idx="4">
                  <c:v>0.55989583333333337</c:v>
                </c:pt>
                <c:pt idx="5">
                  <c:v>0.55989583333333337</c:v>
                </c:pt>
                <c:pt idx="6">
                  <c:v>0.55989583333333337</c:v>
                </c:pt>
                <c:pt idx="7">
                  <c:v>0.55989583333333337</c:v>
                </c:pt>
                <c:pt idx="8">
                  <c:v>0.55989583333333337</c:v>
                </c:pt>
                <c:pt idx="9">
                  <c:v>0.55989583333333337</c:v>
                </c:pt>
                <c:pt idx="10">
                  <c:v>0.55989583333333337</c:v>
                </c:pt>
                <c:pt idx="11">
                  <c:v>0.55989583333333337</c:v>
                </c:pt>
                <c:pt idx="12">
                  <c:v>0.55989583333333337</c:v>
                </c:pt>
                <c:pt idx="13">
                  <c:v>0.55989583333333337</c:v>
                </c:pt>
                <c:pt idx="14">
                  <c:v>0.55989583333333337</c:v>
                </c:pt>
                <c:pt idx="15">
                  <c:v>0.55989583333333337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5B-4663-AF86-2496F513C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2240</c:v>
                </c:pt>
                <c:pt idx="1">
                  <c:v>4975</c:v>
                </c:pt>
                <c:pt idx="2">
                  <c:v>24068</c:v>
                </c:pt>
                <c:pt idx="3">
                  <c:v>4109</c:v>
                </c:pt>
                <c:pt idx="4">
                  <c:v>24064</c:v>
                </c:pt>
                <c:pt idx="5">
                  <c:v>9984</c:v>
                </c:pt>
                <c:pt idx="6">
                  <c:v>4764</c:v>
                </c:pt>
                <c:pt idx="7">
                  <c:v>4862</c:v>
                </c:pt>
                <c:pt idx="13">
                  <c:v>4422</c:v>
                </c:pt>
                <c:pt idx="14">
                  <c:v>15980</c:v>
                </c:pt>
                <c:pt idx="15">
                  <c:v>13436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9F-40B1-86EE-2CD653D71C55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2240</c:v>
                </c:pt>
                <c:pt idx="1">
                  <c:v>4975</c:v>
                </c:pt>
                <c:pt idx="2">
                  <c:v>24068</c:v>
                </c:pt>
                <c:pt idx="3">
                  <c:v>4109</c:v>
                </c:pt>
                <c:pt idx="4">
                  <c:v>24064</c:v>
                </c:pt>
                <c:pt idx="5">
                  <c:v>9984</c:v>
                </c:pt>
                <c:pt idx="6">
                  <c:v>4764</c:v>
                </c:pt>
                <c:pt idx="7">
                  <c:v>4862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3125</c:v>
                </c:pt>
                <c:pt idx="13">
                  <c:v>4422</c:v>
                </c:pt>
                <c:pt idx="14">
                  <c:v>15980</c:v>
                </c:pt>
                <c:pt idx="15">
                  <c:v>13436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9F-40B1-86EE-2CD653D71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50%</c:v>
                </c:pt>
                <c:pt idx="1">
                  <c:v>83%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96%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79%</c:v>
                </c:pt>
                <c:pt idx="14">
                  <c:v>71%</c:v>
                </c:pt>
                <c:pt idx="15">
                  <c:v>29%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0.5</c:v>
                </c:pt>
                <c:pt idx="1">
                  <c:v>0.83333333333333337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0.95833333333333337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0.70833333333333337</c:v>
                </c:pt>
                <c:pt idx="15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6-4BDB-9D2C-8875E33E2D3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66-4BDB-9D2C-8875E33E2D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LATCH/ROLLER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0.55989583333333337</c:v>
                </c:pt>
                <c:pt idx="1">
                  <c:v>0.55989583333333337</c:v>
                </c:pt>
                <c:pt idx="2">
                  <c:v>0.55989583333333337</c:v>
                </c:pt>
                <c:pt idx="3">
                  <c:v>0.55989583333333337</c:v>
                </c:pt>
                <c:pt idx="4">
                  <c:v>0.55989583333333337</c:v>
                </c:pt>
                <c:pt idx="5">
                  <c:v>0.55989583333333337</c:v>
                </c:pt>
                <c:pt idx="6">
                  <c:v>0.55989583333333337</c:v>
                </c:pt>
                <c:pt idx="7">
                  <c:v>0.55989583333333337</c:v>
                </c:pt>
                <c:pt idx="8">
                  <c:v>0.55989583333333337</c:v>
                </c:pt>
                <c:pt idx="9">
                  <c:v>0.55989583333333337</c:v>
                </c:pt>
                <c:pt idx="10">
                  <c:v>0.55989583333333337</c:v>
                </c:pt>
                <c:pt idx="11">
                  <c:v>0.55989583333333337</c:v>
                </c:pt>
                <c:pt idx="12">
                  <c:v>0.55989583333333337</c:v>
                </c:pt>
                <c:pt idx="13">
                  <c:v>0.55989583333333337</c:v>
                </c:pt>
                <c:pt idx="14">
                  <c:v>0.55989583333333337</c:v>
                </c:pt>
                <c:pt idx="15">
                  <c:v>0.55989583333333337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6-4BDB-9D2C-8875E33E2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2C3-483B-92CB-ADC141D04E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3-483B-92CB-ADC141D04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2C3-483B-92CB-ADC141D04E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C3-483B-92CB-ADC141D04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24616</c:v>
                </c:pt>
                <c:pt idx="3">
                  <c:v>4459</c:v>
                </c:pt>
                <c:pt idx="4">
                  <c:v>24888</c:v>
                </c:pt>
                <c:pt idx="5">
                  <c:v>7656</c:v>
                </c:pt>
                <c:pt idx="6">
                  <c:v>2936</c:v>
                </c:pt>
                <c:pt idx="7">
                  <c:v>5082</c:v>
                </c:pt>
                <c:pt idx="13">
                  <c:v>1677</c:v>
                </c:pt>
                <c:pt idx="14">
                  <c:v>500</c:v>
                </c:pt>
                <c:pt idx="15">
                  <c:v>12148</c:v>
                </c:pt>
                <c:pt idx="16">
                  <c:v>27116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2-4CBA-8BDE-42E97B561977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2240</c:v>
                </c:pt>
                <c:pt idx="1">
                  <c:v>4975</c:v>
                </c:pt>
                <c:pt idx="2">
                  <c:v>24616</c:v>
                </c:pt>
                <c:pt idx="3">
                  <c:v>4459</c:v>
                </c:pt>
                <c:pt idx="4">
                  <c:v>24888</c:v>
                </c:pt>
                <c:pt idx="5">
                  <c:v>7656</c:v>
                </c:pt>
                <c:pt idx="6">
                  <c:v>2936</c:v>
                </c:pt>
                <c:pt idx="7">
                  <c:v>5082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3125</c:v>
                </c:pt>
                <c:pt idx="13">
                  <c:v>1677</c:v>
                </c:pt>
                <c:pt idx="14">
                  <c:v>500</c:v>
                </c:pt>
                <c:pt idx="15">
                  <c:v>12148</c:v>
                </c:pt>
                <c:pt idx="16">
                  <c:v>27116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F2-4CBA-8BDE-42E97B561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67%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29%</c:v>
                </c:pt>
                <c:pt idx="14">
                  <c:v>17%</c:v>
                </c:pt>
                <c:pt idx="15">
                  <c:v>75%</c:v>
                </c:pt>
                <c:pt idx="16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0.66666666666666663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0.29166666666666669</c:v>
                </c:pt>
                <c:pt idx="14">
                  <c:v>0.16666666666666666</c:v>
                </c:pt>
                <c:pt idx="15">
                  <c:v>0.75</c:v>
                </c:pt>
                <c:pt idx="16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F-4F8D-9D70-5F1A3931BD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9F-4F8D-9D70-5F1A3931BD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0.40196078431372551</c:v>
                </c:pt>
                <c:pt idx="1">
                  <c:v>0.40196078431372551</c:v>
                </c:pt>
                <c:pt idx="2">
                  <c:v>0.40196078431372551</c:v>
                </c:pt>
                <c:pt idx="3">
                  <c:v>0.40196078431372551</c:v>
                </c:pt>
                <c:pt idx="4">
                  <c:v>0.40196078431372551</c:v>
                </c:pt>
                <c:pt idx="5">
                  <c:v>0.40196078431372551</c:v>
                </c:pt>
                <c:pt idx="6">
                  <c:v>0.40196078431372551</c:v>
                </c:pt>
                <c:pt idx="7">
                  <c:v>0.40196078431372551</c:v>
                </c:pt>
                <c:pt idx="8">
                  <c:v>0.40196078431372551</c:v>
                </c:pt>
                <c:pt idx="9">
                  <c:v>0.40196078431372551</c:v>
                </c:pt>
                <c:pt idx="10">
                  <c:v>0.40196078431372551</c:v>
                </c:pt>
                <c:pt idx="11">
                  <c:v>0.40196078431372551</c:v>
                </c:pt>
                <c:pt idx="12">
                  <c:v>0.40196078431372551</c:v>
                </c:pt>
                <c:pt idx="13">
                  <c:v>0.40196078431372551</c:v>
                </c:pt>
                <c:pt idx="14">
                  <c:v>0.40196078431372551</c:v>
                </c:pt>
                <c:pt idx="15">
                  <c:v>0.40196078431372551</c:v>
                </c:pt>
                <c:pt idx="16">
                  <c:v>0.40196078431372551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9F-4F8D-9D70-5F1A3931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24616</c:v>
                </c:pt>
                <c:pt idx="3">
                  <c:v>4459</c:v>
                </c:pt>
                <c:pt idx="4">
                  <c:v>24888</c:v>
                </c:pt>
                <c:pt idx="5">
                  <c:v>7656</c:v>
                </c:pt>
                <c:pt idx="6">
                  <c:v>2936</c:v>
                </c:pt>
                <c:pt idx="7">
                  <c:v>5082</c:v>
                </c:pt>
                <c:pt idx="13">
                  <c:v>1677</c:v>
                </c:pt>
                <c:pt idx="14">
                  <c:v>500</c:v>
                </c:pt>
                <c:pt idx="15">
                  <c:v>12148</c:v>
                </c:pt>
                <c:pt idx="16">
                  <c:v>27116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9-4BA6-842A-9AE657626622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2240</c:v>
                </c:pt>
                <c:pt idx="1">
                  <c:v>4975</c:v>
                </c:pt>
                <c:pt idx="2">
                  <c:v>24616</c:v>
                </c:pt>
                <c:pt idx="3">
                  <c:v>4459</c:v>
                </c:pt>
                <c:pt idx="4">
                  <c:v>24888</c:v>
                </c:pt>
                <c:pt idx="5">
                  <c:v>7656</c:v>
                </c:pt>
                <c:pt idx="6">
                  <c:v>2936</c:v>
                </c:pt>
                <c:pt idx="7">
                  <c:v>5082</c:v>
                </c:pt>
                <c:pt idx="8">
                  <c:v>2920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3125</c:v>
                </c:pt>
                <c:pt idx="13">
                  <c:v>1677</c:v>
                </c:pt>
                <c:pt idx="14">
                  <c:v>500</c:v>
                </c:pt>
                <c:pt idx="15">
                  <c:v>12148</c:v>
                </c:pt>
                <c:pt idx="16">
                  <c:v>27116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9-4BA6-842A-9AE657626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67%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29%</c:v>
                </c:pt>
                <c:pt idx="14">
                  <c:v>17%</c:v>
                </c:pt>
                <c:pt idx="15">
                  <c:v>75%</c:v>
                </c:pt>
                <c:pt idx="16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0.66666666666666663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0.29166666666666669</c:v>
                </c:pt>
                <c:pt idx="14">
                  <c:v>0.16666666666666666</c:v>
                </c:pt>
                <c:pt idx="15">
                  <c:v>0.75</c:v>
                </c:pt>
                <c:pt idx="16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F-433D-AB09-3A800AF263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2F-433D-AB09-3A800AF263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COVER</c:v>
                </c:pt>
                <c:pt idx="12">
                  <c:v>STOPPER</c:v>
                </c:pt>
                <c:pt idx="13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0.40196078431372551</c:v>
                </c:pt>
                <c:pt idx="1">
                  <c:v>0.40196078431372551</c:v>
                </c:pt>
                <c:pt idx="2">
                  <c:v>0.40196078431372551</c:v>
                </c:pt>
                <c:pt idx="3">
                  <c:v>0.40196078431372551</c:v>
                </c:pt>
                <c:pt idx="4">
                  <c:v>0.40196078431372551</c:v>
                </c:pt>
                <c:pt idx="5">
                  <c:v>0.40196078431372551</c:v>
                </c:pt>
                <c:pt idx="6">
                  <c:v>0.40196078431372551</c:v>
                </c:pt>
                <c:pt idx="7">
                  <c:v>0.40196078431372551</c:v>
                </c:pt>
                <c:pt idx="8">
                  <c:v>0.40196078431372551</c:v>
                </c:pt>
                <c:pt idx="9">
                  <c:v>0.40196078431372551</c:v>
                </c:pt>
                <c:pt idx="10">
                  <c:v>0.40196078431372551</c:v>
                </c:pt>
                <c:pt idx="11">
                  <c:v>0.40196078431372551</c:v>
                </c:pt>
                <c:pt idx="12">
                  <c:v>0.40196078431372551</c:v>
                </c:pt>
                <c:pt idx="13">
                  <c:v>0.40196078431372551</c:v>
                </c:pt>
                <c:pt idx="14">
                  <c:v>0.40196078431372551</c:v>
                </c:pt>
                <c:pt idx="15">
                  <c:v>0.40196078431372551</c:v>
                </c:pt>
                <c:pt idx="16">
                  <c:v>0.40196078431372551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F-433D-AB09-3A800AF2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0A9-48DF-90F7-48FB74A17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9-48DF-90F7-48FB74A17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0A9-48DF-90F7-48FB74A178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A9-48DF-90F7-48FB74A17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2">
                  <c:v>24584</c:v>
                </c:pt>
                <c:pt idx="3">
                  <c:v>1537</c:v>
                </c:pt>
                <c:pt idx="4">
                  <c:v>2224</c:v>
                </c:pt>
                <c:pt idx="5">
                  <c:v>25144</c:v>
                </c:pt>
                <c:pt idx="6">
                  <c:v>11870</c:v>
                </c:pt>
                <c:pt idx="7">
                  <c:v>4795</c:v>
                </c:pt>
                <c:pt idx="8">
                  <c:v>5193</c:v>
                </c:pt>
                <c:pt idx="9">
                  <c:v>378</c:v>
                </c:pt>
                <c:pt idx="13">
                  <c:v>2656</c:v>
                </c:pt>
                <c:pt idx="15">
                  <c:v>8056</c:v>
                </c:pt>
                <c:pt idx="16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5-4ED6-995D-376D0FB1B502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2240</c:v>
                </c:pt>
                <c:pt idx="1">
                  <c:v>4975</c:v>
                </c:pt>
                <c:pt idx="2">
                  <c:v>24584</c:v>
                </c:pt>
                <c:pt idx="3">
                  <c:v>1537</c:v>
                </c:pt>
                <c:pt idx="4">
                  <c:v>2224</c:v>
                </c:pt>
                <c:pt idx="5">
                  <c:v>25144</c:v>
                </c:pt>
                <c:pt idx="6">
                  <c:v>11870</c:v>
                </c:pt>
                <c:pt idx="7">
                  <c:v>4795</c:v>
                </c:pt>
                <c:pt idx="8">
                  <c:v>5193</c:v>
                </c:pt>
                <c:pt idx="9">
                  <c:v>378</c:v>
                </c:pt>
                <c:pt idx="10">
                  <c:v>1328</c:v>
                </c:pt>
                <c:pt idx="11">
                  <c:v>495</c:v>
                </c:pt>
                <c:pt idx="12">
                  <c:v>400</c:v>
                </c:pt>
                <c:pt idx="13">
                  <c:v>2656</c:v>
                </c:pt>
                <c:pt idx="14">
                  <c:v>500</c:v>
                </c:pt>
                <c:pt idx="15">
                  <c:v>8056</c:v>
                </c:pt>
                <c:pt idx="16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5-4ED6-995D-376D0FB1B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50%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100%</c:v>
                </c:pt>
                <c:pt idx="9">
                  <c:v>29%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54%</c:v>
                </c:pt>
                <c:pt idx="14">
                  <c:v>0%</c:v>
                </c:pt>
                <c:pt idx="15">
                  <c:v>46%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0.29166666666666669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0.54166666666666663</c:v>
                </c:pt>
                <c:pt idx="14">
                  <c:v>0</c:v>
                </c:pt>
                <c:pt idx="15">
                  <c:v>0.45833333333333331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B-4CE1-89B1-098EDDF8B50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2B-4CE1-89B1-098EDDF8B50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0.44607843137254899</c:v>
                </c:pt>
                <c:pt idx="1">
                  <c:v>0.44607843137254899</c:v>
                </c:pt>
                <c:pt idx="2">
                  <c:v>0.44607843137254899</c:v>
                </c:pt>
                <c:pt idx="3">
                  <c:v>0.44607843137254899</c:v>
                </c:pt>
                <c:pt idx="4">
                  <c:v>0.44607843137254899</c:v>
                </c:pt>
                <c:pt idx="5">
                  <c:v>0.44607843137254899</c:v>
                </c:pt>
                <c:pt idx="6">
                  <c:v>0.44607843137254899</c:v>
                </c:pt>
                <c:pt idx="7">
                  <c:v>0.44607843137254899</c:v>
                </c:pt>
                <c:pt idx="8">
                  <c:v>0.44607843137254899</c:v>
                </c:pt>
                <c:pt idx="9">
                  <c:v>0.44607843137254899</c:v>
                </c:pt>
                <c:pt idx="10">
                  <c:v>0.44607843137254899</c:v>
                </c:pt>
                <c:pt idx="11">
                  <c:v>0.44607843137254899</c:v>
                </c:pt>
                <c:pt idx="12">
                  <c:v>0.44607843137254899</c:v>
                </c:pt>
                <c:pt idx="13">
                  <c:v>0.44607843137254899</c:v>
                </c:pt>
                <c:pt idx="14">
                  <c:v>0.44607843137254899</c:v>
                </c:pt>
                <c:pt idx="15">
                  <c:v>0.44607843137254899</c:v>
                </c:pt>
                <c:pt idx="16">
                  <c:v>0.44607843137254899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2B-4CE1-89B1-098EDDF8B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2">
                  <c:v>24584</c:v>
                </c:pt>
                <c:pt idx="3">
                  <c:v>1537</c:v>
                </c:pt>
                <c:pt idx="4">
                  <c:v>2224</c:v>
                </c:pt>
                <c:pt idx="5">
                  <c:v>25144</c:v>
                </c:pt>
                <c:pt idx="6">
                  <c:v>11870</c:v>
                </c:pt>
                <c:pt idx="7">
                  <c:v>4795</c:v>
                </c:pt>
                <c:pt idx="8">
                  <c:v>5193</c:v>
                </c:pt>
                <c:pt idx="9">
                  <c:v>378</c:v>
                </c:pt>
                <c:pt idx="13">
                  <c:v>2656</c:v>
                </c:pt>
                <c:pt idx="15">
                  <c:v>8056</c:v>
                </c:pt>
                <c:pt idx="16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7-4F86-977F-37D140885B5A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2240</c:v>
                </c:pt>
                <c:pt idx="1">
                  <c:v>4975</c:v>
                </c:pt>
                <c:pt idx="2">
                  <c:v>24584</c:v>
                </c:pt>
                <c:pt idx="3">
                  <c:v>1537</c:v>
                </c:pt>
                <c:pt idx="4">
                  <c:v>2224</c:v>
                </c:pt>
                <c:pt idx="5">
                  <c:v>25144</c:v>
                </c:pt>
                <c:pt idx="6">
                  <c:v>11870</c:v>
                </c:pt>
                <c:pt idx="7">
                  <c:v>4795</c:v>
                </c:pt>
                <c:pt idx="8">
                  <c:v>5193</c:v>
                </c:pt>
                <c:pt idx="9">
                  <c:v>378</c:v>
                </c:pt>
                <c:pt idx="10">
                  <c:v>1328</c:v>
                </c:pt>
                <c:pt idx="11">
                  <c:v>495</c:v>
                </c:pt>
                <c:pt idx="12">
                  <c:v>400</c:v>
                </c:pt>
                <c:pt idx="13">
                  <c:v>2656</c:v>
                </c:pt>
                <c:pt idx="14">
                  <c:v>500</c:v>
                </c:pt>
                <c:pt idx="15">
                  <c:v>8056</c:v>
                </c:pt>
                <c:pt idx="16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7-4F86-977F-37D140885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50%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100%</c:v>
                </c:pt>
                <c:pt idx="9">
                  <c:v>29%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54%</c:v>
                </c:pt>
                <c:pt idx="14">
                  <c:v>0%</c:v>
                </c:pt>
                <c:pt idx="15">
                  <c:v>46%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0.29166666666666669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0.54166666666666663</c:v>
                </c:pt>
                <c:pt idx="14">
                  <c:v>0</c:v>
                </c:pt>
                <c:pt idx="15">
                  <c:v>0.45833333333333331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7-47CE-AB1C-088FF91C4D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17-47CE-AB1C-088FF91C4D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COVER</c:v>
                </c:pt>
                <c:pt idx="14">
                  <c:v>FLOAT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0.44607843137254899</c:v>
                </c:pt>
                <c:pt idx="1">
                  <c:v>0.44607843137254899</c:v>
                </c:pt>
                <c:pt idx="2">
                  <c:v>0.44607843137254899</c:v>
                </c:pt>
                <c:pt idx="3">
                  <c:v>0.44607843137254899</c:v>
                </c:pt>
                <c:pt idx="4">
                  <c:v>0.44607843137254899</c:v>
                </c:pt>
                <c:pt idx="5">
                  <c:v>0.44607843137254899</c:v>
                </c:pt>
                <c:pt idx="6">
                  <c:v>0.44607843137254899</c:v>
                </c:pt>
                <c:pt idx="7">
                  <c:v>0.44607843137254899</c:v>
                </c:pt>
                <c:pt idx="8">
                  <c:v>0.44607843137254899</c:v>
                </c:pt>
                <c:pt idx="9">
                  <c:v>0.44607843137254899</c:v>
                </c:pt>
                <c:pt idx="10">
                  <c:v>0.44607843137254899</c:v>
                </c:pt>
                <c:pt idx="11">
                  <c:v>0.44607843137254899</c:v>
                </c:pt>
                <c:pt idx="12">
                  <c:v>0.44607843137254899</c:v>
                </c:pt>
                <c:pt idx="13">
                  <c:v>0.44607843137254899</c:v>
                </c:pt>
                <c:pt idx="14">
                  <c:v>0.44607843137254899</c:v>
                </c:pt>
                <c:pt idx="15">
                  <c:v>0.44607843137254899</c:v>
                </c:pt>
                <c:pt idx="16">
                  <c:v>0.44607843137254899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7-47CE-AB1C-088FF91C4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E43-492B-ACB8-D7CEB49B96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3-492B-ACB8-D7CEB49B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E43-492B-ACB8-D7CEB49B96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43-492B-ACB8-D7CEB49B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14764</c:v>
                </c:pt>
                <c:pt idx="1">
                  <c:v>16240</c:v>
                </c:pt>
                <c:pt idx="2">
                  <c:v>24152</c:v>
                </c:pt>
                <c:pt idx="3">
                  <c:v>5385</c:v>
                </c:pt>
                <c:pt idx="4">
                  <c:v>24944</c:v>
                </c:pt>
                <c:pt idx="5">
                  <c:v>7058</c:v>
                </c:pt>
                <c:pt idx="7">
                  <c:v>16415</c:v>
                </c:pt>
                <c:pt idx="12">
                  <c:v>4803</c:v>
                </c:pt>
                <c:pt idx="13">
                  <c:v>12300</c:v>
                </c:pt>
                <c:pt idx="15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A-49EB-9414-B640F9B7F173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14764</c:v>
                </c:pt>
                <c:pt idx="1">
                  <c:v>16240</c:v>
                </c:pt>
                <c:pt idx="2">
                  <c:v>24152</c:v>
                </c:pt>
                <c:pt idx="3">
                  <c:v>5385</c:v>
                </c:pt>
                <c:pt idx="4">
                  <c:v>24944</c:v>
                </c:pt>
                <c:pt idx="5">
                  <c:v>7058</c:v>
                </c:pt>
                <c:pt idx="6">
                  <c:v>4795</c:v>
                </c:pt>
                <c:pt idx="7">
                  <c:v>16415</c:v>
                </c:pt>
                <c:pt idx="8">
                  <c:v>378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4803</c:v>
                </c:pt>
                <c:pt idx="13">
                  <c:v>12300</c:v>
                </c:pt>
                <c:pt idx="14">
                  <c:v>8056</c:v>
                </c:pt>
                <c:pt idx="15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A-49EB-9414-B640F9B7F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58%</c:v>
                </c:pt>
                <c:pt idx="1">
                  <c:v>75%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75%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88%</c:v>
                </c:pt>
                <c:pt idx="13">
                  <c:v>58%</c:v>
                </c:pt>
                <c:pt idx="14">
                  <c:v>0%</c:v>
                </c:pt>
                <c:pt idx="15">
                  <c:v>79%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0.875</c:v>
                </c:pt>
                <c:pt idx="13">
                  <c:v>0.58333333333333337</c:v>
                </c:pt>
                <c:pt idx="14">
                  <c:v>0</c:v>
                </c:pt>
                <c:pt idx="15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B-467A-BFD8-3EA4D26F02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8B-467A-BFD8-3EA4D26F02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0.51041666666666663</c:v>
                </c:pt>
                <c:pt idx="1">
                  <c:v>0.51041666666666663</c:v>
                </c:pt>
                <c:pt idx="2">
                  <c:v>0.51041666666666663</c:v>
                </c:pt>
                <c:pt idx="3">
                  <c:v>0.51041666666666663</c:v>
                </c:pt>
                <c:pt idx="4">
                  <c:v>0.51041666666666663</c:v>
                </c:pt>
                <c:pt idx="5">
                  <c:v>0.51041666666666663</c:v>
                </c:pt>
                <c:pt idx="6">
                  <c:v>0.51041666666666663</c:v>
                </c:pt>
                <c:pt idx="7">
                  <c:v>0.51041666666666663</c:v>
                </c:pt>
                <c:pt idx="8">
                  <c:v>0.51041666666666663</c:v>
                </c:pt>
                <c:pt idx="9">
                  <c:v>0.51041666666666663</c:v>
                </c:pt>
                <c:pt idx="10">
                  <c:v>0.51041666666666663</c:v>
                </c:pt>
                <c:pt idx="11">
                  <c:v>0.51041666666666663</c:v>
                </c:pt>
                <c:pt idx="12">
                  <c:v>0.51041666666666663</c:v>
                </c:pt>
                <c:pt idx="13">
                  <c:v>0.51041666666666663</c:v>
                </c:pt>
                <c:pt idx="14">
                  <c:v>0.51041666666666663</c:v>
                </c:pt>
                <c:pt idx="15">
                  <c:v>0.51041666666666663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8B-467A-BFD8-3EA4D26F0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14764</c:v>
                </c:pt>
                <c:pt idx="1">
                  <c:v>16240</c:v>
                </c:pt>
                <c:pt idx="2">
                  <c:v>24152</c:v>
                </c:pt>
                <c:pt idx="3">
                  <c:v>5385</c:v>
                </c:pt>
                <c:pt idx="4">
                  <c:v>24944</c:v>
                </c:pt>
                <c:pt idx="5">
                  <c:v>7058</c:v>
                </c:pt>
                <c:pt idx="7">
                  <c:v>16415</c:v>
                </c:pt>
                <c:pt idx="12">
                  <c:v>4803</c:v>
                </c:pt>
                <c:pt idx="13">
                  <c:v>12300</c:v>
                </c:pt>
                <c:pt idx="15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8-4A9E-81A1-9593DF05273F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14764</c:v>
                </c:pt>
                <c:pt idx="1">
                  <c:v>16240</c:v>
                </c:pt>
                <c:pt idx="2">
                  <c:v>24152</c:v>
                </c:pt>
                <c:pt idx="3">
                  <c:v>5385</c:v>
                </c:pt>
                <c:pt idx="4">
                  <c:v>24944</c:v>
                </c:pt>
                <c:pt idx="5">
                  <c:v>7058</c:v>
                </c:pt>
                <c:pt idx="6">
                  <c:v>4795</c:v>
                </c:pt>
                <c:pt idx="7">
                  <c:v>16415</c:v>
                </c:pt>
                <c:pt idx="8">
                  <c:v>378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4803</c:v>
                </c:pt>
                <c:pt idx="13">
                  <c:v>12300</c:v>
                </c:pt>
                <c:pt idx="14">
                  <c:v>8056</c:v>
                </c:pt>
                <c:pt idx="15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8-4A9E-81A1-9593DF052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58%</c:v>
                </c:pt>
                <c:pt idx="1">
                  <c:v>75%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75%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88%</c:v>
                </c:pt>
                <c:pt idx="13">
                  <c:v>58%</c:v>
                </c:pt>
                <c:pt idx="14">
                  <c:v>0%</c:v>
                </c:pt>
                <c:pt idx="15">
                  <c:v>79%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0.875</c:v>
                </c:pt>
                <c:pt idx="13">
                  <c:v>0.58333333333333337</c:v>
                </c:pt>
                <c:pt idx="14">
                  <c:v>0</c:v>
                </c:pt>
                <c:pt idx="15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083-B442-E2C0119A7A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7B-4083-B442-E2C0119A7A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0.51041666666666663</c:v>
                </c:pt>
                <c:pt idx="1">
                  <c:v>0.51041666666666663</c:v>
                </c:pt>
                <c:pt idx="2">
                  <c:v>0.51041666666666663</c:v>
                </c:pt>
                <c:pt idx="3">
                  <c:v>0.51041666666666663</c:v>
                </c:pt>
                <c:pt idx="4">
                  <c:v>0.51041666666666663</c:v>
                </c:pt>
                <c:pt idx="5">
                  <c:v>0.51041666666666663</c:v>
                </c:pt>
                <c:pt idx="6">
                  <c:v>0.51041666666666663</c:v>
                </c:pt>
                <c:pt idx="7">
                  <c:v>0.51041666666666663</c:v>
                </c:pt>
                <c:pt idx="8">
                  <c:v>0.51041666666666663</c:v>
                </c:pt>
                <c:pt idx="9">
                  <c:v>0.51041666666666663</c:v>
                </c:pt>
                <c:pt idx="10">
                  <c:v>0.51041666666666663</c:v>
                </c:pt>
                <c:pt idx="11">
                  <c:v>0.51041666666666663</c:v>
                </c:pt>
                <c:pt idx="12">
                  <c:v>0.51041666666666663</c:v>
                </c:pt>
                <c:pt idx="13">
                  <c:v>0.51041666666666663</c:v>
                </c:pt>
                <c:pt idx="14">
                  <c:v>0.51041666666666663</c:v>
                </c:pt>
                <c:pt idx="15">
                  <c:v>0.51041666666666663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7B-4083-B442-E2C0119A7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E0F-47BF-8C61-B2BBF09C6D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F-47BF-8C61-B2BBF09C6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E0F-47BF-8C61-B2BBF09C6D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F-47BF-8C61-B2BBF09C6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22024</c:v>
                </c:pt>
                <c:pt idx="3">
                  <c:v>5408</c:v>
                </c:pt>
                <c:pt idx="4">
                  <c:v>18428</c:v>
                </c:pt>
                <c:pt idx="7">
                  <c:v>23304</c:v>
                </c:pt>
                <c:pt idx="12">
                  <c:v>5579</c:v>
                </c:pt>
                <c:pt idx="13">
                  <c:v>12160</c:v>
                </c:pt>
                <c:pt idx="15">
                  <c:v>66580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9-41E0-904E-298BC523CC0D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14764</c:v>
                </c:pt>
                <c:pt idx="1">
                  <c:v>16240</c:v>
                </c:pt>
                <c:pt idx="2">
                  <c:v>22024</c:v>
                </c:pt>
                <c:pt idx="3">
                  <c:v>5408</c:v>
                </c:pt>
                <c:pt idx="4">
                  <c:v>18428</c:v>
                </c:pt>
                <c:pt idx="5">
                  <c:v>7058</c:v>
                </c:pt>
                <c:pt idx="6">
                  <c:v>4795</c:v>
                </c:pt>
                <c:pt idx="7">
                  <c:v>23304</c:v>
                </c:pt>
                <c:pt idx="8">
                  <c:v>378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5579</c:v>
                </c:pt>
                <c:pt idx="13">
                  <c:v>12160</c:v>
                </c:pt>
                <c:pt idx="14">
                  <c:v>8056</c:v>
                </c:pt>
                <c:pt idx="15">
                  <c:v>66580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9-41E0-904E-298BC523C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100%</c:v>
                </c:pt>
                <c:pt idx="4">
                  <c:v>83%</c:v>
                </c:pt>
                <c:pt idx="5">
                  <c:v>0%</c:v>
                </c:pt>
                <c:pt idx="6">
                  <c:v>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67%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1</c:v>
                </c:pt>
                <c:pt idx="4">
                  <c:v>0.83333333333333337</c:v>
                </c:pt>
                <c:pt idx="5">
                  <c:v>0</c:v>
                </c:pt>
                <c:pt idx="6">
                  <c:v>0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0.66666666666666663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5-4666-8D5C-DF994BE151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05-4666-8D5C-DF994BE151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0.39843750000000006</c:v>
                </c:pt>
                <c:pt idx="1">
                  <c:v>0.39843750000000006</c:v>
                </c:pt>
                <c:pt idx="2">
                  <c:v>0.39843750000000006</c:v>
                </c:pt>
                <c:pt idx="3">
                  <c:v>0.39843750000000006</c:v>
                </c:pt>
                <c:pt idx="4">
                  <c:v>0.39843750000000006</c:v>
                </c:pt>
                <c:pt idx="5">
                  <c:v>0.39843750000000006</c:v>
                </c:pt>
                <c:pt idx="6">
                  <c:v>0.39843750000000006</c:v>
                </c:pt>
                <c:pt idx="7">
                  <c:v>0.39843750000000006</c:v>
                </c:pt>
                <c:pt idx="8">
                  <c:v>0.39843750000000006</c:v>
                </c:pt>
                <c:pt idx="9">
                  <c:v>0.39843750000000006</c:v>
                </c:pt>
                <c:pt idx="10">
                  <c:v>0.39843750000000006</c:v>
                </c:pt>
                <c:pt idx="11">
                  <c:v>0.39843750000000006</c:v>
                </c:pt>
                <c:pt idx="12">
                  <c:v>0.39843750000000006</c:v>
                </c:pt>
                <c:pt idx="13">
                  <c:v>0.39843750000000006</c:v>
                </c:pt>
                <c:pt idx="14">
                  <c:v>0.39843750000000006</c:v>
                </c:pt>
                <c:pt idx="15">
                  <c:v>0.39843750000000006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05-4666-8D5C-DF994BE1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22024</c:v>
                </c:pt>
                <c:pt idx="3">
                  <c:v>5408</c:v>
                </c:pt>
                <c:pt idx="4">
                  <c:v>18428</c:v>
                </c:pt>
                <c:pt idx="7">
                  <c:v>23304</c:v>
                </c:pt>
                <c:pt idx="12">
                  <c:v>5579</c:v>
                </c:pt>
                <c:pt idx="13">
                  <c:v>12160</c:v>
                </c:pt>
                <c:pt idx="15">
                  <c:v>66580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F-4B89-9D91-3769990A1860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14764</c:v>
                </c:pt>
                <c:pt idx="1">
                  <c:v>16240</c:v>
                </c:pt>
                <c:pt idx="2">
                  <c:v>22024</c:v>
                </c:pt>
                <c:pt idx="3">
                  <c:v>5408</c:v>
                </c:pt>
                <c:pt idx="4">
                  <c:v>18428</c:v>
                </c:pt>
                <c:pt idx="5">
                  <c:v>7058</c:v>
                </c:pt>
                <c:pt idx="6">
                  <c:v>4795</c:v>
                </c:pt>
                <c:pt idx="7">
                  <c:v>23304</c:v>
                </c:pt>
                <c:pt idx="8">
                  <c:v>378</c:v>
                </c:pt>
                <c:pt idx="9">
                  <c:v>1328</c:v>
                </c:pt>
                <c:pt idx="10">
                  <c:v>495</c:v>
                </c:pt>
                <c:pt idx="11">
                  <c:v>400</c:v>
                </c:pt>
                <c:pt idx="12">
                  <c:v>5579</c:v>
                </c:pt>
                <c:pt idx="13">
                  <c:v>12160</c:v>
                </c:pt>
                <c:pt idx="14">
                  <c:v>8056</c:v>
                </c:pt>
                <c:pt idx="15">
                  <c:v>66580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F-4B89-9D91-3769990A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100%</c:v>
                </c:pt>
                <c:pt idx="4">
                  <c:v>83%</c:v>
                </c:pt>
                <c:pt idx="5">
                  <c:v>0%</c:v>
                </c:pt>
                <c:pt idx="6">
                  <c:v>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67%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1</c:v>
                </c:pt>
                <c:pt idx="4">
                  <c:v>0.83333333333333337</c:v>
                </c:pt>
                <c:pt idx="5">
                  <c:v>0</c:v>
                </c:pt>
                <c:pt idx="6">
                  <c:v>0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0.66666666666666663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0-4B10-B1CB-61D926B281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B0-4B10-B1CB-61D926B281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SLIDER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0.39843750000000006</c:v>
                </c:pt>
                <c:pt idx="1">
                  <c:v>0.39843750000000006</c:v>
                </c:pt>
                <c:pt idx="2">
                  <c:v>0.39843750000000006</c:v>
                </c:pt>
                <c:pt idx="3">
                  <c:v>0.39843750000000006</c:v>
                </c:pt>
                <c:pt idx="4">
                  <c:v>0.39843750000000006</c:v>
                </c:pt>
                <c:pt idx="5">
                  <c:v>0.39843750000000006</c:v>
                </c:pt>
                <c:pt idx="6">
                  <c:v>0.39843750000000006</c:v>
                </c:pt>
                <c:pt idx="7">
                  <c:v>0.39843750000000006</c:v>
                </c:pt>
                <c:pt idx="8">
                  <c:v>0.39843750000000006</c:v>
                </c:pt>
                <c:pt idx="9">
                  <c:v>0.39843750000000006</c:v>
                </c:pt>
                <c:pt idx="10">
                  <c:v>0.39843750000000006</c:v>
                </c:pt>
                <c:pt idx="11">
                  <c:v>0.39843750000000006</c:v>
                </c:pt>
                <c:pt idx="12">
                  <c:v>0.39843750000000006</c:v>
                </c:pt>
                <c:pt idx="13">
                  <c:v>0.39843750000000006</c:v>
                </c:pt>
                <c:pt idx="14">
                  <c:v>0.39843750000000006</c:v>
                </c:pt>
                <c:pt idx="15">
                  <c:v>0.39843750000000006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0-4B10-B1CB-61D926B28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3D7-400F-B05F-109A2C1E40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7-400F-B05F-109A2C1E4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3D7-400F-B05F-109A2C1E40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D7-400F-B05F-109A2C1E4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5942</c:v>
                </c:pt>
                <c:pt idx="1">
                  <c:v>1601</c:v>
                </c:pt>
                <c:pt idx="2">
                  <c:v>23336</c:v>
                </c:pt>
                <c:pt idx="3">
                  <c:v>5351</c:v>
                </c:pt>
                <c:pt idx="4">
                  <c:v>25256</c:v>
                </c:pt>
                <c:pt idx="7">
                  <c:v>22652</c:v>
                </c:pt>
                <c:pt idx="9">
                  <c:v>20724</c:v>
                </c:pt>
                <c:pt idx="12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4-4D6A-8136-444858B800BB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5942</c:v>
                </c:pt>
                <c:pt idx="1">
                  <c:v>1601</c:v>
                </c:pt>
                <c:pt idx="2">
                  <c:v>23336</c:v>
                </c:pt>
                <c:pt idx="3">
                  <c:v>5351</c:v>
                </c:pt>
                <c:pt idx="4">
                  <c:v>25256</c:v>
                </c:pt>
                <c:pt idx="5">
                  <c:v>7058</c:v>
                </c:pt>
                <c:pt idx="6">
                  <c:v>4795</c:v>
                </c:pt>
                <c:pt idx="7">
                  <c:v>22652</c:v>
                </c:pt>
                <c:pt idx="8">
                  <c:v>378</c:v>
                </c:pt>
                <c:pt idx="9">
                  <c:v>20724</c:v>
                </c:pt>
                <c:pt idx="10">
                  <c:v>495</c:v>
                </c:pt>
                <c:pt idx="11">
                  <c:v>400</c:v>
                </c:pt>
                <c:pt idx="12">
                  <c:v>260</c:v>
                </c:pt>
                <c:pt idx="13">
                  <c:v>12160</c:v>
                </c:pt>
                <c:pt idx="14">
                  <c:v>8056</c:v>
                </c:pt>
                <c:pt idx="15">
                  <c:v>66580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4-4D6A-8136-444858B80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100%</c:v>
                </c:pt>
                <c:pt idx="1">
                  <c:v>33%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92%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1</c:v>
                </c:pt>
                <c:pt idx="1">
                  <c:v>0.33333333333333331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0.91666666666666663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5-414A-9B01-AD76B4CF0B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B5-414A-9B01-AD76B4CF0B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0.40104166666666669</c:v>
                </c:pt>
                <c:pt idx="1">
                  <c:v>0.40104166666666669</c:v>
                </c:pt>
                <c:pt idx="2">
                  <c:v>0.40104166666666669</c:v>
                </c:pt>
                <c:pt idx="3">
                  <c:v>0.40104166666666669</c:v>
                </c:pt>
                <c:pt idx="4">
                  <c:v>0.40104166666666669</c:v>
                </c:pt>
                <c:pt idx="5">
                  <c:v>0.40104166666666669</c:v>
                </c:pt>
                <c:pt idx="6">
                  <c:v>0.40104166666666669</c:v>
                </c:pt>
                <c:pt idx="7">
                  <c:v>0.40104166666666669</c:v>
                </c:pt>
                <c:pt idx="8">
                  <c:v>0.40104166666666669</c:v>
                </c:pt>
                <c:pt idx="9">
                  <c:v>0.40104166666666669</c:v>
                </c:pt>
                <c:pt idx="10">
                  <c:v>0.40104166666666669</c:v>
                </c:pt>
                <c:pt idx="11">
                  <c:v>0.40104166666666669</c:v>
                </c:pt>
                <c:pt idx="12">
                  <c:v>0.40104166666666669</c:v>
                </c:pt>
                <c:pt idx="13">
                  <c:v>0.40104166666666669</c:v>
                </c:pt>
                <c:pt idx="14">
                  <c:v>0.40104166666666669</c:v>
                </c:pt>
                <c:pt idx="15">
                  <c:v>0.40104166666666669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B5-414A-9B01-AD76B4CF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5942</c:v>
                </c:pt>
                <c:pt idx="1">
                  <c:v>1601</c:v>
                </c:pt>
                <c:pt idx="2">
                  <c:v>23336</c:v>
                </c:pt>
                <c:pt idx="3">
                  <c:v>5351</c:v>
                </c:pt>
                <c:pt idx="4">
                  <c:v>25256</c:v>
                </c:pt>
                <c:pt idx="7">
                  <c:v>22652</c:v>
                </c:pt>
                <c:pt idx="9">
                  <c:v>20724</c:v>
                </c:pt>
                <c:pt idx="12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1-4C17-94E6-4016A57F5945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5942</c:v>
                </c:pt>
                <c:pt idx="1">
                  <c:v>1601</c:v>
                </c:pt>
                <c:pt idx="2">
                  <c:v>23336</c:v>
                </c:pt>
                <c:pt idx="3">
                  <c:v>5351</c:v>
                </c:pt>
                <c:pt idx="4">
                  <c:v>25256</c:v>
                </c:pt>
                <c:pt idx="5">
                  <c:v>7058</c:v>
                </c:pt>
                <c:pt idx="6">
                  <c:v>4795</c:v>
                </c:pt>
                <c:pt idx="7">
                  <c:v>22652</c:v>
                </c:pt>
                <c:pt idx="8">
                  <c:v>378</c:v>
                </c:pt>
                <c:pt idx="9">
                  <c:v>20724</c:v>
                </c:pt>
                <c:pt idx="10">
                  <c:v>495</c:v>
                </c:pt>
                <c:pt idx="11">
                  <c:v>400</c:v>
                </c:pt>
                <c:pt idx="12">
                  <c:v>260</c:v>
                </c:pt>
                <c:pt idx="13">
                  <c:v>12160</c:v>
                </c:pt>
                <c:pt idx="14">
                  <c:v>8056</c:v>
                </c:pt>
                <c:pt idx="15">
                  <c:v>66580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1-4C17-94E6-4016A57F5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100%</c:v>
                </c:pt>
                <c:pt idx="1">
                  <c:v>33%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92%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1</c:v>
                </c:pt>
                <c:pt idx="1">
                  <c:v>0.33333333333333331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0.91666666666666663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F-456A-AF3B-93358D95E3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9F-456A-AF3B-93358D95E3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0.40104166666666669</c:v>
                </c:pt>
                <c:pt idx="1">
                  <c:v>0.40104166666666669</c:v>
                </c:pt>
                <c:pt idx="2">
                  <c:v>0.40104166666666669</c:v>
                </c:pt>
                <c:pt idx="3">
                  <c:v>0.40104166666666669</c:v>
                </c:pt>
                <c:pt idx="4">
                  <c:v>0.40104166666666669</c:v>
                </c:pt>
                <c:pt idx="5">
                  <c:v>0.40104166666666669</c:v>
                </c:pt>
                <c:pt idx="6">
                  <c:v>0.40104166666666669</c:v>
                </c:pt>
                <c:pt idx="7">
                  <c:v>0.40104166666666669</c:v>
                </c:pt>
                <c:pt idx="8">
                  <c:v>0.40104166666666669</c:v>
                </c:pt>
                <c:pt idx="9">
                  <c:v>0.40104166666666669</c:v>
                </c:pt>
                <c:pt idx="10">
                  <c:v>0.40104166666666669</c:v>
                </c:pt>
                <c:pt idx="11">
                  <c:v>0.40104166666666669</c:v>
                </c:pt>
                <c:pt idx="12">
                  <c:v>0.40104166666666669</c:v>
                </c:pt>
                <c:pt idx="13">
                  <c:v>0.40104166666666669</c:v>
                </c:pt>
                <c:pt idx="14">
                  <c:v>0.40104166666666669</c:v>
                </c:pt>
                <c:pt idx="15">
                  <c:v>0.40104166666666669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F-456A-AF3B-93358D95E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943-464F-8452-9AE90CC928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43-464F-8452-9AE90CC92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943-464F-8452-9AE90CC928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43-464F-8452-9AE90CC92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6006</c:v>
                </c:pt>
                <c:pt idx="2">
                  <c:v>22288</c:v>
                </c:pt>
                <c:pt idx="3">
                  <c:v>4749</c:v>
                </c:pt>
                <c:pt idx="4">
                  <c:v>23464</c:v>
                </c:pt>
                <c:pt idx="7">
                  <c:v>18028</c:v>
                </c:pt>
                <c:pt idx="8">
                  <c:v>100</c:v>
                </c:pt>
                <c:pt idx="9">
                  <c:v>15572</c:v>
                </c:pt>
                <c:pt idx="11">
                  <c:v>7654</c:v>
                </c:pt>
                <c:pt idx="12">
                  <c:v>425</c:v>
                </c:pt>
                <c:pt idx="14">
                  <c:v>6526</c:v>
                </c:pt>
                <c:pt idx="15">
                  <c:v>29616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6-4895-AE2E-01178D5F5025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6006</c:v>
                </c:pt>
                <c:pt idx="1">
                  <c:v>1601</c:v>
                </c:pt>
                <c:pt idx="2">
                  <c:v>22288</c:v>
                </c:pt>
                <c:pt idx="3">
                  <c:v>4749</c:v>
                </c:pt>
                <c:pt idx="4">
                  <c:v>23464</c:v>
                </c:pt>
                <c:pt idx="5">
                  <c:v>7058</c:v>
                </c:pt>
                <c:pt idx="6">
                  <c:v>4795</c:v>
                </c:pt>
                <c:pt idx="7">
                  <c:v>18028</c:v>
                </c:pt>
                <c:pt idx="8">
                  <c:v>100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425</c:v>
                </c:pt>
                <c:pt idx="13">
                  <c:v>12160</c:v>
                </c:pt>
                <c:pt idx="14">
                  <c:v>6526</c:v>
                </c:pt>
                <c:pt idx="15">
                  <c:v>29616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6-4895-AE2E-01178D5F5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75%</c:v>
                </c:pt>
                <c:pt idx="8">
                  <c:v>17%</c:v>
                </c:pt>
                <c:pt idx="9">
                  <c:v>75%</c:v>
                </c:pt>
                <c:pt idx="10">
                  <c:v>0%</c:v>
                </c:pt>
                <c:pt idx="11">
                  <c:v>71%</c:v>
                </c:pt>
                <c:pt idx="12">
                  <c:v>17%</c:v>
                </c:pt>
                <c:pt idx="13">
                  <c:v>0%</c:v>
                </c:pt>
                <c:pt idx="14">
                  <c:v>58%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0.75</c:v>
                </c:pt>
                <c:pt idx="8">
                  <c:v>0.16666666666666666</c:v>
                </c:pt>
                <c:pt idx="9">
                  <c:v>0.75</c:v>
                </c:pt>
                <c:pt idx="10">
                  <c:v>0</c:v>
                </c:pt>
                <c:pt idx="11">
                  <c:v>0.70833333333333337</c:v>
                </c:pt>
                <c:pt idx="12">
                  <c:v>0.16666666666666666</c:v>
                </c:pt>
                <c:pt idx="13">
                  <c:v>0</c:v>
                </c:pt>
                <c:pt idx="14">
                  <c:v>0.58333333333333337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9-40FD-9F8D-F3855440E6B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29-40FD-9F8D-F3855440E6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0.47135416666666669</c:v>
                </c:pt>
                <c:pt idx="1">
                  <c:v>0.47135416666666669</c:v>
                </c:pt>
                <c:pt idx="2">
                  <c:v>0.47135416666666669</c:v>
                </c:pt>
                <c:pt idx="3">
                  <c:v>0.47135416666666669</c:v>
                </c:pt>
                <c:pt idx="4">
                  <c:v>0.47135416666666669</c:v>
                </c:pt>
                <c:pt idx="5">
                  <c:v>0.47135416666666669</c:v>
                </c:pt>
                <c:pt idx="6">
                  <c:v>0.47135416666666669</c:v>
                </c:pt>
                <c:pt idx="7">
                  <c:v>0.47135416666666669</c:v>
                </c:pt>
                <c:pt idx="8">
                  <c:v>0.47135416666666669</c:v>
                </c:pt>
                <c:pt idx="9">
                  <c:v>0.47135416666666669</c:v>
                </c:pt>
                <c:pt idx="10">
                  <c:v>0.47135416666666669</c:v>
                </c:pt>
                <c:pt idx="11">
                  <c:v>0.47135416666666669</c:v>
                </c:pt>
                <c:pt idx="12">
                  <c:v>0.47135416666666669</c:v>
                </c:pt>
                <c:pt idx="13">
                  <c:v>0.47135416666666669</c:v>
                </c:pt>
                <c:pt idx="14">
                  <c:v>0.47135416666666669</c:v>
                </c:pt>
                <c:pt idx="15">
                  <c:v>0.47135416666666669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9-40FD-9F8D-F3855440E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6006</c:v>
                </c:pt>
                <c:pt idx="2">
                  <c:v>22288</c:v>
                </c:pt>
                <c:pt idx="3">
                  <c:v>4749</c:v>
                </c:pt>
                <c:pt idx="4">
                  <c:v>23464</c:v>
                </c:pt>
                <c:pt idx="7">
                  <c:v>18028</c:v>
                </c:pt>
                <c:pt idx="8">
                  <c:v>100</c:v>
                </c:pt>
                <c:pt idx="9">
                  <c:v>15572</c:v>
                </c:pt>
                <c:pt idx="11">
                  <c:v>7654</c:v>
                </c:pt>
                <c:pt idx="12">
                  <c:v>425</c:v>
                </c:pt>
                <c:pt idx="14">
                  <c:v>6526</c:v>
                </c:pt>
                <c:pt idx="15">
                  <c:v>29616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1-4F9E-B751-6969CADBA177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6006</c:v>
                </c:pt>
                <c:pt idx="1">
                  <c:v>1601</c:v>
                </c:pt>
                <c:pt idx="2">
                  <c:v>22288</c:v>
                </c:pt>
                <c:pt idx="3">
                  <c:v>4749</c:v>
                </c:pt>
                <c:pt idx="4">
                  <c:v>23464</c:v>
                </c:pt>
                <c:pt idx="5">
                  <c:v>7058</c:v>
                </c:pt>
                <c:pt idx="6">
                  <c:v>4795</c:v>
                </c:pt>
                <c:pt idx="7">
                  <c:v>18028</c:v>
                </c:pt>
                <c:pt idx="8">
                  <c:v>100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425</c:v>
                </c:pt>
                <c:pt idx="13">
                  <c:v>12160</c:v>
                </c:pt>
                <c:pt idx="14">
                  <c:v>6526</c:v>
                </c:pt>
                <c:pt idx="15">
                  <c:v>29616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1-4F9E-B751-6969CADBA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75%</c:v>
                </c:pt>
                <c:pt idx="8">
                  <c:v>17%</c:v>
                </c:pt>
                <c:pt idx="9">
                  <c:v>75%</c:v>
                </c:pt>
                <c:pt idx="10">
                  <c:v>0%</c:v>
                </c:pt>
                <c:pt idx="11">
                  <c:v>71%</c:v>
                </c:pt>
                <c:pt idx="12">
                  <c:v>17%</c:v>
                </c:pt>
                <c:pt idx="13">
                  <c:v>0%</c:v>
                </c:pt>
                <c:pt idx="14">
                  <c:v>58%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0.75</c:v>
                </c:pt>
                <c:pt idx="8">
                  <c:v>0.16666666666666666</c:v>
                </c:pt>
                <c:pt idx="9">
                  <c:v>0.75</c:v>
                </c:pt>
                <c:pt idx="10">
                  <c:v>0</c:v>
                </c:pt>
                <c:pt idx="11">
                  <c:v>0.70833333333333337</c:v>
                </c:pt>
                <c:pt idx="12">
                  <c:v>0.16666666666666666</c:v>
                </c:pt>
                <c:pt idx="13">
                  <c:v>0</c:v>
                </c:pt>
                <c:pt idx="14">
                  <c:v>0.58333333333333337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2-40D2-93C7-DB8DC8FE85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42-40D2-93C7-DB8DC8FE85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0.47135416666666669</c:v>
                </c:pt>
                <c:pt idx="1">
                  <c:v>0.47135416666666669</c:v>
                </c:pt>
                <c:pt idx="2">
                  <c:v>0.47135416666666669</c:v>
                </c:pt>
                <c:pt idx="3">
                  <c:v>0.47135416666666669</c:v>
                </c:pt>
                <c:pt idx="4">
                  <c:v>0.47135416666666669</c:v>
                </c:pt>
                <c:pt idx="5">
                  <c:v>0.47135416666666669</c:v>
                </c:pt>
                <c:pt idx="6">
                  <c:v>0.47135416666666669</c:v>
                </c:pt>
                <c:pt idx="7">
                  <c:v>0.47135416666666669</c:v>
                </c:pt>
                <c:pt idx="8">
                  <c:v>0.47135416666666669</c:v>
                </c:pt>
                <c:pt idx="9">
                  <c:v>0.47135416666666669</c:v>
                </c:pt>
                <c:pt idx="10">
                  <c:v>0.47135416666666669</c:v>
                </c:pt>
                <c:pt idx="11">
                  <c:v>0.47135416666666669</c:v>
                </c:pt>
                <c:pt idx="12">
                  <c:v>0.47135416666666669</c:v>
                </c:pt>
                <c:pt idx="13">
                  <c:v>0.47135416666666669</c:v>
                </c:pt>
                <c:pt idx="14">
                  <c:v>0.47135416666666669</c:v>
                </c:pt>
                <c:pt idx="15">
                  <c:v>0.47135416666666669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2-40D2-93C7-DB8DC8FE8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DFF-42E8-94FD-BC90030B30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F-42E8-94FD-BC90030B3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DFF-42E8-94FD-BC90030B30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FF-42E8-94FD-BC90030B3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1616</c:v>
                </c:pt>
                <c:pt idx="2">
                  <c:v>24624</c:v>
                </c:pt>
                <c:pt idx="3">
                  <c:v>66216</c:v>
                </c:pt>
                <c:pt idx="4">
                  <c:v>24928</c:v>
                </c:pt>
                <c:pt idx="5">
                  <c:v>20700</c:v>
                </c:pt>
                <c:pt idx="6">
                  <c:v>5356</c:v>
                </c:pt>
                <c:pt idx="7">
                  <c:v>24560</c:v>
                </c:pt>
                <c:pt idx="8">
                  <c:v>107</c:v>
                </c:pt>
                <c:pt idx="13">
                  <c:v>1050</c:v>
                </c:pt>
                <c:pt idx="15">
                  <c:v>68476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F-49CE-8C82-7F193C3F3309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1616</c:v>
                </c:pt>
                <c:pt idx="1">
                  <c:v>1601</c:v>
                </c:pt>
                <c:pt idx="2">
                  <c:v>24624</c:v>
                </c:pt>
                <c:pt idx="3">
                  <c:v>66216</c:v>
                </c:pt>
                <c:pt idx="4">
                  <c:v>24928</c:v>
                </c:pt>
                <c:pt idx="5">
                  <c:v>20700</c:v>
                </c:pt>
                <c:pt idx="6">
                  <c:v>5356</c:v>
                </c:pt>
                <c:pt idx="7">
                  <c:v>24560</c:v>
                </c:pt>
                <c:pt idx="8">
                  <c:v>107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425</c:v>
                </c:pt>
                <c:pt idx="13">
                  <c:v>1050</c:v>
                </c:pt>
                <c:pt idx="14">
                  <c:v>6526</c:v>
                </c:pt>
                <c:pt idx="15">
                  <c:v>68476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F-49CE-8C82-7F193C3F3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33%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92%</c:v>
                </c:pt>
                <c:pt idx="6">
                  <c:v>58%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25%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0.33333333333333331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0.91666666666666663</c:v>
                </c:pt>
                <c:pt idx="6">
                  <c:v>0.58333333333333337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FDF-B951-00F21708E92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DD-4FDF-B951-00F21708E9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0.4453125</c:v>
                </c:pt>
                <c:pt idx="1">
                  <c:v>0.4453125</c:v>
                </c:pt>
                <c:pt idx="2">
                  <c:v>0.4453125</c:v>
                </c:pt>
                <c:pt idx="3">
                  <c:v>0.4453125</c:v>
                </c:pt>
                <c:pt idx="4">
                  <c:v>0.4453125</c:v>
                </c:pt>
                <c:pt idx="5">
                  <c:v>0.4453125</c:v>
                </c:pt>
                <c:pt idx="6">
                  <c:v>0.4453125</c:v>
                </c:pt>
                <c:pt idx="7">
                  <c:v>0.4453125</c:v>
                </c:pt>
                <c:pt idx="8">
                  <c:v>0.4453125</c:v>
                </c:pt>
                <c:pt idx="9">
                  <c:v>0.4453125</c:v>
                </c:pt>
                <c:pt idx="10">
                  <c:v>0.4453125</c:v>
                </c:pt>
                <c:pt idx="11">
                  <c:v>0.4453125</c:v>
                </c:pt>
                <c:pt idx="12">
                  <c:v>0.4453125</c:v>
                </c:pt>
                <c:pt idx="13">
                  <c:v>0.4453125</c:v>
                </c:pt>
                <c:pt idx="14">
                  <c:v>0.4453125</c:v>
                </c:pt>
                <c:pt idx="15">
                  <c:v>0.4453125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D-4FDF-B951-00F21708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1616</c:v>
                </c:pt>
                <c:pt idx="2">
                  <c:v>24624</c:v>
                </c:pt>
                <c:pt idx="3">
                  <c:v>66216</c:v>
                </c:pt>
                <c:pt idx="4">
                  <c:v>24928</c:v>
                </c:pt>
                <c:pt idx="5">
                  <c:v>20700</c:v>
                </c:pt>
                <c:pt idx="6">
                  <c:v>5356</c:v>
                </c:pt>
                <c:pt idx="7">
                  <c:v>24560</c:v>
                </c:pt>
                <c:pt idx="8">
                  <c:v>107</c:v>
                </c:pt>
                <c:pt idx="13">
                  <c:v>1050</c:v>
                </c:pt>
                <c:pt idx="15">
                  <c:v>68476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8-444C-AD9E-4D1D68D0F38E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1616</c:v>
                </c:pt>
                <c:pt idx="1">
                  <c:v>1601</c:v>
                </c:pt>
                <c:pt idx="2">
                  <c:v>24624</c:v>
                </c:pt>
                <c:pt idx="3">
                  <c:v>66216</c:v>
                </c:pt>
                <c:pt idx="4">
                  <c:v>24928</c:v>
                </c:pt>
                <c:pt idx="5">
                  <c:v>20700</c:v>
                </c:pt>
                <c:pt idx="6">
                  <c:v>5356</c:v>
                </c:pt>
                <c:pt idx="7">
                  <c:v>24560</c:v>
                </c:pt>
                <c:pt idx="8">
                  <c:v>107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425</c:v>
                </c:pt>
                <c:pt idx="13">
                  <c:v>1050</c:v>
                </c:pt>
                <c:pt idx="14">
                  <c:v>6526</c:v>
                </c:pt>
                <c:pt idx="15">
                  <c:v>68476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8-444C-AD9E-4D1D68D0F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33%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92%</c:v>
                </c:pt>
                <c:pt idx="6">
                  <c:v>58%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25%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0.33333333333333331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0.91666666666666663</c:v>
                </c:pt>
                <c:pt idx="6">
                  <c:v>0.58333333333333337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1-4602-B683-2A3BDDB801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51-4602-B683-2A3BDDB801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GUIDE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CAM</c:v>
                </c:pt>
                <c:pt idx="14">
                  <c:v>LEAD GUIDE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0.4453125</c:v>
                </c:pt>
                <c:pt idx="1">
                  <c:v>0.4453125</c:v>
                </c:pt>
                <c:pt idx="2">
                  <c:v>0.4453125</c:v>
                </c:pt>
                <c:pt idx="3">
                  <c:v>0.4453125</c:v>
                </c:pt>
                <c:pt idx="4">
                  <c:v>0.4453125</c:v>
                </c:pt>
                <c:pt idx="5">
                  <c:v>0.4453125</c:v>
                </c:pt>
                <c:pt idx="6">
                  <c:v>0.4453125</c:v>
                </c:pt>
                <c:pt idx="7">
                  <c:v>0.4453125</c:v>
                </c:pt>
                <c:pt idx="8">
                  <c:v>0.4453125</c:v>
                </c:pt>
                <c:pt idx="9">
                  <c:v>0.4453125</c:v>
                </c:pt>
                <c:pt idx="10">
                  <c:v>0.4453125</c:v>
                </c:pt>
                <c:pt idx="11">
                  <c:v>0.4453125</c:v>
                </c:pt>
                <c:pt idx="12">
                  <c:v>0.4453125</c:v>
                </c:pt>
                <c:pt idx="13">
                  <c:v>0.4453125</c:v>
                </c:pt>
                <c:pt idx="14">
                  <c:v>0.4453125</c:v>
                </c:pt>
                <c:pt idx="15">
                  <c:v>0.4453125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1-4602-B683-2A3BDDB8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DFD-4BB1-B558-E74E18143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D-4BB1-B558-E74E1814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DFD-4BB1-B558-E74E181434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D-4BB1-B558-E74E1814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0">
                  <c:v>2725</c:v>
                </c:pt>
                <c:pt idx="2">
                  <c:v>24704</c:v>
                </c:pt>
                <c:pt idx="3">
                  <c:v>74748</c:v>
                </c:pt>
                <c:pt idx="4">
                  <c:v>25056</c:v>
                </c:pt>
                <c:pt idx="5">
                  <c:v>10112</c:v>
                </c:pt>
                <c:pt idx="6">
                  <c:v>10408</c:v>
                </c:pt>
                <c:pt idx="7">
                  <c:v>16004</c:v>
                </c:pt>
                <c:pt idx="8">
                  <c:v>133</c:v>
                </c:pt>
                <c:pt idx="9">
                  <c:v>139</c:v>
                </c:pt>
                <c:pt idx="13">
                  <c:v>1722</c:v>
                </c:pt>
                <c:pt idx="14">
                  <c:v>6402</c:v>
                </c:pt>
                <c:pt idx="16">
                  <c:v>71048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5-4E51-B9F9-E9F5CCF4E13A}"/>
            </c:ext>
          </c:extLst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2725</c:v>
                </c:pt>
                <c:pt idx="1">
                  <c:v>1601</c:v>
                </c:pt>
                <c:pt idx="2">
                  <c:v>24704</c:v>
                </c:pt>
                <c:pt idx="3">
                  <c:v>74748</c:v>
                </c:pt>
                <c:pt idx="4">
                  <c:v>25056</c:v>
                </c:pt>
                <c:pt idx="5">
                  <c:v>10112</c:v>
                </c:pt>
                <c:pt idx="6">
                  <c:v>10408</c:v>
                </c:pt>
                <c:pt idx="7">
                  <c:v>16004</c:v>
                </c:pt>
                <c:pt idx="8">
                  <c:v>133</c:v>
                </c:pt>
                <c:pt idx="9">
                  <c:v>139</c:v>
                </c:pt>
                <c:pt idx="10">
                  <c:v>15572</c:v>
                </c:pt>
                <c:pt idx="11">
                  <c:v>495</c:v>
                </c:pt>
                <c:pt idx="12">
                  <c:v>7654</c:v>
                </c:pt>
                <c:pt idx="13">
                  <c:v>1722</c:v>
                </c:pt>
                <c:pt idx="14">
                  <c:v>6402</c:v>
                </c:pt>
                <c:pt idx="15">
                  <c:v>6526</c:v>
                </c:pt>
                <c:pt idx="16">
                  <c:v>71048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5-4E51-B9F9-E9F5CCF4E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7"/>
                <c:pt idx="0">
                  <c:v>58%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96%</c:v>
                </c:pt>
                <c:pt idx="6">
                  <c:v>96%</c:v>
                </c:pt>
                <c:pt idx="7">
                  <c:v>71%</c:v>
                </c:pt>
                <c:pt idx="8">
                  <c:v>13%</c:v>
                </c:pt>
                <c:pt idx="9">
                  <c:v>13%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46%</c:v>
                </c:pt>
                <c:pt idx="14">
                  <c:v>83%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0.58333333333333337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0.70833333333333337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0.45833333333333331</c:v>
                </c:pt>
                <c:pt idx="14">
                  <c:v>0.83333333333333337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1-4B60-B828-2FABD5AEC5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31-4B60-B828-2FABD5AEC5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0.51470588235294112</c:v>
                </c:pt>
                <c:pt idx="1">
                  <c:v>0.51470588235294112</c:v>
                </c:pt>
                <c:pt idx="2">
                  <c:v>0.51470588235294112</c:v>
                </c:pt>
                <c:pt idx="3">
                  <c:v>0.51470588235294112</c:v>
                </c:pt>
                <c:pt idx="4">
                  <c:v>0.51470588235294112</c:v>
                </c:pt>
                <c:pt idx="5">
                  <c:v>0.51470588235294112</c:v>
                </c:pt>
                <c:pt idx="6">
                  <c:v>0.51470588235294112</c:v>
                </c:pt>
                <c:pt idx="7">
                  <c:v>0.51470588235294112</c:v>
                </c:pt>
                <c:pt idx="8">
                  <c:v>0.51470588235294112</c:v>
                </c:pt>
                <c:pt idx="9">
                  <c:v>0.51470588235294112</c:v>
                </c:pt>
                <c:pt idx="10">
                  <c:v>0.51470588235294112</c:v>
                </c:pt>
                <c:pt idx="11">
                  <c:v>0.51470588235294112</c:v>
                </c:pt>
                <c:pt idx="12">
                  <c:v>0.51470588235294112</c:v>
                </c:pt>
                <c:pt idx="13">
                  <c:v>0.51470588235294112</c:v>
                </c:pt>
                <c:pt idx="14">
                  <c:v>0.51470588235294112</c:v>
                </c:pt>
                <c:pt idx="15">
                  <c:v>0.51470588235294112</c:v>
                </c:pt>
                <c:pt idx="16">
                  <c:v>0.51470588235294112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1-4B60-B828-2FABD5AEC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0">
                  <c:v>2725</c:v>
                </c:pt>
                <c:pt idx="2">
                  <c:v>24704</c:v>
                </c:pt>
                <c:pt idx="3">
                  <c:v>74748</c:v>
                </c:pt>
                <c:pt idx="4">
                  <c:v>25056</c:v>
                </c:pt>
                <c:pt idx="5">
                  <c:v>10112</c:v>
                </c:pt>
                <c:pt idx="6">
                  <c:v>10408</c:v>
                </c:pt>
                <c:pt idx="7">
                  <c:v>16004</c:v>
                </c:pt>
                <c:pt idx="8">
                  <c:v>133</c:v>
                </c:pt>
                <c:pt idx="9">
                  <c:v>139</c:v>
                </c:pt>
                <c:pt idx="13">
                  <c:v>1722</c:v>
                </c:pt>
                <c:pt idx="14">
                  <c:v>6402</c:v>
                </c:pt>
                <c:pt idx="16">
                  <c:v>71048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4-4E58-B3D2-687E667F2C4A}"/>
            </c:ext>
          </c:extLst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2725</c:v>
                </c:pt>
                <c:pt idx="1">
                  <c:v>1601</c:v>
                </c:pt>
                <c:pt idx="2">
                  <c:v>24704</c:v>
                </c:pt>
                <c:pt idx="3">
                  <c:v>74748</c:v>
                </c:pt>
                <c:pt idx="4">
                  <c:v>25056</c:v>
                </c:pt>
                <c:pt idx="5">
                  <c:v>10112</c:v>
                </c:pt>
                <c:pt idx="6">
                  <c:v>10408</c:v>
                </c:pt>
                <c:pt idx="7">
                  <c:v>16004</c:v>
                </c:pt>
                <c:pt idx="8">
                  <c:v>133</c:v>
                </c:pt>
                <c:pt idx="9">
                  <c:v>139</c:v>
                </c:pt>
                <c:pt idx="10">
                  <c:v>15572</c:v>
                </c:pt>
                <c:pt idx="11">
                  <c:v>495</c:v>
                </c:pt>
                <c:pt idx="12">
                  <c:v>7654</c:v>
                </c:pt>
                <c:pt idx="13">
                  <c:v>1722</c:v>
                </c:pt>
                <c:pt idx="14">
                  <c:v>6402</c:v>
                </c:pt>
                <c:pt idx="15">
                  <c:v>6526</c:v>
                </c:pt>
                <c:pt idx="16">
                  <c:v>71048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4-4E58-B3D2-687E667F2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7"/>
                <c:pt idx="0">
                  <c:v>58%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96%</c:v>
                </c:pt>
                <c:pt idx="6">
                  <c:v>96%</c:v>
                </c:pt>
                <c:pt idx="7">
                  <c:v>71%</c:v>
                </c:pt>
                <c:pt idx="8">
                  <c:v>13%</c:v>
                </c:pt>
                <c:pt idx="9">
                  <c:v>13%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46%</c:v>
                </c:pt>
                <c:pt idx="14">
                  <c:v>83%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0.58333333333333337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0.70833333333333337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0.45833333333333331</c:v>
                </c:pt>
                <c:pt idx="14">
                  <c:v>0.83333333333333337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0-480B-8A9A-E4D073BF16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80-480B-8A9A-E4D073BF16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LATCH PLATE</c:v>
                </c:pt>
                <c:pt idx="15">
                  <c:v>LEAD GUIDE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0.51470588235294112</c:v>
                </c:pt>
                <c:pt idx="1">
                  <c:v>0.51470588235294112</c:v>
                </c:pt>
                <c:pt idx="2">
                  <c:v>0.51470588235294112</c:v>
                </c:pt>
                <c:pt idx="3">
                  <c:v>0.51470588235294112</c:v>
                </c:pt>
                <c:pt idx="4">
                  <c:v>0.51470588235294112</c:v>
                </c:pt>
                <c:pt idx="5">
                  <c:v>0.51470588235294112</c:v>
                </c:pt>
                <c:pt idx="6">
                  <c:v>0.51470588235294112</c:v>
                </c:pt>
                <c:pt idx="7">
                  <c:v>0.51470588235294112</c:v>
                </c:pt>
                <c:pt idx="8">
                  <c:v>0.51470588235294112</c:v>
                </c:pt>
                <c:pt idx="9">
                  <c:v>0.51470588235294112</c:v>
                </c:pt>
                <c:pt idx="10">
                  <c:v>0.51470588235294112</c:v>
                </c:pt>
                <c:pt idx="11">
                  <c:v>0.51470588235294112</c:v>
                </c:pt>
                <c:pt idx="12">
                  <c:v>0.51470588235294112</c:v>
                </c:pt>
                <c:pt idx="13">
                  <c:v>0.51470588235294112</c:v>
                </c:pt>
                <c:pt idx="14">
                  <c:v>0.51470588235294112</c:v>
                </c:pt>
                <c:pt idx="15">
                  <c:v>0.51470588235294112</c:v>
                </c:pt>
                <c:pt idx="16">
                  <c:v>0.51470588235294112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0-480B-8A9A-E4D073BF1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511-4392-8F11-548D8629E9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1-4392-8F11-548D8629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511-4392-8F11-548D8629E9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11-4392-8F11-548D8629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1408</c:v>
                </c:pt>
                <c:pt idx="2">
                  <c:v>24604</c:v>
                </c:pt>
                <c:pt idx="3">
                  <c:v>61176</c:v>
                </c:pt>
                <c:pt idx="4">
                  <c:v>25016</c:v>
                </c:pt>
                <c:pt idx="5">
                  <c:v>5810</c:v>
                </c:pt>
                <c:pt idx="6">
                  <c:v>24356</c:v>
                </c:pt>
                <c:pt idx="7">
                  <c:v>23972</c:v>
                </c:pt>
                <c:pt idx="12">
                  <c:v>3090</c:v>
                </c:pt>
                <c:pt idx="13">
                  <c:v>1504</c:v>
                </c:pt>
                <c:pt idx="15">
                  <c:v>38268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F-4357-914F-87E42F4956D9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1601</c:v>
                </c:pt>
                <c:pt idx="2">
                  <c:v>24604</c:v>
                </c:pt>
                <c:pt idx="3">
                  <c:v>61176</c:v>
                </c:pt>
                <c:pt idx="4">
                  <c:v>25016</c:v>
                </c:pt>
                <c:pt idx="5">
                  <c:v>5810</c:v>
                </c:pt>
                <c:pt idx="6">
                  <c:v>24356</c:v>
                </c:pt>
                <c:pt idx="7">
                  <c:v>23972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3090</c:v>
                </c:pt>
                <c:pt idx="13">
                  <c:v>1504</c:v>
                </c:pt>
                <c:pt idx="14">
                  <c:v>6526</c:v>
                </c:pt>
                <c:pt idx="15">
                  <c:v>38268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F-4357-914F-87E42F495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29%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100%</c:v>
                </c:pt>
                <c:pt idx="5">
                  <c:v>96%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33%</c:v>
                </c:pt>
                <c:pt idx="14">
                  <c:v>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1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0.33333333333333331</c:v>
                </c:pt>
                <c:pt idx="14">
                  <c:v>0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A-47B9-9D0C-58DB6FE3536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EA-47B9-9D0C-58DB6FE3536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0.48437499999999994</c:v>
                </c:pt>
                <c:pt idx="1">
                  <c:v>0.48437499999999994</c:v>
                </c:pt>
                <c:pt idx="2">
                  <c:v>0.48437499999999994</c:v>
                </c:pt>
                <c:pt idx="3">
                  <c:v>0.48437499999999994</c:v>
                </c:pt>
                <c:pt idx="4">
                  <c:v>0.48437499999999994</c:v>
                </c:pt>
                <c:pt idx="5">
                  <c:v>0.48437499999999994</c:v>
                </c:pt>
                <c:pt idx="6">
                  <c:v>0.48437499999999994</c:v>
                </c:pt>
                <c:pt idx="7">
                  <c:v>0.48437499999999994</c:v>
                </c:pt>
                <c:pt idx="8">
                  <c:v>0.48437499999999994</c:v>
                </c:pt>
                <c:pt idx="9">
                  <c:v>0.48437499999999994</c:v>
                </c:pt>
                <c:pt idx="10">
                  <c:v>0.48437499999999994</c:v>
                </c:pt>
                <c:pt idx="11">
                  <c:v>0.48437499999999994</c:v>
                </c:pt>
                <c:pt idx="12">
                  <c:v>0.48437499999999994</c:v>
                </c:pt>
                <c:pt idx="13">
                  <c:v>0.48437499999999994</c:v>
                </c:pt>
                <c:pt idx="14">
                  <c:v>0.48437499999999994</c:v>
                </c:pt>
                <c:pt idx="15">
                  <c:v>0.48437499999999994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A-47B9-9D0C-58DB6FE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1408</c:v>
                </c:pt>
                <c:pt idx="2">
                  <c:v>24604</c:v>
                </c:pt>
                <c:pt idx="3">
                  <c:v>61176</c:v>
                </c:pt>
                <c:pt idx="4">
                  <c:v>25016</c:v>
                </c:pt>
                <c:pt idx="5">
                  <c:v>5810</c:v>
                </c:pt>
                <c:pt idx="6">
                  <c:v>24356</c:v>
                </c:pt>
                <c:pt idx="7">
                  <c:v>23972</c:v>
                </c:pt>
                <c:pt idx="12">
                  <c:v>3090</c:v>
                </c:pt>
                <c:pt idx="13">
                  <c:v>1504</c:v>
                </c:pt>
                <c:pt idx="15">
                  <c:v>38268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7-43F5-A2E8-3AC212013B34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1601</c:v>
                </c:pt>
                <c:pt idx="2">
                  <c:v>24604</c:v>
                </c:pt>
                <c:pt idx="3">
                  <c:v>61176</c:v>
                </c:pt>
                <c:pt idx="4">
                  <c:v>25016</c:v>
                </c:pt>
                <c:pt idx="5">
                  <c:v>5810</c:v>
                </c:pt>
                <c:pt idx="6">
                  <c:v>24356</c:v>
                </c:pt>
                <c:pt idx="7">
                  <c:v>23972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3090</c:v>
                </c:pt>
                <c:pt idx="13">
                  <c:v>1504</c:v>
                </c:pt>
                <c:pt idx="14">
                  <c:v>6526</c:v>
                </c:pt>
                <c:pt idx="15">
                  <c:v>38268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7-43F5-A2E8-3AC212013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29%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100%</c:v>
                </c:pt>
                <c:pt idx="5">
                  <c:v>96%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33%</c:v>
                </c:pt>
                <c:pt idx="14">
                  <c:v>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1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0.33333333333333331</c:v>
                </c:pt>
                <c:pt idx="14">
                  <c:v>0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A-417D-B02D-E45876603A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CA-417D-B02D-E45876603A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0.48437499999999994</c:v>
                </c:pt>
                <c:pt idx="1">
                  <c:v>0.48437499999999994</c:v>
                </c:pt>
                <c:pt idx="2">
                  <c:v>0.48437499999999994</c:v>
                </c:pt>
                <c:pt idx="3">
                  <c:v>0.48437499999999994</c:v>
                </c:pt>
                <c:pt idx="4">
                  <c:v>0.48437499999999994</c:v>
                </c:pt>
                <c:pt idx="5">
                  <c:v>0.48437499999999994</c:v>
                </c:pt>
                <c:pt idx="6">
                  <c:v>0.48437499999999994</c:v>
                </c:pt>
                <c:pt idx="7">
                  <c:v>0.48437499999999994</c:v>
                </c:pt>
                <c:pt idx="8">
                  <c:v>0.48437499999999994</c:v>
                </c:pt>
                <c:pt idx="9">
                  <c:v>0.48437499999999994</c:v>
                </c:pt>
                <c:pt idx="10">
                  <c:v>0.48437499999999994</c:v>
                </c:pt>
                <c:pt idx="11">
                  <c:v>0.48437499999999994</c:v>
                </c:pt>
                <c:pt idx="12">
                  <c:v>0.48437499999999994</c:v>
                </c:pt>
                <c:pt idx="13">
                  <c:v>0.48437499999999994</c:v>
                </c:pt>
                <c:pt idx="14">
                  <c:v>0.48437499999999994</c:v>
                </c:pt>
                <c:pt idx="15">
                  <c:v>0.48437499999999994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A-417D-B02D-E4587660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F0D-44E8-A37E-88F27EB8AC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D-44E8-A37E-88F27EB8A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F0D-44E8-A37E-88F27EB8AC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0D-44E8-A37E-88F27EB8A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2">
                  <c:v>23776</c:v>
                </c:pt>
                <c:pt idx="3">
                  <c:v>10680</c:v>
                </c:pt>
                <c:pt idx="4">
                  <c:v>25024</c:v>
                </c:pt>
                <c:pt idx="6">
                  <c:v>25828</c:v>
                </c:pt>
                <c:pt idx="7">
                  <c:v>26116</c:v>
                </c:pt>
                <c:pt idx="13">
                  <c:v>2946</c:v>
                </c:pt>
                <c:pt idx="15">
                  <c:v>68612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8-4022-83FB-FCB04D012B31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1601</c:v>
                </c:pt>
                <c:pt idx="2">
                  <c:v>23776</c:v>
                </c:pt>
                <c:pt idx="3">
                  <c:v>10680</c:v>
                </c:pt>
                <c:pt idx="4">
                  <c:v>25024</c:v>
                </c:pt>
                <c:pt idx="5">
                  <c:v>5810</c:v>
                </c:pt>
                <c:pt idx="6">
                  <c:v>25828</c:v>
                </c:pt>
                <c:pt idx="7">
                  <c:v>26116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3090</c:v>
                </c:pt>
                <c:pt idx="13">
                  <c:v>2946</c:v>
                </c:pt>
                <c:pt idx="14">
                  <c:v>6526</c:v>
                </c:pt>
                <c:pt idx="15">
                  <c:v>68612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8-4022-83FB-FCB04D01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63%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0.625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1-45CC-856A-F8A1C95493E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41-45CC-856A-F8A1C95493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0.3671875</c:v>
                </c:pt>
                <c:pt idx="1">
                  <c:v>0.3671875</c:v>
                </c:pt>
                <c:pt idx="2">
                  <c:v>0.3671875</c:v>
                </c:pt>
                <c:pt idx="3">
                  <c:v>0.3671875</c:v>
                </c:pt>
                <c:pt idx="4">
                  <c:v>0.3671875</c:v>
                </c:pt>
                <c:pt idx="5">
                  <c:v>0.3671875</c:v>
                </c:pt>
                <c:pt idx="6">
                  <c:v>0.3671875</c:v>
                </c:pt>
                <c:pt idx="7">
                  <c:v>0.3671875</c:v>
                </c:pt>
                <c:pt idx="8">
                  <c:v>0.3671875</c:v>
                </c:pt>
                <c:pt idx="9">
                  <c:v>0.3671875</c:v>
                </c:pt>
                <c:pt idx="10">
                  <c:v>0.3671875</c:v>
                </c:pt>
                <c:pt idx="11">
                  <c:v>0.3671875</c:v>
                </c:pt>
                <c:pt idx="12">
                  <c:v>0.3671875</c:v>
                </c:pt>
                <c:pt idx="13">
                  <c:v>0.3671875</c:v>
                </c:pt>
                <c:pt idx="14">
                  <c:v>0.3671875</c:v>
                </c:pt>
                <c:pt idx="15">
                  <c:v>0.3671875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1-45CC-856A-F8A1C9549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2">
                  <c:v>23776</c:v>
                </c:pt>
                <c:pt idx="3">
                  <c:v>10680</c:v>
                </c:pt>
                <c:pt idx="4">
                  <c:v>25024</c:v>
                </c:pt>
                <c:pt idx="6">
                  <c:v>25828</c:v>
                </c:pt>
                <c:pt idx="7">
                  <c:v>26116</c:v>
                </c:pt>
                <c:pt idx="13">
                  <c:v>2946</c:v>
                </c:pt>
                <c:pt idx="15">
                  <c:v>68612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E-4EA2-B2DF-64CF53C6E287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1601</c:v>
                </c:pt>
                <c:pt idx="2">
                  <c:v>23776</c:v>
                </c:pt>
                <c:pt idx="3">
                  <c:v>10680</c:v>
                </c:pt>
                <c:pt idx="4">
                  <c:v>25024</c:v>
                </c:pt>
                <c:pt idx="5">
                  <c:v>5810</c:v>
                </c:pt>
                <c:pt idx="6">
                  <c:v>25828</c:v>
                </c:pt>
                <c:pt idx="7">
                  <c:v>26116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3090</c:v>
                </c:pt>
                <c:pt idx="13">
                  <c:v>2946</c:v>
                </c:pt>
                <c:pt idx="14">
                  <c:v>6526</c:v>
                </c:pt>
                <c:pt idx="15">
                  <c:v>68612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E-4EA2-B2DF-64CF53C6E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63%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0.625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C-4B7B-A2E4-F3F29D1E892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6C-4B7B-A2E4-F3F29D1E89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0.3671875</c:v>
                </c:pt>
                <c:pt idx="1">
                  <c:v>0.3671875</c:v>
                </c:pt>
                <c:pt idx="2">
                  <c:v>0.3671875</c:v>
                </c:pt>
                <c:pt idx="3">
                  <c:v>0.3671875</c:v>
                </c:pt>
                <c:pt idx="4">
                  <c:v>0.3671875</c:v>
                </c:pt>
                <c:pt idx="5">
                  <c:v>0.3671875</c:v>
                </c:pt>
                <c:pt idx="6">
                  <c:v>0.3671875</c:v>
                </c:pt>
                <c:pt idx="7">
                  <c:v>0.3671875</c:v>
                </c:pt>
                <c:pt idx="8">
                  <c:v>0.3671875</c:v>
                </c:pt>
                <c:pt idx="9">
                  <c:v>0.3671875</c:v>
                </c:pt>
                <c:pt idx="10">
                  <c:v>0.3671875</c:v>
                </c:pt>
                <c:pt idx="11">
                  <c:v>0.3671875</c:v>
                </c:pt>
                <c:pt idx="12">
                  <c:v>0.3671875</c:v>
                </c:pt>
                <c:pt idx="13">
                  <c:v>0.3671875</c:v>
                </c:pt>
                <c:pt idx="14">
                  <c:v>0.3671875</c:v>
                </c:pt>
                <c:pt idx="15">
                  <c:v>0.3671875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C-4B7B-A2E4-F3F29D1E8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38F-4E0C-9E98-E879CC7D28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F-4E0C-9E98-E879CC7D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38F-4E0C-9E98-E879CC7D28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8F-4E0C-9E98-E879CC7D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2">
                  <c:v>23632</c:v>
                </c:pt>
                <c:pt idx="4">
                  <c:v>25196</c:v>
                </c:pt>
                <c:pt idx="6">
                  <c:v>27100</c:v>
                </c:pt>
                <c:pt idx="7">
                  <c:v>28148</c:v>
                </c:pt>
                <c:pt idx="15">
                  <c:v>65844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0-4124-AFB0-4F230C53A9C5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1601</c:v>
                </c:pt>
                <c:pt idx="2">
                  <c:v>23632</c:v>
                </c:pt>
                <c:pt idx="3">
                  <c:v>10680</c:v>
                </c:pt>
                <c:pt idx="4">
                  <c:v>25196</c:v>
                </c:pt>
                <c:pt idx="5">
                  <c:v>5810</c:v>
                </c:pt>
                <c:pt idx="6">
                  <c:v>27100</c:v>
                </c:pt>
                <c:pt idx="7">
                  <c:v>28148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3090</c:v>
                </c:pt>
                <c:pt idx="13">
                  <c:v>2946</c:v>
                </c:pt>
                <c:pt idx="14">
                  <c:v>6526</c:v>
                </c:pt>
                <c:pt idx="15">
                  <c:v>65844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0-4124-AFB0-4F230C53A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4-4159-9929-FADCFBCCCDB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44-4159-9929-FADCFBCCCD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0.3125</c:v>
                </c:pt>
                <c:pt idx="1">
                  <c:v>0.3125</c:v>
                </c:pt>
                <c:pt idx="2">
                  <c:v>0.3125</c:v>
                </c:pt>
                <c:pt idx="3">
                  <c:v>0.3125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0.3125</c:v>
                </c:pt>
                <c:pt idx="8">
                  <c:v>0.3125</c:v>
                </c:pt>
                <c:pt idx="9">
                  <c:v>0.3125</c:v>
                </c:pt>
                <c:pt idx="10">
                  <c:v>0.3125</c:v>
                </c:pt>
                <c:pt idx="11">
                  <c:v>0.3125</c:v>
                </c:pt>
                <c:pt idx="12">
                  <c:v>0.3125</c:v>
                </c:pt>
                <c:pt idx="13">
                  <c:v>0.3125</c:v>
                </c:pt>
                <c:pt idx="14">
                  <c:v>0.3125</c:v>
                </c:pt>
                <c:pt idx="15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44-4159-9929-FADCFBCCC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2">
                  <c:v>23632</c:v>
                </c:pt>
                <c:pt idx="4">
                  <c:v>25196</c:v>
                </c:pt>
                <c:pt idx="6">
                  <c:v>27100</c:v>
                </c:pt>
                <c:pt idx="7">
                  <c:v>28148</c:v>
                </c:pt>
                <c:pt idx="15">
                  <c:v>65844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6-4330-8CBB-A9B3B6BC685A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1601</c:v>
                </c:pt>
                <c:pt idx="2">
                  <c:v>23632</c:v>
                </c:pt>
                <c:pt idx="3">
                  <c:v>10680</c:v>
                </c:pt>
                <c:pt idx="4">
                  <c:v>25196</c:v>
                </c:pt>
                <c:pt idx="5">
                  <c:v>5810</c:v>
                </c:pt>
                <c:pt idx="6">
                  <c:v>27100</c:v>
                </c:pt>
                <c:pt idx="7">
                  <c:v>28148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3090</c:v>
                </c:pt>
                <c:pt idx="13">
                  <c:v>2946</c:v>
                </c:pt>
                <c:pt idx="14">
                  <c:v>6526</c:v>
                </c:pt>
                <c:pt idx="15">
                  <c:v>65844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6-4330-8CBB-A9B3B6BC6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D-40C7-9A71-BBFBB1A4A7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ED-40C7-9A71-BBFBB1A4A7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LEAD GUIDE</c:v>
                </c:pt>
                <c:pt idx="14">
                  <c:v>LEAD GUIDE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0.3125</c:v>
                </c:pt>
                <c:pt idx="1">
                  <c:v>0.3125</c:v>
                </c:pt>
                <c:pt idx="2">
                  <c:v>0.3125</c:v>
                </c:pt>
                <c:pt idx="3">
                  <c:v>0.3125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0.3125</c:v>
                </c:pt>
                <c:pt idx="8">
                  <c:v>0.3125</c:v>
                </c:pt>
                <c:pt idx="9">
                  <c:v>0.3125</c:v>
                </c:pt>
                <c:pt idx="10">
                  <c:v>0.3125</c:v>
                </c:pt>
                <c:pt idx="11">
                  <c:v>0.3125</c:v>
                </c:pt>
                <c:pt idx="12">
                  <c:v>0.3125</c:v>
                </c:pt>
                <c:pt idx="13">
                  <c:v>0.3125</c:v>
                </c:pt>
                <c:pt idx="14">
                  <c:v>0.3125</c:v>
                </c:pt>
                <c:pt idx="15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D-40C7-9A71-BBFBB1A4A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6F6-4AE0-AC40-98EE71414A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6-4AE0-AC40-98EE71414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6F6-4AE0-AC40-98EE71414A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F6-4AE0-AC40-98EE71414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3251</c:v>
                </c:pt>
                <c:pt idx="2">
                  <c:v>22448</c:v>
                </c:pt>
                <c:pt idx="3">
                  <c:v>75036</c:v>
                </c:pt>
                <c:pt idx="4">
                  <c:v>23668</c:v>
                </c:pt>
                <c:pt idx="6">
                  <c:v>24476</c:v>
                </c:pt>
                <c:pt idx="7">
                  <c:v>12884</c:v>
                </c:pt>
                <c:pt idx="12">
                  <c:v>1394</c:v>
                </c:pt>
                <c:pt idx="13">
                  <c:v>994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F-4A95-8867-88987A9D5270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3251</c:v>
                </c:pt>
                <c:pt idx="1">
                  <c:v>1601</c:v>
                </c:pt>
                <c:pt idx="2">
                  <c:v>22448</c:v>
                </c:pt>
                <c:pt idx="3">
                  <c:v>75036</c:v>
                </c:pt>
                <c:pt idx="4">
                  <c:v>23668</c:v>
                </c:pt>
                <c:pt idx="5">
                  <c:v>5810</c:v>
                </c:pt>
                <c:pt idx="6">
                  <c:v>24476</c:v>
                </c:pt>
                <c:pt idx="7">
                  <c:v>12884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1394</c:v>
                </c:pt>
                <c:pt idx="13">
                  <c:v>994</c:v>
                </c:pt>
                <c:pt idx="14">
                  <c:v>6526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F-4A95-8867-88987A9D5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63%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33%</c:v>
                </c:pt>
                <c:pt idx="13">
                  <c:v>50%</c:v>
                </c:pt>
                <c:pt idx="14">
                  <c:v>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0.625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0.5</c:v>
                </c:pt>
                <c:pt idx="14">
                  <c:v>0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2-462C-BC92-C7288F908C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22-462C-BC92-C7288F908C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0.41145833333333331</c:v>
                </c:pt>
                <c:pt idx="1">
                  <c:v>0.41145833333333331</c:v>
                </c:pt>
                <c:pt idx="2">
                  <c:v>0.41145833333333331</c:v>
                </c:pt>
                <c:pt idx="3">
                  <c:v>0.41145833333333331</c:v>
                </c:pt>
                <c:pt idx="4">
                  <c:v>0.41145833333333331</c:v>
                </c:pt>
                <c:pt idx="5">
                  <c:v>0.41145833333333331</c:v>
                </c:pt>
                <c:pt idx="6">
                  <c:v>0.41145833333333331</c:v>
                </c:pt>
                <c:pt idx="7">
                  <c:v>0.41145833333333331</c:v>
                </c:pt>
                <c:pt idx="8">
                  <c:v>0.41145833333333331</c:v>
                </c:pt>
                <c:pt idx="9">
                  <c:v>0.41145833333333331</c:v>
                </c:pt>
                <c:pt idx="10">
                  <c:v>0.41145833333333331</c:v>
                </c:pt>
                <c:pt idx="11">
                  <c:v>0.41145833333333331</c:v>
                </c:pt>
                <c:pt idx="12">
                  <c:v>0.41145833333333331</c:v>
                </c:pt>
                <c:pt idx="13">
                  <c:v>0.41145833333333331</c:v>
                </c:pt>
                <c:pt idx="14">
                  <c:v>0.41145833333333331</c:v>
                </c:pt>
                <c:pt idx="15">
                  <c:v>0.41145833333333331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22-462C-BC92-C7288F908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3251</c:v>
                </c:pt>
                <c:pt idx="2">
                  <c:v>22448</c:v>
                </c:pt>
                <c:pt idx="3">
                  <c:v>75036</c:v>
                </c:pt>
                <c:pt idx="4">
                  <c:v>23668</c:v>
                </c:pt>
                <c:pt idx="6">
                  <c:v>24476</c:v>
                </c:pt>
                <c:pt idx="7">
                  <c:v>12884</c:v>
                </c:pt>
                <c:pt idx="12">
                  <c:v>1394</c:v>
                </c:pt>
                <c:pt idx="13">
                  <c:v>994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7-4016-B75E-9BEE193CCF68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3251</c:v>
                </c:pt>
                <c:pt idx="1">
                  <c:v>1601</c:v>
                </c:pt>
                <c:pt idx="2">
                  <c:v>22448</c:v>
                </c:pt>
                <c:pt idx="3">
                  <c:v>75036</c:v>
                </c:pt>
                <c:pt idx="4">
                  <c:v>23668</c:v>
                </c:pt>
                <c:pt idx="5">
                  <c:v>5810</c:v>
                </c:pt>
                <c:pt idx="6">
                  <c:v>24476</c:v>
                </c:pt>
                <c:pt idx="7">
                  <c:v>12884</c:v>
                </c:pt>
                <c:pt idx="8">
                  <c:v>139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1394</c:v>
                </c:pt>
                <c:pt idx="13">
                  <c:v>994</c:v>
                </c:pt>
                <c:pt idx="14">
                  <c:v>6526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7-4016-B75E-9BEE193CC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63%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33%</c:v>
                </c:pt>
                <c:pt idx="13">
                  <c:v>50%</c:v>
                </c:pt>
                <c:pt idx="14">
                  <c:v>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0.625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0.5</c:v>
                </c:pt>
                <c:pt idx="14">
                  <c:v>0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9-462B-A4AD-C823AF6059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D9-462B-A4AD-C823AF6059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LEAD GUIDE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0.41145833333333331</c:v>
                </c:pt>
                <c:pt idx="1">
                  <c:v>0.41145833333333331</c:v>
                </c:pt>
                <c:pt idx="2">
                  <c:v>0.41145833333333331</c:v>
                </c:pt>
                <c:pt idx="3">
                  <c:v>0.41145833333333331</c:v>
                </c:pt>
                <c:pt idx="4">
                  <c:v>0.41145833333333331</c:v>
                </c:pt>
                <c:pt idx="5">
                  <c:v>0.41145833333333331</c:v>
                </c:pt>
                <c:pt idx="6">
                  <c:v>0.41145833333333331</c:v>
                </c:pt>
                <c:pt idx="7">
                  <c:v>0.41145833333333331</c:v>
                </c:pt>
                <c:pt idx="8">
                  <c:v>0.41145833333333331</c:v>
                </c:pt>
                <c:pt idx="9">
                  <c:v>0.41145833333333331</c:v>
                </c:pt>
                <c:pt idx="10">
                  <c:v>0.41145833333333331</c:v>
                </c:pt>
                <c:pt idx="11">
                  <c:v>0.41145833333333331</c:v>
                </c:pt>
                <c:pt idx="12">
                  <c:v>0.41145833333333331</c:v>
                </c:pt>
                <c:pt idx="13">
                  <c:v>0.41145833333333331</c:v>
                </c:pt>
                <c:pt idx="14">
                  <c:v>0.41145833333333331</c:v>
                </c:pt>
                <c:pt idx="15">
                  <c:v>0.41145833333333331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9-462B-A4AD-C823AF605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854-426E-98F0-C3907556D3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4-426E-98F0-C3907556D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854-426E-98F0-C3907556D3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54-426E-98F0-C3907556D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3718</c:v>
                </c:pt>
                <c:pt idx="2">
                  <c:v>10612</c:v>
                </c:pt>
                <c:pt idx="3">
                  <c:v>4729</c:v>
                </c:pt>
                <c:pt idx="4">
                  <c:v>24836</c:v>
                </c:pt>
                <c:pt idx="6">
                  <c:v>20768</c:v>
                </c:pt>
                <c:pt idx="7">
                  <c:v>27980</c:v>
                </c:pt>
                <c:pt idx="8">
                  <c:v>384</c:v>
                </c:pt>
                <c:pt idx="12">
                  <c:v>1000</c:v>
                </c:pt>
                <c:pt idx="14">
                  <c:v>985</c:v>
                </c:pt>
                <c:pt idx="15">
                  <c:v>35828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B-490A-AEA0-F81C9CDA7CE7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1601</c:v>
                </c:pt>
                <c:pt idx="2">
                  <c:v>10612</c:v>
                </c:pt>
                <c:pt idx="3">
                  <c:v>4729</c:v>
                </c:pt>
                <c:pt idx="4">
                  <c:v>24836</c:v>
                </c:pt>
                <c:pt idx="5">
                  <c:v>5810</c:v>
                </c:pt>
                <c:pt idx="6">
                  <c:v>20768</c:v>
                </c:pt>
                <c:pt idx="7">
                  <c:v>27980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1000</c:v>
                </c:pt>
                <c:pt idx="13">
                  <c:v>994</c:v>
                </c:pt>
                <c:pt idx="14">
                  <c:v>985</c:v>
                </c:pt>
                <c:pt idx="15">
                  <c:v>35828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B-490A-AEA0-F81C9CDA7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71%</c:v>
                </c:pt>
                <c:pt idx="1">
                  <c:v>0%</c:v>
                </c:pt>
                <c:pt idx="2">
                  <c:v>54%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92%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0%</c:v>
                </c:pt>
                <c:pt idx="14">
                  <c:v>25%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0.70833333333333337</c:v>
                </c:pt>
                <c:pt idx="1">
                  <c:v>0</c:v>
                </c:pt>
                <c:pt idx="2">
                  <c:v>0.54166666666666663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0.91666666666666663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0.25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7-4167-BF74-4BECB23A0E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47-4167-BF74-4BECB23A0E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0.40625</c:v>
                </c:pt>
                <c:pt idx="1">
                  <c:v>0.40625</c:v>
                </c:pt>
                <c:pt idx="2">
                  <c:v>0.40625</c:v>
                </c:pt>
                <c:pt idx="3">
                  <c:v>0.40625</c:v>
                </c:pt>
                <c:pt idx="4">
                  <c:v>0.40625</c:v>
                </c:pt>
                <c:pt idx="5">
                  <c:v>0.40625</c:v>
                </c:pt>
                <c:pt idx="6">
                  <c:v>0.40625</c:v>
                </c:pt>
                <c:pt idx="7">
                  <c:v>0.40625</c:v>
                </c:pt>
                <c:pt idx="8">
                  <c:v>0.40625</c:v>
                </c:pt>
                <c:pt idx="9">
                  <c:v>0.40625</c:v>
                </c:pt>
                <c:pt idx="10">
                  <c:v>0.40625</c:v>
                </c:pt>
                <c:pt idx="11">
                  <c:v>0.40625</c:v>
                </c:pt>
                <c:pt idx="12">
                  <c:v>0.40625</c:v>
                </c:pt>
                <c:pt idx="13">
                  <c:v>0.40625</c:v>
                </c:pt>
                <c:pt idx="14">
                  <c:v>0.40625</c:v>
                </c:pt>
                <c:pt idx="15">
                  <c:v>0.40625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47-4167-BF74-4BECB23A0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3718</c:v>
                </c:pt>
                <c:pt idx="2">
                  <c:v>10612</c:v>
                </c:pt>
                <c:pt idx="3">
                  <c:v>4729</c:v>
                </c:pt>
                <c:pt idx="4">
                  <c:v>24836</c:v>
                </c:pt>
                <c:pt idx="6">
                  <c:v>20768</c:v>
                </c:pt>
                <c:pt idx="7">
                  <c:v>27980</c:v>
                </c:pt>
                <c:pt idx="8">
                  <c:v>384</c:v>
                </c:pt>
                <c:pt idx="12">
                  <c:v>1000</c:v>
                </c:pt>
                <c:pt idx="14">
                  <c:v>985</c:v>
                </c:pt>
                <c:pt idx="15">
                  <c:v>35828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4-4DA0-BB53-531D6EE4EB2B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1601</c:v>
                </c:pt>
                <c:pt idx="2">
                  <c:v>10612</c:v>
                </c:pt>
                <c:pt idx="3">
                  <c:v>4729</c:v>
                </c:pt>
                <c:pt idx="4">
                  <c:v>24836</c:v>
                </c:pt>
                <c:pt idx="5">
                  <c:v>5810</c:v>
                </c:pt>
                <c:pt idx="6">
                  <c:v>20768</c:v>
                </c:pt>
                <c:pt idx="7">
                  <c:v>27980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1000</c:v>
                </c:pt>
                <c:pt idx="13">
                  <c:v>994</c:v>
                </c:pt>
                <c:pt idx="14">
                  <c:v>985</c:v>
                </c:pt>
                <c:pt idx="15">
                  <c:v>35828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4-4DA0-BB53-531D6EE4E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71%</c:v>
                </c:pt>
                <c:pt idx="1">
                  <c:v>0%</c:v>
                </c:pt>
                <c:pt idx="2">
                  <c:v>54%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92%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0%</c:v>
                </c:pt>
                <c:pt idx="14">
                  <c:v>25%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0.70833333333333337</c:v>
                </c:pt>
                <c:pt idx="1">
                  <c:v>0</c:v>
                </c:pt>
                <c:pt idx="2">
                  <c:v>0.54166666666666663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0.91666666666666663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0.25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0-40F1-B13D-E38A97B130B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10-40F1-B13D-E38A97B130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ADAPTER</c:v>
                </c:pt>
                <c:pt idx="1">
                  <c:v>FLOATING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0.40625</c:v>
                </c:pt>
                <c:pt idx="1">
                  <c:v>0.40625</c:v>
                </c:pt>
                <c:pt idx="2">
                  <c:v>0.40625</c:v>
                </c:pt>
                <c:pt idx="3">
                  <c:v>0.40625</c:v>
                </c:pt>
                <c:pt idx="4">
                  <c:v>0.40625</c:v>
                </c:pt>
                <c:pt idx="5">
                  <c:v>0.40625</c:v>
                </c:pt>
                <c:pt idx="6">
                  <c:v>0.40625</c:v>
                </c:pt>
                <c:pt idx="7">
                  <c:v>0.40625</c:v>
                </c:pt>
                <c:pt idx="8">
                  <c:v>0.40625</c:v>
                </c:pt>
                <c:pt idx="9">
                  <c:v>0.40625</c:v>
                </c:pt>
                <c:pt idx="10">
                  <c:v>0.40625</c:v>
                </c:pt>
                <c:pt idx="11">
                  <c:v>0.40625</c:v>
                </c:pt>
                <c:pt idx="12">
                  <c:v>0.40625</c:v>
                </c:pt>
                <c:pt idx="13">
                  <c:v>0.40625</c:v>
                </c:pt>
                <c:pt idx="14">
                  <c:v>0.40625</c:v>
                </c:pt>
                <c:pt idx="15">
                  <c:v>0.40625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10-40F1-B13D-E38A97B13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F72-4328-BAF1-BC636F942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2-4328-BAF1-BC636F942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F72-4328-BAF1-BC636F9421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72-4328-BAF1-BC636F942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1">
                  <c:v>2355</c:v>
                </c:pt>
                <c:pt idx="2">
                  <c:v>24680</c:v>
                </c:pt>
                <c:pt idx="3">
                  <c:v>5483</c:v>
                </c:pt>
                <c:pt idx="4">
                  <c:v>25088</c:v>
                </c:pt>
                <c:pt idx="6">
                  <c:v>27072</c:v>
                </c:pt>
                <c:pt idx="7">
                  <c:v>28568</c:v>
                </c:pt>
                <c:pt idx="12">
                  <c:v>2713</c:v>
                </c:pt>
                <c:pt idx="14">
                  <c:v>2356</c:v>
                </c:pt>
                <c:pt idx="15">
                  <c:v>34920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7-4E2C-875F-61BE6E2E4E70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2355</c:v>
                </c:pt>
                <c:pt idx="2">
                  <c:v>24680</c:v>
                </c:pt>
                <c:pt idx="3">
                  <c:v>5483</c:v>
                </c:pt>
                <c:pt idx="4">
                  <c:v>25088</c:v>
                </c:pt>
                <c:pt idx="5">
                  <c:v>5810</c:v>
                </c:pt>
                <c:pt idx="6">
                  <c:v>27072</c:v>
                </c:pt>
                <c:pt idx="7">
                  <c:v>28568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2713</c:v>
                </c:pt>
                <c:pt idx="13">
                  <c:v>994</c:v>
                </c:pt>
                <c:pt idx="14">
                  <c:v>2356</c:v>
                </c:pt>
                <c:pt idx="15">
                  <c:v>34920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7-4E2C-875F-61BE6E2E4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63%</c:v>
                </c:pt>
                <c:pt idx="13">
                  <c:v>0%</c:v>
                </c:pt>
                <c:pt idx="14">
                  <c:v>58%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0.625</c:v>
                </c:pt>
                <c:pt idx="13">
                  <c:v>0</c:v>
                </c:pt>
                <c:pt idx="14">
                  <c:v>0.58333333333333337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1-4C3B-9724-098DC0C282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31-4C3B-9724-098DC0C282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0.45572916666666669</c:v>
                </c:pt>
                <c:pt idx="1">
                  <c:v>0.45572916666666669</c:v>
                </c:pt>
                <c:pt idx="2">
                  <c:v>0.45572916666666669</c:v>
                </c:pt>
                <c:pt idx="3">
                  <c:v>0.45572916666666669</c:v>
                </c:pt>
                <c:pt idx="4">
                  <c:v>0.45572916666666669</c:v>
                </c:pt>
                <c:pt idx="5">
                  <c:v>0.45572916666666669</c:v>
                </c:pt>
                <c:pt idx="6">
                  <c:v>0.45572916666666669</c:v>
                </c:pt>
                <c:pt idx="7">
                  <c:v>0.45572916666666669</c:v>
                </c:pt>
                <c:pt idx="8">
                  <c:v>0.45572916666666669</c:v>
                </c:pt>
                <c:pt idx="9">
                  <c:v>0.45572916666666669</c:v>
                </c:pt>
                <c:pt idx="10">
                  <c:v>0.45572916666666669</c:v>
                </c:pt>
                <c:pt idx="11">
                  <c:v>0.45572916666666669</c:v>
                </c:pt>
                <c:pt idx="12">
                  <c:v>0.45572916666666669</c:v>
                </c:pt>
                <c:pt idx="13">
                  <c:v>0.45572916666666669</c:v>
                </c:pt>
                <c:pt idx="14">
                  <c:v>0.45572916666666669</c:v>
                </c:pt>
                <c:pt idx="15">
                  <c:v>0.45572916666666669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1-4C3B-9724-098DC0C2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1">
                  <c:v>2355</c:v>
                </c:pt>
                <c:pt idx="2">
                  <c:v>24680</c:v>
                </c:pt>
                <c:pt idx="3">
                  <c:v>5483</c:v>
                </c:pt>
                <c:pt idx="4">
                  <c:v>25088</c:v>
                </c:pt>
                <c:pt idx="6">
                  <c:v>27072</c:v>
                </c:pt>
                <c:pt idx="7">
                  <c:v>28568</c:v>
                </c:pt>
                <c:pt idx="12">
                  <c:v>2713</c:v>
                </c:pt>
                <c:pt idx="14">
                  <c:v>2356</c:v>
                </c:pt>
                <c:pt idx="15">
                  <c:v>34920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F-442C-AE79-64796A866D22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2355</c:v>
                </c:pt>
                <c:pt idx="2">
                  <c:v>24680</c:v>
                </c:pt>
                <c:pt idx="3">
                  <c:v>5483</c:v>
                </c:pt>
                <c:pt idx="4">
                  <c:v>25088</c:v>
                </c:pt>
                <c:pt idx="5">
                  <c:v>5810</c:v>
                </c:pt>
                <c:pt idx="6">
                  <c:v>27072</c:v>
                </c:pt>
                <c:pt idx="7">
                  <c:v>28568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2713</c:v>
                </c:pt>
                <c:pt idx="13">
                  <c:v>994</c:v>
                </c:pt>
                <c:pt idx="14">
                  <c:v>2356</c:v>
                </c:pt>
                <c:pt idx="15">
                  <c:v>34920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F-442C-AE79-64796A866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63%</c:v>
                </c:pt>
                <c:pt idx="13">
                  <c:v>0%</c:v>
                </c:pt>
                <c:pt idx="14">
                  <c:v>58%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0.625</c:v>
                </c:pt>
                <c:pt idx="13">
                  <c:v>0</c:v>
                </c:pt>
                <c:pt idx="14">
                  <c:v>0.58333333333333337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6-4088-B394-B2777F6A6D8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86-4088-B394-B2777F6A6D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SP 1/2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0.45572916666666669</c:v>
                </c:pt>
                <c:pt idx="1">
                  <c:v>0.45572916666666669</c:v>
                </c:pt>
                <c:pt idx="2">
                  <c:v>0.45572916666666669</c:v>
                </c:pt>
                <c:pt idx="3">
                  <c:v>0.45572916666666669</c:v>
                </c:pt>
                <c:pt idx="4">
                  <c:v>0.45572916666666669</c:v>
                </c:pt>
                <c:pt idx="5">
                  <c:v>0.45572916666666669</c:v>
                </c:pt>
                <c:pt idx="6">
                  <c:v>0.45572916666666669</c:v>
                </c:pt>
                <c:pt idx="7">
                  <c:v>0.45572916666666669</c:v>
                </c:pt>
                <c:pt idx="8">
                  <c:v>0.45572916666666669</c:v>
                </c:pt>
                <c:pt idx="9">
                  <c:v>0.45572916666666669</c:v>
                </c:pt>
                <c:pt idx="10">
                  <c:v>0.45572916666666669</c:v>
                </c:pt>
                <c:pt idx="11">
                  <c:v>0.45572916666666669</c:v>
                </c:pt>
                <c:pt idx="12">
                  <c:v>0.45572916666666669</c:v>
                </c:pt>
                <c:pt idx="13">
                  <c:v>0.45572916666666669</c:v>
                </c:pt>
                <c:pt idx="14">
                  <c:v>0.45572916666666669</c:v>
                </c:pt>
                <c:pt idx="15">
                  <c:v>0.45572916666666669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86-4088-B394-B2777F6A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E2E-4C30-978F-686EF0A07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2E-4C30-978F-686EF0A07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E2E-4C30-978F-686EF0A077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E-4C30-978F-686EF0A07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900</c:v>
                </c:pt>
                <c:pt idx="2">
                  <c:v>24492</c:v>
                </c:pt>
                <c:pt idx="4">
                  <c:v>24940</c:v>
                </c:pt>
                <c:pt idx="5">
                  <c:v>36540</c:v>
                </c:pt>
                <c:pt idx="6">
                  <c:v>26880</c:v>
                </c:pt>
                <c:pt idx="7">
                  <c:v>27912</c:v>
                </c:pt>
                <c:pt idx="12">
                  <c:v>5098</c:v>
                </c:pt>
                <c:pt idx="14">
                  <c:v>4317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1-4621-BA9A-30B8D16FEF0F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900</c:v>
                </c:pt>
                <c:pt idx="2">
                  <c:v>24492</c:v>
                </c:pt>
                <c:pt idx="3">
                  <c:v>5483</c:v>
                </c:pt>
                <c:pt idx="4">
                  <c:v>24940</c:v>
                </c:pt>
                <c:pt idx="5">
                  <c:v>36540</c:v>
                </c:pt>
                <c:pt idx="6">
                  <c:v>26880</c:v>
                </c:pt>
                <c:pt idx="7">
                  <c:v>27912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5098</c:v>
                </c:pt>
                <c:pt idx="13">
                  <c:v>994</c:v>
                </c:pt>
                <c:pt idx="14">
                  <c:v>4317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1-4621-BA9A-30B8D16FE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17%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67%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92%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0.16666666666666666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0.66666666666666663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6-47B0-B2FF-71317E856EC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06-47B0-B2FF-71317E856EC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0.45052083333333337</c:v>
                </c:pt>
                <c:pt idx="1">
                  <c:v>0.45052083333333337</c:v>
                </c:pt>
                <c:pt idx="2">
                  <c:v>0.45052083333333337</c:v>
                </c:pt>
                <c:pt idx="3">
                  <c:v>0.45052083333333337</c:v>
                </c:pt>
                <c:pt idx="4">
                  <c:v>0.45052083333333337</c:v>
                </c:pt>
                <c:pt idx="5">
                  <c:v>0.45052083333333337</c:v>
                </c:pt>
                <c:pt idx="6">
                  <c:v>0.45052083333333337</c:v>
                </c:pt>
                <c:pt idx="7">
                  <c:v>0.45052083333333337</c:v>
                </c:pt>
                <c:pt idx="8">
                  <c:v>0.45052083333333337</c:v>
                </c:pt>
                <c:pt idx="9">
                  <c:v>0.45052083333333337</c:v>
                </c:pt>
                <c:pt idx="10">
                  <c:v>0.45052083333333337</c:v>
                </c:pt>
                <c:pt idx="11">
                  <c:v>0.45052083333333337</c:v>
                </c:pt>
                <c:pt idx="12">
                  <c:v>0.45052083333333337</c:v>
                </c:pt>
                <c:pt idx="13">
                  <c:v>0.45052083333333337</c:v>
                </c:pt>
                <c:pt idx="14">
                  <c:v>0.45052083333333337</c:v>
                </c:pt>
                <c:pt idx="15">
                  <c:v>0.45052083333333337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6-47B0-B2FF-71317E856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900</c:v>
                </c:pt>
                <c:pt idx="2">
                  <c:v>24492</c:v>
                </c:pt>
                <c:pt idx="4">
                  <c:v>24940</c:v>
                </c:pt>
                <c:pt idx="5">
                  <c:v>36540</c:v>
                </c:pt>
                <c:pt idx="6">
                  <c:v>26880</c:v>
                </c:pt>
                <c:pt idx="7">
                  <c:v>27912</c:v>
                </c:pt>
                <c:pt idx="12">
                  <c:v>5098</c:v>
                </c:pt>
                <c:pt idx="14">
                  <c:v>4317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9-4688-9F06-AAF1F9D8CC0B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900</c:v>
                </c:pt>
                <c:pt idx="2">
                  <c:v>24492</c:v>
                </c:pt>
                <c:pt idx="3">
                  <c:v>5483</c:v>
                </c:pt>
                <c:pt idx="4">
                  <c:v>24940</c:v>
                </c:pt>
                <c:pt idx="5">
                  <c:v>36540</c:v>
                </c:pt>
                <c:pt idx="6">
                  <c:v>26880</c:v>
                </c:pt>
                <c:pt idx="7">
                  <c:v>27912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5098</c:v>
                </c:pt>
                <c:pt idx="13">
                  <c:v>994</c:v>
                </c:pt>
                <c:pt idx="14">
                  <c:v>4317</c:v>
                </c:pt>
                <c:pt idx="15">
                  <c:v>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9-4688-9F06-AAF1F9D8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17%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67%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92%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0.16666666666666666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0.66666666666666663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F-4498-98F2-940AFD2AA3E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2F-4498-98F2-940AFD2AA3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0.45052083333333337</c:v>
                </c:pt>
                <c:pt idx="1">
                  <c:v>0.45052083333333337</c:v>
                </c:pt>
                <c:pt idx="2">
                  <c:v>0.45052083333333337</c:v>
                </c:pt>
                <c:pt idx="3">
                  <c:v>0.45052083333333337</c:v>
                </c:pt>
                <c:pt idx="4">
                  <c:v>0.45052083333333337</c:v>
                </c:pt>
                <c:pt idx="5">
                  <c:v>0.45052083333333337</c:v>
                </c:pt>
                <c:pt idx="6">
                  <c:v>0.45052083333333337</c:v>
                </c:pt>
                <c:pt idx="7">
                  <c:v>0.45052083333333337</c:v>
                </c:pt>
                <c:pt idx="8">
                  <c:v>0.45052083333333337</c:v>
                </c:pt>
                <c:pt idx="9">
                  <c:v>0.45052083333333337</c:v>
                </c:pt>
                <c:pt idx="10">
                  <c:v>0.45052083333333337</c:v>
                </c:pt>
                <c:pt idx="11">
                  <c:v>0.45052083333333337</c:v>
                </c:pt>
                <c:pt idx="12">
                  <c:v>0.45052083333333337</c:v>
                </c:pt>
                <c:pt idx="13">
                  <c:v>0.45052083333333337</c:v>
                </c:pt>
                <c:pt idx="14">
                  <c:v>0.45052083333333337</c:v>
                </c:pt>
                <c:pt idx="15">
                  <c:v>0.45052083333333337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F-4498-98F2-940AFD2A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0BE-46D5-BFE0-B6DA3ADC4C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E-46D5-BFE0-B6DA3ADC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0BE-46D5-BFE0-B6DA3ADC4C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BE-46D5-BFE0-B6DA3ADC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1">
                  <c:v>1012</c:v>
                </c:pt>
                <c:pt idx="2">
                  <c:v>25268</c:v>
                </c:pt>
                <c:pt idx="3">
                  <c:v>3127</c:v>
                </c:pt>
                <c:pt idx="4">
                  <c:v>25884</c:v>
                </c:pt>
                <c:pt idx="5">
                  <c:v>59830</c:v>
                </c:pt>
                <c:pt idx="6">
                  <c:v>9280</c:v>
                </c:pt>
                <c:pt idx="7">
                  <c:v>29148</c:v>
                </c:pt>
                <c:pt idx="12">
                  <c:v>100</c:v>
                </c:pt>
                <c:pt idx="14">
                  <c:v>4373</c:v>
                </c:pt>
                <c:pt idx="15">
                  <c:v>36056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D-4941-A576-6A7AE102DA96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25268</c:v>
                </c:pt>
                <c:pt idx="3">
                  <c:v>3127</c:v>
                </c:pt>
                <c:pt idx="4">
                  <c:v>25884</c:v>
                </c:pt>
                <c:pt idx="5">
                  <c:v>59830</c:v>
                </c:pt>
                <c:pt idx="6">
                  <c:v>9280</c:v>
                </c:pt>
                <c:pt idx="7">
                  <c:v>29148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100</c:v>
                </c:pt>
                <c:pt idx="13">
                  <c:v>994</c:v>
                </c:pt>
                <c:pt idx="14">
                  <c:v>4373</c:v>
                </c:pt>
                <c:pt idx="15">
                  <c:v>36056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D-4941-A576-6A7AE102D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25%</c:v>
                </c:pt>
                <c:pt idx="2">
                  <c:v>100%</c:v>
                </c:pt>
                <c:pt idx="3">
                  <c:v>71%</c:v>
                </c:pt>
                <c:pt idx="4">
                  <c:v>100%</c:v>
                </c:pt>
                <c:pt idx="5">
                  <c:v>88%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13%</c:v>
                </c:pt>
                <c:pt idx="13">
                  <c:v>0%</c:v>
                </c:pt>
                <c:pt idx="14">
                  <c:v>96%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0.25</c:v>
                </c:pt>
                <c:pt idx="2">
                  <c:v>1</c:v>
                </c:pt>
                <c:pt idx="3">
                  <c:v>0.70833333333333337</c:v>
                </c:pt>
                <c:pt idx="4">
                  <c:v>1</c:v>
                </c:pt>
                <c:pt idx="5">
                  <c:v>0.875</c:v>
                </c:pt>
                <c:pt idx="6">
                  <c:v>0.41666666666666669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0.125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6-4A91-82CB-6337F8A74F4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F6-4A91-82CB-6337F8A74F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0.42708333333333331</c:v>
                </c:pt>
                <c:pt idx="1">
                  <c:v>0.42708333333333331</c:v>
                </c:pt>
                <c:pt idx="2">
                  <c:v>0.42708333333333331</c:v>
                </c:pt>
                <c:pt idx="3">
                  <c:v>0.42708333333333331</c:v>
                </c:pt>
                <c:pt idx="4">
                  <c:v>0.42708333333333331</c:v>
                </c:pt>
                <c:pt idx="5">
                  <c:v>0.42708333333333331</c:v>
                </c:pt>
                <c:pt idx="6">
                  <c:v>0.42708333333333331</c:v>
                </c:pt>
                <c:pt idx="7">
                  <c:v>0.42708333333333331</c:v>
                </c:pt>
                <c:pt idx="8">
                  <c:v>0.42708333333333331</c:v>
                </c:pt>
                <c:pt idx="9">
                  <c:v>0.42708333333333331</c:v>
                </c:pt>
                <c:pt idx="10">
                  <c:v>0.42708333333333331</c:v>
                </c:pt>
                <c:pt idx="11">
                  <c:v>0.42708333333333331</c:v>
                </c:pt>
                <c:pt idx="12">
                  <c:v>0.42708333333333331</c:v>
                </c:pt>
                <c:pt idx="13">
                  <c:v>0.42708333333333331</c:v>
                </c:pt>
                <c:pt idx="14">
                  <c:v>0.42708333333333331</c:v>
                </c:pt>
                <c:pt idx="15">
                  <c:v>0.42708333333333331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F6-4A91-82CB-6337F8A7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1">
                  <c:v>1012</c:v>
                </c:pt>
                <c:pt idx="2">
                  <c:v>25268</c:v>
                </c:pt>
                <c:pt idx="3">
                  <c:v>3127</c:v>
                </c:pt>
                <c:pt idx="4">
                  <c:v>25884</c:v>
                </c:pt>
                <c:pt idx="5">
                  <c:v>59830</c:v>
                </c:pt>
                <c:pt idx="6">
                  <c:v>9280</c:v>
                </c:pt>
                <c:pt idx="7">
                  <c:v>29148</c:v>
                </c:pt>
                <c:pt idx="12">
                  <c:v>100</c:v>
                </c:pt>
                <c:pt idx="14">
                  <c:v>4373</c:v>
                </c:pt>
                <c:pt idx="15">
                  <c:v>36056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7-40D8-A12D-3B5EDFBC7AE5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25268</c:v>
                </c:pt>
                <c:pt idx="3">
                  <c:v>3127</c:v>
                </c:pt>
                <c:pt idx="4">
                  <c:v>25884</c:v>
                </c:pt>
                <c:pt idx="5">
                  <c:v>59830</c:v>
                </c:pt>
                <c:pt idx="6">
                  <c:v>9280</c:v>
                </c:pt>
                <c:pt idx="7">
                  <c:v>29148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100</c:v>
                </c:pt>
                <c:pt idx="13">
                  <c:v>994</c:v>
                </c:pt>
                <c:pt idx="14">
                  <c:v>4373</c:v>
                </c:pt>
                <c:pt idx="15">
                  <c:v>36056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7-40D8-A12D-3B5EDFBC7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25%</c:v>
                </c:pt>
                <c:pt idx="2">
                  <c:v>100%</c:v>
                </c:pt>
                <c:pt idx="3">
                  <c:v>71%</c:v>
                </c:pt>
                <c:pt idx="4">
                  <c:v>100%</c:v>
                </c:pt>
                <c:pt idx="5">
                  <c:v>88%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13%</c:v>
                </c:pt>
                <c:pt idx="13">
                  <c:v>0%</c:v>
                </c:pt>
                <c:pt idx="14">
                  <c:v>96%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0.25</c:v>
                </c:pt>
                <c:pt idx="2">
                  <c:v>1</c:v>
                </c:pt>
                <c:pt idx="3">
                  <c:v>0.70833333333333337</c:v>
                </c:pt>
                <c:pt idx="4">
                  <c:v>1</c:v>
                </c:pt>
                <c:pt idx="5">
                  <c:v>0.875</c:v>
                </c:pt>
                <c:pt idx="6">
                  <c:v>0.41666666666666669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0.125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B-469E-B374-91F3EABE2D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9B-469E-B374-91F3EABE2D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0.42708333333333331</c:v>
                </c:pt>
                <c:pt idx="1">
                  <c:v>0.42708333333333331</c:v>
                </c:pt>
                <c:pt idx="2">
                  <c:v>0.42708333333333331</c:v>
                </c:pt>
                <c:pt idx="3">
                  <c:v>0.42708333333333331</c:v>
                </c:pt>
                <c:pt idx="4">
                  <c:v>0.42708333333333331</c:v>
                </c:pt>
                <c:pt idx="5">
                  <c:v>0.42708333333333331</c:v>
                </c:pt>
                <c:pt idx="6">
                  <c:v>0.42708333333333331</c:v>
                </c:pt>
                <c:pt idx="7">
                  <c:v>0.42708333333333331</c:v>
                </c:pt>
                <c:pt idx="8">
                  <c:v>0.42708333333333331</c:v>
                </c:pt>
                <c:pt idx="9">
                  <c:v>0.42708333333333331</c:v>
                </c:pt>
                <c:pt idx="10">
                  <c:v>0.42708333333333331</c:v>
                </c:pt>
                <c:pt idx="11">
                  <c:v>0.42708333333333331</c:v>
                </c:pt>
                <c:pt idx="12">
                  <c:v>0.42708333333333331</c:v>
                </c:pt>
                <c:pt idx="13">
                  <c:v>0.42708333333333331</c:v>
                </c:pt>
                <c:pt idx="14">
                  <c:v>0.42708333333333331</c:v>
                </c:pt>
                <c:pt idx="15">
                  <c:v>0.42708333333333331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9B-469E-B374-91F3EABE2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807-412B-A24D-8B75CAD343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7-412B-A24D-8B75CAD34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807-412B-A24D-8B75CAD343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07-412B-A24D-8B75CAD34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13104</c:v>
                </c:pt>
                <c:pt idx="3">
                  <c:v>3993</c:v>
                </c:pt>
                <c:pt idx="4">
                  <c:v>1424</c:v>
                </c:pt>
                <c:pt idx="5">
                  <c:v>45420</c:v>
                </c:pt>
                <c:pt idx="6">
                  <c:v>9984</c:v>
                </c:pt>
                <c:pt idx="7">
                  <c:v>22636</c:v>
                </c:pt>
                <c:pt idx="12">
                  <c:v>2000</c:v>
                </c:pt>
                <c:pt idx="14">
                  <c:v>4814</c:v>
                </c:pt>
                <c:pt idx="15">
                  <c:v>28012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4-4031-96CB-E25B657541A4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13104</c:v>
                </c:pt>
                <c:pt idx="3">
                  <c:v>3993</c:v>
                </c:pt>
                <c:pt idx="4">
                  <c:v>1424</c:v>
                </c:pt>
                <c:pt idx="5">
                  <c:v>45420</c:v>
                </c:pt>
                <c:pt idx="6">
                  <c:v>9984</c:v>
                </c:pt>
                <c:pt idx="7">
                  <c:v>22636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2000</c:v>
                </c:pt>
                <c:pt idx="13">
                  <c:v>994</c:v>
                </c:pt>
                <c:pt idx="14">
                  <c:v>4814</c:v>
                </c:pt>
                <c:pt idx="15">
                  <c:v>28012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4-4031-96CB-E25B6575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83%</c:v>
                </c:pt>
                <c:pt idx="4">
                  <c:v>8%</c:v>
                </c:pt>
                <c:pt idx="5">
                  <c:v>83%</c:v>
                </c:pt>
                <c:pt idx="6">
                  <c:v>54%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0%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8.3333333333333329E-2</c:v>
                </c:pt>
                <c:pt idx="5">
                  <c:v>0.83333333333333337</c:v>
                </c:pt>
                <c:pt idx="6">
                  <c:v>0.54166666666666663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E-48A2-ACDE-A3F85542BF4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4E-48A2-ACDE-A3F85542BF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0.35156249999999994</c:v>
                </c:pt>
                <c:pt idx="1">
                  <c:v>0.35156249999999994</c:v>
                </c:pt>
                <c:pt idx="2">
                  <c:v>0.35156249999999994</c:v>
                </c:pt>
                <c:pt idx="3">
                  <c:v>0.35156249999999994</c:v>
                </c:pt>
                <c:pt idx="4">
                  <c:v>0.35156249999999994</c:v>
                </c:pt>
                <c:pt idx="5">
                  <c:v>0.35156249999999994</c:v>
                </c:pt>
                <c:pt idx="6">
                  <c:v>0.35156249999999994</c:v>
                </c:pt>
                <c:pt idx="7">
                  <c:v>0.35156249999999994</c:v>
                </c:pt>
                <c:pt idx="8">
                  <c:v>0.35156249999999994</c:v>
                </c:pt>
                <c:pt idx="9">
                  <c:v>0.35156249999999994</c:v>
                </c:pt>
                <c:pt idx="10">
                  <c:v>0.35156249999999994</c:v>
                </c:pt>
                <c:pt idx="11">
                  <c:v>0.35156249999999994</c:v>
                </c:pt>
                <c:pt idx="12">
                  <c:v>0.35156249999999994</c:v>
                </c:pt>
                <c:pt idx="13">
                  <c:v>0.35156249999999994</c:v>
                </c:pt>
                <c:pt idx="14">
                  <c:v>0.35156249999999994</c:v>
                </c:pt>
                <c:pt idx="15">
                  <c:v>0.35156249999999994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4E-48A2-ACDE-A3F85542B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13104</c:v>
                </c:pt>
                <c:pt idx="3">
                  <c:v>3993</c:v>
                </c:pt>
                <c:pt idx="4">
                  <c:v>1424</c:v>
                </c:pt>
                <c:pt idx="5">
                  <c:v>45420</c:v>
                </c:pt>
                <c:pt idx="6">
                  <c:v>9984</c:v>
                </c:pt>
                <c:pt idx="7">
                  <c:v>22636</c:v>
                </c:pt>
                <c:pt idx="12">
                  <c:v>2000</c:v>
                </c:pt>
                <c:pt idx="14">
                  <c:v>4814</c:v>
                </c:pt>
                <c:pt idx="15">
                  <c:v>28012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1-4D21-8ED3-C99B61718134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13104</c:v>
                </c:pt>
                <c:pt idx="3">
                  <c:v>3993</c:v>
                </c:pt>
                <c:pt idx="4">
                  <c:v>1424</c:v>
                </c:pt>
                <c:pt idx="5">
                  <c:v>45420</c:v>
                </c:pt>
                <c:pt idx="6">
                  <c:v>9984</c:v>
                </c:pt>
                <c:pt idx="7">
                  <c:v>22636</c:v>
                </c:pt>
                <c:pt idx="8">
                  <c:v>384</c:v>
                </c:pt>
                <c:pt idx="9">
                  <c:v>15572</c:v>
                </c:pt>
                <c:pt idx="10">
                  <c:v>495</c:v>
                </c:pt>
                <c:pt idx="11">
                  <c:v>7654</c:v>
                </c:pt>
                <c:pt idx="12">
                  <c:v>2000</c:v>
                </c:pt>
                <c:pt idx="13">
                  <c:v>994</c:v>
                </c:pt>
                <c:pt idx="14">
                  <c:v>4814</c:v>
                </c:pt>
                <c:pt idx="15">
                  <c:v>28012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1-4D21-8ED3-C99B6171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83%</c:v>
                </c:pt>
                <c:pt idx="4">
                  <c:v>8%</c:v>
                </c:pt>
                <c:pt idx="5">
                  <c:v>83%</c:v>
                </c:pt>
                <c:pt idx="6">
                  <c:v>54%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0%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8.3333333333333329E-2</c:v>
                </c:pt>
                <c:pt idx="5">
                  <c:v>0.83333333333333337</c:v>
                </c:pt>
                <c:pt idx="6">
                  <c:v>0.54166666666666663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C-4851-A815-C23C73A1F95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6C-4851-A815-C23C73A1F95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SLIDER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0.35156249999999994</c:v>
                </c:pt>
                <c:pt idx="1">
                  <c:v>0.35156249999999994</c:v>
                </c:pt>
                <c:pt idx="2">
                  <c:v>0.35156249999999994</c:v>
                </c:pt>
                <c:pt idx="3">
                  <c:v>0.35156249999999994</c:v>
                </c:pt>
                <c:pt idx="4">
                  <c:v>0.35156249999999994</c:v>
                </c:pt>
                <c:pt idx="5">
                  <c:v>0.35156249999999994</c:v>
                </c:pt>
                <c:pt idx="6">
                  <c:v>0.35156249999999994</c:v>
                </c:pt>
                <c:pt idx="7">
                  <c:v>0.35156249999999994</c:v>
                </c:pt>
                <c:pt idx="8">
                  <c:v>0.35156249999999994</c:v>
                </c:pt>
                <c:pt idx="9">
                  <c:v>0.35156249999999994</c:v>
                </c:pt>
                <c:pt idx="10">
                  <c:v>0.35156249999999994</c:v>
                </c:pt>
                <c:pt idx="11">
                  <c:v>0.35156249999999994</c:v>
                </c:pt>
                <c:pt idx="12">
                  <c:v>0.35156249999999994</c:v>
                </c:pt>
                <c:pt idx="13">
                  <c:v>0.35156249999999994</c:v>
                </c:pt>
                <c:pt idx="14">
                  <c:v>0.35156249999999994</c:v>
                </c:pt>
                <c:pt idx="15">
                  <c:v>0.35156249999999994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C-4851-A815-C23C73A1F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5CD-4F03-885C-2329F73067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D-4F03-885C-2329F7306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5CD-4F03-885C-2329F73067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CD-4F03-885C-2329F7306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2">
                  <c:v>24332</c:v>
                </c:pt>
                <c:pt idx="3">
                  <c:v>3805</c:v>
                </c:pt>
                <c:pt idx="5">
                  <c:v>2508</c:v>
                </c:pt>
                <c:pt idx="6">
                  <c:v>18246</c:v>
                </c:pt>
                <c:pt idx="7">
                  <c:v>20804</c:v>
                </c:pt>
                <c:pt idx="8">
                  <c:v>150</c:v>
                </c:pt>
                <c:pt idx="11">
                  <c:v>5525</c:v>
                </c:pt>
                <c:pt idx="14">
                  <c:v>4294</c:v>
                </c:pt>
                <c:pt idx="15">
                  <c:v>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6-4DD6-8826-10B2B997402F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24332</c:v>
                </c:pt>
                <c:pt idx="3">
                  <c:v>3805</c:v>
                </c:pt>
                <c:pt idx="4">
                  <c:v>1424</c:v>
                </c:pt>
                <c:pt idx="5">
                  <c:v>2508</c:v>
                </c:pt>
                <c:pt idx="6">
                  <c:v>18246</c:v>
                </c:pt>
                <c:pt idx="7">
                  <c:v>20804</c:v>
                </c:pt>
                <c:pt idx="8">
                  <c:v>150</c:v>
                </c:pt>
                <c:pt idx="9">
                  <c:v>15572</c:v>
                </c:pt>
                <c:pt idx="10">
                  <c:v>495</c:v>
                </c:pt>
                <c:pt idx="11">
                  <c:v>5525</c:v>
                </c:pt>
                <c:pt idx="12">
                  <c:v>2000</c:v>
                </c:pt>
                <c:pt idx="13">
                  <c:v>994</c:v>
                </c:pt>
                <c:pt idx="14">
                  <c:v>4294</c:v>
                </c:pt>
                <c:pt idx="15">
                  <c:v>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6-4DD6-8826-10B2B9974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0%</c:v>
                </c:pt>
                <c:pt idx="5">
                  <c:v>54%</c:v>
                </c:pt>
                <c:pt idx="6">
                  <c:v>92%</c:v>
                </c:pt>
                <c:pt idx="7">
                  <c:v>88%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96%</c:v>
                </c:pt>
                <c:pt idx="12">
                  <c:v>0%</c:v>
                </c:pt>
                <c:pt idx="13">
                  <c:v>0%</c:v>
                </c:pt>
                <c:pt idx="14">
                  <c:v>88%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0</c:v>
                </c:pt>
                <c:pt idx="5">
                  <c:v>0.54166666666666663</c:v>
                </c:pt>
                <c:pt idx="6">
                  <c:v>0.91666666666666663</c:v>
                </c:pt>
                <c:pt idx="7">
                  <c:v>0.875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0.95833333333333337</c:v>
                </c:pt>
                <c:pt idx="12">
                  <c:v>0</c:v>
                </c:pt>
                <c:pt idx="13">
                  <c:v>0</c:v>
                </c:pt>
                <c:pt idx="14">
                  <c:v>0.875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7-47EF-AECE-61640FE4BEB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F7-47EF-AECE-61640FE4BE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0.41927083333333331</c:v>
                </c:pt>
                <c:pt idx="1">
                  <c:v>0.41927083333333331</c:v>
                </c:pt>
                <c:pt idx="2">
                  <c:v>0.41927083333333331</c:v>
                </c:pt>
                <c:pt idx="3">
                  <c:v>0.41927083333333331</c:v>
                </c:pt>
                <c:pt idx="4">
                  <c:v>0.41927083333333331</c:v>
                </c:pt>
                <c:pt idx="5">
                  <c:v>0.41927083333333331</c:v>
                </c:pt>
                <c:pt idx="6">
                  <c:v>0.41927083333333331</c:v>
                </c:pt>
                <c:pt idx="7">
                  <c:v>0.41927083333333331</c:v>
                </c:pt>
                <c:pt idx="8">
                  <c:v>0.41927083333333331</c:v>
                </c:pt>
                <c:pt idx="9">
                  <c:v>0.41927083333333331</c:v>
                </c:pt>
                <c:pt idx="10">
                  <c:v>0.41927083333333331</c:v>
                </c:pt>
                <c:pt idx="11">
                  <c:v>0.41927083333333331</c:v>
                </c:pt>
                <c:pt idx="12">
                  <c:v>0.41927083333333331</c:v>
                </c:pt>
                <c:pt idx="13">
                  <c:v>0.41927083333333331</c:v>
                </c:pt>
                <c:pt idx="14">
                  <c:v>0.41927083333333331</c:v>
                </c:pt>
                <c:pt idx="15">
                  <c:v>0.41927083333333331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7-47EF-AECE-61640FE4B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2">
                  <c:v>24332</c:v>
                </c:pt>
                <c:pt idx="3">
                  <c:v>3805</c:v>
                </c:pt>
                <c:pt idx="5">
                  <c:v>2508</c:v>
                </c:pt>
                <c:pt idx="6">
                  <c:v>18246</c:v>
                </c:pt>
                <c:pt idx="7">
                  <c:v>20804</c:v>
                </c:pt>
                <c:pt idx="8">
                  <c:v>150</c:v>
                </c:pt>
                <c:pt idx="11">
                  <c:v>5525</c:v>
                </c:pt>
                <c:pt idx="14">
                  <c:v>4294</c:v>
                </c:pt>
                <c:pt idx="15">
                  <c:v>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0-4D37-A17A-A00474E75346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24332</c:v>
                </c:pt>
                <c:pt idx="3">
                  <c:v>3805</c:v>
                </c:pt>
                <c:pt idx="4">
                  <c:v>1424</c:v>
                </c:pt>
                <c:pt idx="5">
                  <c:v>2508</c:v>
                </c:pt>
                <c:pt idx="6">
                  <c:v>18246</c:v>
                </c:pt>
                <c:pt idx="7">
                  <c:v>20804</c:v>
                </c:pt>
                <c:pt idx="8">
                  <c:v>150</c:v>
                </c:pt>
                <c:pt idx="9">
                  <c:v>15572</c:v>
                </c:pt>
                <c:pt idx="10">
                  <c:v>495</c:v>
                </c:pt>
                <c:pt idx="11">
                  <c:v>5525</c:v>
                </c:pt>
                <c:pt idx="12">
                  <c:v>2000</c:v>
                </c:pt>
                <c:pt idx="13">
                  <c:v>994</c:v>
                </c:pt>
                <c:pt idx="14">
                  <c:v>4294</c:v>
                </c:pt>
                <c:pt idx="15">
                  <c:v>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0-4D37-A17A-A00474E75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0%</c:v>
                </c:pt>
                <c:pt idx="5">
                  <c:v>54%</c:v>
                </c:pt>
                <c:pt idx="6">
                  <c:v>92%</c:v>
                </c:pt>
                <c:pt idx="7">
                  <c:v>88%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96%</c:v>
                </c:pt>
                <c:pt idx="12">
                  <c:v>0%</c:v>
                </c:pt>
                <c:pt idx="13">
                  <c:v>0%</c:v>
                </c:pt>
                <c:pt idx="14">
                  <c:v>88%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0</c:v>
                </c:pt>
                <c:pt idx="5">
                  <c:v>0.54166666666666663</c:v>
                </c:pt>
                <c:pt idx="6">
                  <c:v>0.91666666666666663</c:v>
                </c:pt>
                <c:pt idx="7">
                  <c:v>0.875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0.95833333333333337</c:v>
                </c:pt>
                <c:pt idx="12">
                  <c:v>0</c:v>
                </c:pt>
                <c:pt idx="13">
                  <c:v>0</c:v>
                </c:pt>
                <c:pt idx="14">
                  <c:v>0.875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7-45A4-B84A-24D80581A55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57-45A4-B84A-24D80581A5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0.41927083333333331</c:v>
                </c:pt>
                <c:pt idx="1">
                  <c:v>0.41927083333333331</c:v>
                </c:pt>
                <c:pt idx="2">
                  <c:v>0.41927083333333331</c:v>
                </c:pt>
                <c:pt idx="3">
                  <c:v>0.41927083333333331</c:v>
                </c:pt>
                <c:pt idx="4">
                  <c:v>0.41927083333333331</c:v>
                </c:pt>
                <c:pt idx="5">
                  <c:v>0.41927083333333331</c:v>
                </c:pt>
                <c:pt idx="6">
                  <c:v>0.41927083333333331</c:v>
                </c:pt>
                <c:pt idx="7">
                  <c:v>0.41927083333333331</c:v>
                </c:pt>
                <c:pt idx="8">
                  <c:v>0.41927083333333331</c:v>
                </c:pt>
                <c:pt idx="9">
                  <c:v>0.41927083333333331</c:v>
                </c:pt>
                <c:pt idx="10">
                  <c:v>0.41927083333333331</c:v>
                </c:pt>
                <c:pt idx="11">
                  <c:v>0.41927083333333331</c:v>
                </c:pt>
                <c:pt idx="12">
                  <c:v>0.41927083333333331</c:v>
                </c:pt>
                <c:pt idx="13">
                  <c:v>0.41927083333333331</c:v>
                </c:pt>
                <c:pt idx="14">
                  <c:v>0.41927083333333331</c:v>
                </c:pt>
                <c:pt idx="15">
                  <c:v>0.41927083333333331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57-45A4-B84A-24D80581A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30B-4A9C-A531-8C4039C71B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B-4A9C-A531-8C4039C71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0B-4A9C-A531-8C4039C71B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0B-4A9C-A531-8C4039C71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13700</c:v>
                </c:pt>
                <c:pt idx="3">
                  <c:v>5184</c:v>
                </c:pt>
                <c:pt idx="5">
                  <c:v>2541</c:v>
                </c:pt>
                <c:pt idx="6">
                  <c:v>20307</c:v>
                </c:pt>
                <c:pt idx="7">
                  <c:v>27276</c:v>
                </c:pt>
                <c:pt idx="8">
                  <c:v>2220</c:v>
                </c:pt>
                <c:pt idx="11">
                  <c:v>6064</c:v>
                </c:pt>
                <c:pt idx="14">
                  <c:v>8180</c:v>
                </c:pt>
                <c:pt idx="15">
                  <c:v>34640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8-4A7C-B142-47A1A6E8715C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13700</c:v>
                </c:pt>
                <c:pt idx="3">
                  <c:v>5184</c:v>
                </c:pt>
                <c:pt idx="4">
                  <c:v>1424</c:v>
                </c:pt>
                <c:pt idx="5">
                  <c:v>2541</c:v>
                </c:pt>
                <c:pt idx="6">
                  <c:v>20307</c:v>
                </c:pt>
                <c:pt idx="7">
                  <c:v>27276</c:v>
                </c:pt>
                <c:pt idx="8">
                  <c:v>2220</c:v>
                </c:pt>
                <c:pt idx="9">
                  <c:v>15572</c:v>
                </c:pt>
                <c:pt idx="10">
                  <c:v>495</c:v>
                </c:pt>
                <c:pt idx="11">
                  <c:v>6064</c:v>
                </c:pt>
                <c:pt idx="12">
                  <c:v>2000</c:v>
                </c:pt>
                <c:pt idx="13">
                  <c:v>994</c:v>
                </c:pt>
                <c:pt idx="14">
                  <c:v>8180</c:v>
                </c:pt>
                <c:pt idx="15">
                  <c:v>34640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8-4A7C-B142-47A1A6E87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0%</c:v>
                </c:pt>
                <c:pt idx="5">
                  <c:v>54%</c:v>
                </c:pt>
                <c:pt idx="6">
                  <c:v>100%</c:v>
                </c:pt>
                <c:pt idx="7">
                  <c:v>100%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79%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0</c:v>
                </c:pt>
                <c:pt idx="5">
                  <c:v>0.54166666666666663</c:v>
                </c:pt>
                <c:pt idx="6">
                  <c:v>1</c:v>
                </c:pt>
                <c:pt idx="7">
                  <c:v>1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0.79166666666666663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8-4565-95AB-E3E99F28904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D8-4565-95AB-E3E99F2890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0.43750000000000006</c:v>
                </c:pt>
                <c:pt idx="1">
                  <c:v>0.43750000000000006</c:v>
                </c:pt>
                <c:pt idx="2">
                  <c:v>0.43750000000000006</c:v>
                </c:pt>
                <c:pt idx="3">
                  <c:v>0.43750000000000006</c:v>
                </c:pt>
                <c:pt idx="4">
                  <c:v>0.43750000000000006</c:v>
                </c:pt>
                <c:pt idx="5">
                  <c:v>0.43750000000000006</c:v>
                </c:pt>
                <c:pt idx="6">
                  <c:v>0.43750000000000006</c:v>
                </c:pt>
                <c:pt idx="7">
                  <c:v>0.43750000000000006</c:v>
                </c:pt>
                <c:pt idx="8">
                  <c:v>0.43750000000000006</c:v>
                </c:pt>
                <c:pt idx="9">
                  <c:v>0.43750000000000006</c:v>
                </c:pt>
                <c:pt idx="10">
                  <c:v>0.43750000000000006</c:v>
                </c:pt>
                <c:pt idx="11">
                  <c:v>0.43750000000000006</c:v>
                </c:pt>
                <c:pt idx="12">
                  <c:v>0.43750000000000006</c:v>
                </c:pt>
                <c:pt idx="13">
                  <c:v>0.43750000000000006</c:v>
                </c:pt>
                <c:pt idx="14">
                  <c:v>0.43750000000000006</c:v>
                </c:pt>
                <c:pt idx="15">
                  <c:v>0.43750000000000006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D8-4565-95AB-E3E99F289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13700</c:v>
                </c:pt>
                <c:pt idx="3">
                  <c:v>5184</c:v>
                </c:pt>
                <c:pt idx="5">
                  <c:v>2541</c:v>
                </c:pt>
                <c:pt idx="6">
                  <c:v>20307</c:v>
                </c:pt>
                <c:pt idx="7">
                  <c:v>27276</c:v>
                </c:pt>
                <c:pt idx="8">
                  <c:v>2220</c:v>
                </c:pt>
                <c:pt idx="11">
                  <c:v>6064</c:v>
                </c:pt>
                <c:pt idx="14">
                  <c:v>8180</c:v>
                </c:pt>
                <c:pt idx="15">
                  <c:v>34640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4-41B8-8D19-413047B4467D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13700</c:v>
                </c:pt>
                <c:pt idx="3">
                  <c:v>5184</c:v>
                </c:pt>
                <c:pt idx="4">
                  <c:v>1424</c:v>
                </c:pt>
                <c:pt idx="5">
                  <c:v>2541</c:v>
                </c:pt>
                <c:pt idx="6">
                  <c:v>20307</c:v>
                </c:pt>
                <c:pt idx="7">
                  <c:v>27276</c:v>
                </c:pt>
                <c:pt idx="8">
                  <c:v>2220</c:v>
                </c:pt>
                <c:pt idx="9">
                  <c:v>15572</c:v>
                </c:pt>
                <c:pt idx="10">
                  <c:v>495</c:v>
                </c:pt>
                <c:pt idx="11">
                  <c:v>6064</c:v>
                </c:pt>
                <c:pt idx="12">
                  <c:v>2000</c:v>
                </c:pt>
                <c:pt idx="13">
                  <c:v>994</c:v>
                </c:pt>
                <c:pt idx="14">
                  <c:v>8180</c:v>
                </c:pt>
                <c:pt idx="15">
                  <c:v>34640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4-41B8-8D19-413047B44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0%</c:v>
                </c:pt>
                <c:pt idx="5">
                  <c:v>54%</c:v>
                </c:pt>
                <c:pt idx="6">
                  <c:v>100%</c:v>
                </c:pt>
                <c:pt idx="7">
                  <c:v>100%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79%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0</c:v>
                </c:pt>
                <c:pt idx="5">
                  <c:v>0.54166666666666663</c:v>
                </c:pt>
                <c:pt idx="6">
                  <c:v>1</c:v>
                </c:pt>
                <c:pt idx="7">
                  <c:v>1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0.79166666666666663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9-4E5B-8827-4210C80174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09-4E5B-8827-4210C80174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0.43750000000000006</c:v>
                </c:pt>
                <c:pt idx="1">
                  <c:v>0.43750000000000006</c:v>
                </c:pt>
                <c:pt idx="2">
                  <c:v>0.43750000000000006</c:v>
                </c:pt>
                <c:pt idx="3">
                  <c:v>0.43750000000000006</c:v>
                </c:pt>
                <c:pt idx="4">
                  <c:v>0.43750000000000006</c:v>
                </c:pt>
                <c:pt idx="5">
                  <c:v>0.43750000000000006</c:v>
                </c:pt>
                <c:pt idx="6">
                  <c:v>0.43750000000000006</c:v>
                </c:pt>
                <c:pt idx="7">
                  <c:v>0.43750000000000006</c:v>
                </c:pt>
                <c:pt idx="8">
                  <c:v>0.43750000000000006</c:v>
                </c:pt>
                <c:pt idx="9">
                  <c:v>0.43750000000000006</c:v>
                </c:pt>
                <c:pt idx="10">
                  <c:v>0.43750000000000006</c:v>
                </c:pt>
                <c:pt idx="11">
                  <c:v>0.43750000000000006</c:v>
                </c:pt>
                <c:pt idx="12">
                  <c:v>0.43750000000000006</c:v>
                </c:pt>
                <c:pt idx="13">
                  <c:v>0.43750000000000006</c:v>
                </c:pt>
                <c:pt idx="14">
                  <c:v>0.43750000000000006</c:v>
                </c:pt>
                <c:pt idx="15">
                  <c:v>0.43750000000000006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09-4E5B-8827-4210C8017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483-4F3E-BAB6-79B53D50EA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83-4F3E-BAB6-79B53D50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483-4F3E-BAB6-79B53D50EA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83-4F3E-BAB6-79B53D50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17504</c:v>
                </c:pt>
                <c:pt idx="3">
                  <c:v>5460</c:v>
                </c:pt>
                <c:pt idx="6">
                  <c:v>18330</c:v>
                </c:pt>
                <c:pt idx="7">
                  <c:v>24808</c:v>
                </c:pt>
                <c:pt idx="8">
                  <c:v>2966</c:v>
                </c:pt>
                <c:pt idx="11">
                  <c:v>6153</c:v>
                </c:pt>
                <c:pt idx="12">
                  <c:v>2823</c:v>
                </c:pt>
                <c:pt idx="13">
                  <c:v>9612</c:v>
                </c:pt>
                <c:pt idx="14">
                  <c:v>12952</c:v>
                </c:pt>
                <c:pt idx="15">
                  <c:v>37752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5-4211-B561-CF7F4CD9F505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17504</c:v>
                </c:pt>
                <c:pt idx="3">
                  <c:v>5460</c:v>
                </c:pt>
                <c:pt idx="4">
                  <c:v>1424</c:v>
                </c:pt>
                <c:pt idx="5">
                  <c:v>2541</c:v>
                </c:pt>
                <c:pt idx="6">
                  <c:v>18330</c:v>
                </c:pt>
                <c:pt idx="7">
                  <c:v>24808</c:v>
                </c:pt>
                <c:pt idx="8">
                  <c:v>2966</c:v>
                </c:pt>
                <c:pt idx="9">
                  <c:v>15572</c:v>
                </c:pt>
                <c:pt idx="10">
                  <c:v>495</c:v>
                </c:pt>
                <c:pt idx="11">
                  <c:v>6153</c:v>
                </c:pt>
                <c:pt idx="12">
                  <c:v>2823</c:v>
                </c:pt>
                <c:pt idx="13">
                  <c:v>9612</c:v>
                </c:pt>
                <c:pt idx="14">
                  <c:v>12952</c:v>
                </c:pt>
                <c:pt idx="15">
                  <c:v>37752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5-4211-B561-CF7F4CD9F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83%</c:v>
                </c:pt>
                <c:pt idx="7">
                  <c:v>88%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71%</c:v>
                </c:pt>
                <c:pt idx="13">
                  <c:v>58%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0.70833333333333337</c:v>
                </c:pt>
                <c:pt idx="13">
                  <c:v>0.58333333333333337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1-4B9A-8627-3770858318C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11-4B9A-8627-3770858318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0.49479166666666663</c:v>
                </c:pt>
                <c:pt idx="1">
                  <c:v>0.49479166666666663</c:v>
                </c:pt>
                <c:pt idx="2">
                  <c:v>0.49479166666666663</c:v>
                </c:pt>
                <c:pt idx="3">
                  <c:v>0.49479166666666663</c:v>
                </c:pt>
                <c:pt idx="4">
                  <c:v>0.49479166666666663</c:v>
                </c:pt>
                <c:pt idx="5">
                  <c:v>0.49479166666666663</c:v>
                </c:pt>
                <c:pt idx="6">
                  <c:v>0.49479166666666663</c:v>
                </c:pt>
                <c:pt idx="7">
                  <c:v>0.49479166666666663</c:v>
                </c:pt>
                <c:pt idx="8">
                  <c:v>0.49479166666666663</c:v>
                </c:pt>
                <c:pt idx="9">
                  <c:v>0.49479166666666663</c:v>
                </c:pt>
                <c:pt idx="10">
                  <c:v>0.49479166666666663</c:v>
                </c:pt>
                <c:pt idx="11">
                  <c:v>0.49479166666666663</c:v>
                </c:pt>
                <c:pt idx="12">
                  <c:v>0.49479166666666663</c:v>
                </c:pt>
                <c:pt idx="13">
                  <c:v>0.49479166666666663</c:v>
                </c:pt>
                <c:pt idx="14">
                  <c:v>0.49479166666666663</c:v>
                </c:pt>
                <c:pt idx="15">
                  <c:v>0.49479166666666663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11-4B9A-8627-377085831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17504</c:v>
                </c:pt>
                <c:pt idx="3">
                  <c:v>5460</c:v>
                </c:pt>
                <c:pt idx="6">
                  <c:v>18330</c:v>
                </c:pt>
                <c:pt idx="7">
                  <c:v>24808</c:v>
                </c:pt>
                <c:pt idx="8">
                  <c:v>2966</c:v>
                </c:pt>
                <c:pt idx="11">
                  <c:v>6153</c:v>
                </c:pt>
                <c:pt idx="12">
                  <c:v>2823</c:v>
                </c:pt>
                <c:pt idx="13">
                  <c:v>9612</c:v>
                </c:pt>
                <c:pt idx="14">
                  <c:v>12952</c:v>
                </c:pt>
                <c:pt idx="15">
                  <c:v>37752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28-4C39-9E88-213CC5618864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17504</c:v>
                </c:pt>
                <c:pt idx="3">
                  <c:v>5460</c:v>
                </c:pt>
                <c:pt idx="4">
                  <c:v>1424</c:v>
                </c:pt>
                <c:pt idx="5">
                  <c:v>2541</c:v>
                </c:pt>
                <c:pt idx="6">
                  <c:v>18330</c:v>
                </c:pt>
                <c:pt idx="7">
                  <c:v>24808</c:v>
                </c:pt>
                <c:pt idx="8">
                  <c:v>2966</c:v>
                </c:pt>
                <c:pt idx="9">
                  <c:v>15572</c:v>
                </c:pt>
                <c:pt idx="10">
                  <c:v>495</c:v>
                </c:pt>
                <c:pt idx="11">
                  <c:v>6153</c:v>
                </c:pt>
                <c:pt idx="12">
                  <c:v>2823</c:v>
                </c:pt>
                <c:pt idx="13">
                  <c:v>9612</c:v>
                </c:pt>
                <c:pt idx="14">
                  <c:v>12952</c:v>
                </c:pt>
                <c:pt idx="15">
                  <c:v>37752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28-4C39-9E88-213CC5618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83%</c:v>
                </c:pt>
                <c:pt idx="7">
                  <c:v>88%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71%</c:v>
                </c:pt>
                <c:pt idx="13">
                  <c:v>58%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0.70833333333333337</c:v>
                </c:pt>
                <c:pt idx="13">
                  <c:v>0.58333333333333337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A-4147-BC04-448BB973F13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DA-4147-BC04-448BB973F13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0.49479166666666663</c:v>
                </c:pt>
                <c:pt idx="1">
                  <c:v>0.49479166666666663</c:v>
                </c:pt>
                <c:pt idx="2">
                  <c:v>0.49479166666666663</c:v>
                </c:pt>
                <c:pt idx="3">
                  <c:v>0.49479166666666663</c:v>
                </c:pt>
                <c:pt idx="4">
                  <c:v>0.49479166666666663</c:v>
                </c:pt>
                <c:pt idx="5">
                  <c:v>0.49479166666666663</c:v>
                </c:pt>
                <c:pt idx="6">
                  <c:v>0.49479166666666663</c:v>
                </c:pt>
                <c:pt idx="7">
                  <c:v>0.49479166666666663</c:v>
                </c:pt>
                <c:pt idx="8">
                  <c:v>0.49479166666666663</c:v>
                </c:pt>
                <c:pt idx="9">
                  <c:v>0.49479166666666663</c:v>
                </c:pt>
                <c:pt idx="10">
                  <c:v>0.49479166666666663</c:v>
                </c:pt>
                <c:pt idx="11">
                  <c:v>0.49479166666666663</c:v>
                </c:pt>
                <c:pt idx="12">
                  <c:v>0.49479166666666663</c:v>
                </c:pt>
                <c:pt idx="13">
                  <c:v>0.49479166666666663</c:v>
                </c:pt>
                <c:pt idx="14">
                  <c:v>0.49479166666666663</c:v>
                </c:pt>
                <c:pt idx="15">
                  <c:v>0.49479166666666663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A-4147-BC04-448BB973F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091-4511-A77B-0E98A0583D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1-4511-A77B-0E98A0583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091-4511-A77B-0E98A0583D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91-4511-A77B-0E98A0583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2">
                  <c:v>23944</c:v>
                </c:pt>
                <c:pt idx="5">
                  <c:v>2940</c:v>
                </c:pt>
                <c:pt idx="6">
                  <c:v>20418</c:v>
                </c:pt>
                <c:pt idx="7">
                  <c:v>27356</c:v>
                </c:pt>
                <c:pt idx="8">
                  <c:v>2824</c:v>
                </c:pt>
                <c:pt idx="11">
                  <c:v>5650</c:v>
                </c:pt>
                <c:pt idx="12">
                  <c:v>429</c:v>
                </c:pt>
                <c:pt idx="13">
                  <c:v>11036</c:v>
                </c:pt>
                <c:pt idx="14">
                  <c:v>12936</c:v>
                </c:pt>
                <c:pt idx="15">
                  <c:v>36084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A-4F5F-AB65-80229AD56021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23944</c:v>
                </c:pt>
                <c:pt idx="3">
                  <c:v>5460</c:v>
                </c:pt>
                <c:pt idx="4">
                  <c:v>1424</c:v>
                </c:pt>
                <c:pt idx="5">
                  <c:v>2940</c:v>
                </c:pt>
                <c:pt idx="6">
                  <c:v>20418</c:v>
                </c:pt>
                <c:pt idx="7">
                  <c:v>27356</c:v>
                </c:pt>
                <c:pt idx="8">
                  <c:v>2824</c:v>
                </c:pt>
                <c:pt idx="9">
                  <c:v>15572</c:v>
                </c:pt>
                <c:pt idx="10">
                  <c:v>495</c:v>
                </c:pt>
                <c:pt idx="11">
                  <c:v>5650</c:v>
                </c:pt>
                <c:pt idx="12">
                  <c:v>429</c:v>
                </c:pt>
                <c:pt idx="13">
                  <c:v>11036</c:v>
                </c:pt>
                <c:pt idx="14">
                  <c:v>12936</c:v>
                </c:pt>
                <c:pt idx="15">
                  <c:v>36084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A-4F5F-AB65-80229AD56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100%</c:v>
                </c:pt>
                <c:pt idx="7">
                  <c:v>100%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33%</c:v>
                </c:pt>
                <c:pt idx="13">
                  <c:v>71%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1</c:v>
                </c:pt>
                <c:pt idx="7">
                  <c:v>1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0.33333333333333331</c:v>
                </c:pt>
                <c:pt idx="13">
                  <c:v>0.70833333333333337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E-4DE7-A0D8-41C2BB340AA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BE-4DE7-A0D8-41C2BB340A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0.47656249999999994</c:v>
                </c:pt>
                <c:pt idx="1">
                  <c:v>0.47656249999999994</c:v>
                </c:pt>
                <c:pt idx="2">
                  <c:v>0.47656249999999994</c:v>
                </c:pt>
                <c:pt idx="3">
                  <c:v>0.47656249999999994</c:v>
                </c:pt>
                <c:pt idx="4">
                  <c:v>0.47656249999999994</c:v>
                </c:pt>
                <c:pt idx="5">
                  <c:v>0.47656249999999994</c:v>
                </c:pt>
                <c:pt idx="6">
                  <c:v>0.47656249999999994</c:v>
                </c:pt>
                <c:pt idx="7">
                  <c:v>0.47656249999999994</c:v>
                </c:pt>
                <c:pt idx="8">
                  <c:v>0.47656249999999994</c:v>
                </c:pt>
                <c:pt idx="9">
                  <c:v>0.47656249999999994</c:v>
                </c:pt>
                <c:pt idx="10">
                  <c:v>0.47656249999999994</c:v>
                </c:pt>
                <c:pt idx="11">
                  <c:v>0.47656249999999994</c:v>
                </c:pt>
                <c:pt idx="12">
                  <c:v>0.47656249999999994</c:v>
                </c:pt>
                <c:pt idx="13">
                  <c:v>0.47656249999999994</c:v>
                </c:pt>
                <c:pt idx="14">
                  <c:v>0.47656249999999994</c:v>
                </c:pt>
                <c:pt idx="15">
                  <c:v>0.47656249999999994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BE-4DE7-A0D8-41C2BB340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2">
                  <c:v>23944</c:v>
                </c:pt>
                <c:pt idx="5">
                  <c:v>2940</c:v>
                </c:pt>
                <c:pt idx="6">
                  <c:v>20418</c:v>
                </c:pt>
                <c:pt idx="7">
                  <c:v>27356</c:v>
                </c:pt>
                <c:pt idx="8">
                  <c:v>2824</c:v>
                </c:pt>
                <c:pt idx="11">
                  <c:v>5650</c:v>
                </c:pt>
                <c:pt idx="12">
                  <c:v>429</c:v>
                </c:pt>
                <c:pt idx="13">
                  <c:v>11036</c:v>
                </c:pt>
                <c:pt idx="14">
                  <c:v>12936</c:v>
                </c:pt>
                <c:pt idx="15">
                  <c:v>36084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F-49FE-B800-061103C80E6B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3718</c:v>
                </c:pt>
                <c:pt idx="1">
                  <c:v>1012</c:v>
                </c:pt>
                <c:pt idx="2">
                  <c:v>23944</c:v>
                </c:pt>
                <c:pt idx="3">
                  <c:v>5460</c:v>
                </c:pt>
                <c:pt idx="4">
                  <c:v>1424</c:v>
                </c:pt>
                <c:pt idx="5">
                  <c:v>2940</c:v>
                </c:pt>
                <c:pt idx="6">
                  <c:v>20418</c:v>
                </c:pt>
                <c:pt idx="7">
                  <c:v>27356</c:v>
                </c:pt>
                <c:pt idx="8">
                  <c:v>2824</c:v>
                </c:pt>
                <c:pt idx="9">
                  <c:v>15572</c:v>
                </c:pt>
                <c:pt idx="10">
                  <c:v>495</c:v>
                </c:pt>
                <c:pt idx="11">
                  <c:v>5650</c:v>
                </c:pt>
                <c:pt idx="12">
                  <c:v>429</c:v>
                </c:pt>
                <c:pt idx="13">
                  <c:v>11036</c:v>
                </c:pt>
                <c:pt idx="14">
                  <c:v>12936</c:v>
                </c:pt>
                <c:pt idx="15">
                  <c:v>36084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F-49FE-B800-061103C80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100%</c:v>
                </c:pt>
                <c:pt idx="7">
                  <c:v>100%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33%</c:v>
                </c:pt>
                <c:pt idx="13">
                  <c:v>71%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1</c:v>
                </c:pt>
                <c:pt idx="7">
                  <c:v>1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0.33333333333333331</c:v>
                </c:pt>
                <c:pt idx="13">
                  <c:v>0.70833333333333337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0-44E6-B5FA-12D18F9DCF7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40-44E6-B5FA-12D18F9DCF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ADAPTER</c:v>
                </c:pt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0.47656249999999994</c:v>
                </c:pt>
                <c:pt idx="1">
                  <c:v>0.47656249999999994</c:v>
                </c:pt>
                <c:pt idx="2">
                  <c:v>0.47656249999999994</c:v>
                </c:pt>
                <c:pt idx="3">
                  <c:v>0.47656249999999994</c:v>
                </c:pt>
                <c:pt idx="4">
                  <c:v>0.47656249999999994</c:v>
                </c:pt>
                <c:pt idx="5">
                  <c:v>0.47656249999999994</c:v>
                </c:pt>
                <c:pt idx="6">
                  <c:v>0.47656249999999994</c:v>
                </c:pt>
                <c:pt idx="7">
                  <c:v>0.47656249999999994</c:v>
                </c:pt>
                <c:pt idx="8">
                  <c:v>0.47656249999999994</c:v>
                </c:pt>
                <c:pt idx="9">
                  <c:v>0.47656249999999994</c:v>
                </c:pt>
                <c:pt idx="10">
                  <c:v>0.47656249999999994</c:v>
                </c:pt>
                <c:pt idx="11">
                  <c:v>0.47656249999999994</c:v>
                </c:pt>
                <c:pt idx="12">
                  <c:v>0.47656249999999994</c:v>
                </c:pt>
                <c:pt idx="13">
                  <c:v>0.47656249999999994</c:v>
                </c:pt>
                <c:pt idx="14">
                  <c:v>0.47656249999999994</c:v>
                </c:pt>
                <c:pt idx="15">
                  <c:v>0.47656249999999994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40-44E6-B5FA-12D18F9DC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933-4FA9-A8B9-12A8E10F3F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3-4FA9-A8B9-12A8E10F3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933-4FA9-A8B9-12A8E10F3F6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33-4FA9-A8B9-12A8E10F3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07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0.49537037037037035</c:v>
                </c:pt>
                <c:pt idx="1">
                  <c:v>0.51041666666666674</c:v>
                </c:pt>
                <c:pt idx="2">
                  <c:v>0.45654308410111039</c:v>
                </c:pt>
                <c:pt idx="3">
                  <c:v>0.52604166666666674</c:v>
                </c:pt>
                <c:pt idx="5">
                  <c:v>0.55989583333333337</c:v>
                </c:pt>
                <c:pt idx="6">
                  <c:v>0.40196078431372551</c:v>
                </c:pt>
                <c:pt idx="7">
                  <c:v>0.44607843137254899</c:v>
                </c:pt>
                <c:pt idx="8">
                  <c:v>0.51041666666666663</c:v>
                </c:pt>
                <c:pt idx="9">
                  <c:v>0.39843750000000006</c:v>
                </c:pt>
                <c:pt idx="10">
                  <c:v>0.40104166666666669</c:v>
                </c:pt>
                <c:pt idx="12">
                  <c:v>0.47135416666666669</c:v>
                </c:pt>
                <c:pt idx="13">
                  <c:v>0.4453125</c:v>
                </c:pt>
                <c:pt idx="14">
                  <c:v>0.51470588235294112</c:v>
                </c:pt>
                <c:pt idx="15">
                  <c:v>0.48437499999999994</c:v>
                </c:pt>
                <c:pt idx="16">
                  <c:v>0.3671875</c:v>
                </c:pt>
                <c:pt idx="17">
                  <c:v>0.3125</c:v>
                </c:pt>
                <c:pt idx="19">
                  <c:v>0.41145833333333331</c:v>
                </c:pt>
                <c:pt idx="20">
                  <c:v>0.40625</c:v>
                </c:pt>
                <c:pt idx="21">
                  <c:v>0.45572916666666669</c:v>
                </c:pt>
                <c:pt idx="22">
                  <c:v>0.45052083333333337</c:v>
                </c:pt>
                <c:pt idx="23">
                  <c:v>0.42708333333333331</c:v>
                </c:pt>
                <c:pt idx="26">
                  <c:v>0.35156249999999994</c:v>
                </c:pt>
                <c:pt idx="27">
                  <c:v>0.41927083333333331</c:v>
                </c:pt>
                <c:pt idx="28">
                  <c:v>0.43750000000000006</c:v>
                </c:pt>
                <c:pt idx="29">
                  <c:v>0.49479166666666663</c:v>
                </c:pt>
                <c:pt idx="30">
                  <c:v>0.47656249999999994</c:v>
                </c:pt>
                <c:pt idx="31">
                  <c:v>0.3752376414788397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07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0.21102150537634407</c:v>
                </c:pt>
                <c:pt idx="1">
                  <c:v>0.19623655913978494</c:v>
                </c:pt>
                <c:pt idx="2">
                  <c:v>0.75403225806451624</c:v>
                </c:pt>
                <c:pt idx="3">
                  <c:v>0.55913978494623662</c:v>
                </c:pt>
                <c:pt idx="4">
                  <c:v>0.67473118279569899</c:v>
                </c:pt>
                <c:pt idx="5">
                  <c:v>0.46236559139784944</c:v>
                </c:pt>
                <c:pt idx="6">
                  <c:v>0.58100749773286675</c:v>
                </c:pt>
                <c:pt idx="7">
                  <c:v>0.74059139784946237</c:v>
                </c:pt>
                <c:pt idx="8">
                  <c:v>0.12365591397849461</c:v>
                </c:pt>
                <c:pt idx="9">
                  <c:v>9.6774193548387094E-2</c:v>
                </c:pt>
                <c:pt idx="10">
                  <c:v>0</c:v>
                </c:pt>
                <c:pt idx="11">
                  <c:v>0.16666666666666669</c:v>
                </c:pt>
                <c:pt idx="12">
                  <c:v>0.29166666666666663</c:v>
                </c:pt>
                <c:pt idx="13">
                  <c:v>0.33333333333333337</c:v>
                </c:pt>
                <c:pt idx="14">
                  <c:v>0.44489247311827956</c:v>
                </c:pt>
                <c:pt idx="15">
                  <c:v>0.47446236559139793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7.xml"/><Relationship Id="rId1" Type="http://schemas.openxmlformats.org/officeDocument/2006/relationships/chart" Target="../charts/chart126.xml"/><Relationship Id="rId6" Type="http://schemas.openxmlformats.org/officeDocument/2006/relationships/chart" Target="../charts/chart130.xml"/><Relationship Id="rId5" Type="http://schemas.openxmlformats.org/officeDocument/2006/relationships/chart" Target="../charts/chart129.xml"/><Relationship Id="rId4" Type="http://schemas.openxmlformats.org/officeDocument/2006/relationships/chart" Target="../charts/chart128.xml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2.xml"/><Relationship Id="rId1" Type="http://schemas.openxmlformats.org/officeDocument/2006/relationships/chart" Target="../charts/chart1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CDD480-8E1B-423C-B6F0-B841ECE49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087D2A-60DD-4929-99B0-BD70D27C8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380C24C-37D6-4F51-8C81-0C1B73CA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528A5A9-6B71-4932-B291-0366E4D68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B969C02-B317-4A72-AB1B-13EBB0471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70F6724-4F78-42B1-A330-23562DF1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3157173-BD83-4829-99A1-58DB22552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92A812-0B89-4D5A-9B63-D1FBA268A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D765387-B9C3-4AFD-BADA-0087C1173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705EAA8-7FB9-44F6-8D79-801AF743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A949AA3-9921-4F16-90DC-FB63AC2EA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DE28954-CCF9-4A35-89BE-F2C7D937E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9DB2B43-E0B3-4C58-9589-EE711EE83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38F210F-4C90-43B0-A028-8EEF758D4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32B6A1-FAEA-43E2-8B72-13EE2BCC9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80CD775-8A5A-4533-A96E-40DA799D4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BEC18B1-9E82-4073-A0C6-BFB35BF7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770AADD-A175-45AB-B696-2B3502FCF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46BA7AF-97D8-4EB2-9E18-FBF477351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2717626-8D38-40AC-887C-2E07D505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C0C212F-D8FD-4637-A96F-E09D091BD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2D1D8C-CCD4-4C18-B1D1-2A256940F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B1D096B-E229-4C27-A8D5-E8AF51EA4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6C81414-03B6-4A68-A44D-1E98D7B0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C2ACF6-E28F-4AB3-9E48-A3A2E872A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93AD430-8BBD-42EF-AFE6-1AC67DB1F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C3F23CE-2239-44E2-9A01-CE83CEE3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DFE7790-A501-429B-A9F2-C9A7DE528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EDBC241-A0B0-4DD3-9061-C4DD16D6E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B90DE8-A69D-4B68-B3BA-72C1D5016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3E1E593-B4AC-4961-99CF-452C78DB1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7472152-9FC9-4360-BF29-B5479FEAF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3AEE2AC-7682-4821-9096-6F482CE80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80F0DDC-60C0-434A-8A36-A9DB16EE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E75571A-BB50-4FE2-8013-A1B8FD0FA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EE5EA8B-81A8-49D7-A31C-09F15AAC6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2BB0170-731D-49DF-9682-4BD140ACB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7426648-A1E2-4E9B-89B1-10D21F9D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15BDA38-1F70-4E20-ACED-10EF3608C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4869639-81F9-4E8E-8487-93E356FA2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C2F28B-CBD8-4A63-AE3B-EBF368F6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CCE723F-70A6-46FF-82F6-23B926C23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5B4AD24-7B5C-4E50-814B-0BFD0FCAD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448C3FA-CA33-41AE-A3FC-08970D1AB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5BE44E6-1C46-4C1C-8BA5-02663C2F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A6FE527-7764-450D-A8BC-8A5F3B8C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7D6A7E3-B24F-43E0-BAED-FE8AAF001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8DDA734-C166-4D5A-B563-DADCBBDD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CD8D51E-7104-4CB1-8274-42BF6C9BF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203244-A88F-4900-B0BF-1DB2F1AC3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E4CA51C-09A8-4746-958E-F6297B6F4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4403581-CDBF-47F0-8738-8690C5C7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491FBB0-51BE-45A5-A670-785D0006E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E6769E7-8C4A-4AE0-8DD1-5ECAF42FD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4190C1B-AF22-44B1-88FA-47BC9DC4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7518BAB-B3A9-4F0D-8E52-F88C88C24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EBCC5C2-25AE-44E3-A78E-AFE2F4AB7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223199-5844-45AF-8603-A713556FF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93031C5-9964-46D1-B399-04136F1E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918B303-33D7-423A-BCDA-074073BAB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DACB049-6274-4548-A8F9-5C8BC6F9E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F6DBDFB-41D4-4399-8284-C13EAD95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7C65AA9-32C1-4EE8-BE74-0624784D5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35AE5D-FB3B-400D-8CF7-F576AD097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1333EE2-C4E2-466C-9E90-5147C3EB8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40C2079-07B1-4928-A198-624C848E3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47805FD-F13A-48B5-862B-28BF1C4C5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6F31FE9-84FC-46B5-A321-FA772DA6B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20AFD45-A48E-4B05-8FBD-ADBE8A607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B992EF8-8AF3-4DA0-8707-0F653A8E7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049632-56CD-4AAA-A8E6-9FA3A29FC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4873CB9-7132-42C4-90D3-F8ED1B869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DFFEDC7-2E62-4AEC-BA20-BCC35C7E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6437895-C648-49AA-9D09-0575DEF77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322D66D-03F8-438D-87B9-5FF8DDF2C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A9C0990-04B1-473A-96C7-3EDE943A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EA47C96-599E-429F-8237-E085F2407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85499C-E4DE-4F10-87B5-BA69DD5E3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EAAAC4-1E47-4F86-A50B-772ACDA95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4ED3C66-2BB0-4A0F-B43D-9CC24B708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55D6121-FDA9-4A58-819B-7E12D1B31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985C794-4A1D-4D6F-9A07-75D4F4B5F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2E1433B-69D7-4E68-873F-22E15B1F0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55B0FA-29A4-49C6-AA0D-4AD823C7F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AAB01A5-80EF-42FA-81AC-A5DD54258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2E8C9EA-366E-49F9-A15F-043EDDA93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D9F03A-2593-4AC1-B599-59C7B265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742CD37-BB2D-45E5-9F66-D94E39A26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5516AF3-562E-402C-8911-F356263BC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E5FD8A1-F34C-42DA-AF41-398F0699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11A2799-3A48-4D70-A404-363E66B37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60EE1B-6FC7-4B45-83D3-8A678932D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4F03B8-2B58-4B16-856B-750C7F89D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41EB95E-4BE0-418C-86E8-A1E132E8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3427295-FA61-4CC0-AFFE-BEADC67E0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D18BE87-AC13-41CB-97D5-87AC5B7F2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A4FC592-FD49-44DD-AD4A-9C2A29CC1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ABCD10D-96BA-49BC-8929-13C6AFCBE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538202-CFEE-47DE-A7BD-3EAD1EDAD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235629-974D-400A-B802-A929AFFAF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07581EC-4D3C-49BC-8EB8-94FC1364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C064F66-8CC1-43F5-8A00-C3BE8B8B5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E8F5026-D2B6-416D-B08E-6B1E6661D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B8FEE62-244B-4D59-A005-F7E598AF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F7508C6-7D3B-4711-9516-BE58AE8FB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912DB14-6FF8-466A-A272-A114C8E1B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651A3E6-D513-4CE8-88F7-534F82CF9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CDA45FB-C355-41F8-95FD-B27AF3FE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436B9C-B6AC-4F4D-82FE-49545E7FB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6ABEF11-807A-4C8B-9BE5-FABEDD9F9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1939437-1B1F-4BA2-A79F-31763D602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DB2D7C5-8210-46B9-B616-D811C3E61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D00098-D69D-43FB-BE6C-19438DE1D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B4055EF-F105-4B93-91DA-944972C74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DD1FC7-9D63-4CBE-937A-4AD35CD9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B1BE1F2-88D7-4584-817B-1A8592A33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21C3DE7-D645-4F7E-BC28-A644920A6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A70F073-0062-453E-A9B9-28489A1E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26670C3-B7A1-49EB-9B21-D812553AC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79ABE0A-5D4D-4655-A1E4-4907C886F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F76E424-4A7E-48EC-BF8C-84100C4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071071-66BD-44D0-9339-CDCF0B63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B8A487C-1035-4BB4-80ED-7DD5A9AC2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9D63FE-F4C2-4322-815F-9986425A5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4255B3D-630B-4122-B62B-701EEBFB7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1EE7C73-BD0C-4B20-95E0-48A956E2C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118CA4-B503-444F-A5E8-5569CB6B1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EDAEBB-2D73-4905-925A-9E77A571C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731F71C-A611-4987-840E-4B776E26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50BAAB8-7808-4516-8711-BBACFAC19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CD3AA00-FEBE-4CA5-A417-312CEE7CF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D6F53F3-9587-4A79-9101-4E68DC3DE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396E28-DDFB-468E-A684-5AA8CD013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AF815B-0ACD-404D-92D1-695B1C6E2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48EFFFD-692D-40D8-9F3F-9528700C8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336A16B-92FA-4FC9-BFB9-A41C0B01F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406341-BEFB-49F0-B254-FF68FF095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7B0C3AA-AE54-448A-B0A5-914E98C9F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696AEFF-FAB2-4397-98C5-CE55DCD75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17A3C1A-2360-48D7-B82D-D96653147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11A0917-ED55-450B-9EE4-DECFBD05E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7738B2F-F07D-4C1E-86A8-3E0D7717B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2033F1C-C791-43CC-AA51-15BCD33F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CBB7DEB-49D0-47B7-8A49-30B701179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36170E7-C01C-4E95-A9CF-2A80DEB39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9FD7286-7492-4543-8862-FB682F50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2C35C5F-7E40-485B-8CA5-B1553A91A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B799DC3-7527-4571-9AF1-4C91E78DE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85D5AB8-C9ED-47EC-8DA9-EC9DE0526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FF12154-0752-4415-B6A6-6EB49734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6816260-1B91-495B-87E0-C788870E0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E97AE8E-22DF-4634-918C-B0D031DB9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600D87F-537D-4A1A-8EF8-620957F6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ECEF458-A98D-4C70-B734-21366230D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91DAFEE-DBA5-404A-AF95-F77248F5A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C20B4F-D8BD-45C6-B8E0-D430FA5E3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43A4F27-5506-4BAB-8321-7411DFFF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F6FF21F-5C44-42A2-AF89-29560439B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4181882-9792-40F3-9295-EE1CE87CF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30DECAB-0DAE-42EA-B1AA-24602AED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5E61A43-87C8-41F3-BB94-DEFDB00E3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9FC1DD3-AA22-4912-96B8-6F60F1A16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649D628-FEC8-41B1-AE6D-B568AE86F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FE78E8E-69C6-481A-9E87-7D4A21A5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F53E137-2C43-4AEE-AE59-074937376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9B5AC7C-F3B3-427F-9FDD-DDC76C0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85D1B1-9936-4707-ADB4-29DBCB09E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C02273B-3B9C-48DF-A790-421FD68C6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C776FC-C0C3-48C4-B434-58A21F5A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4A87CE1-B07C-416C-B148-CEE0420D7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10D7009-8B2E-4057-99A3-DAAF35F00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B0B8C75-8ED9-41CE-9E25-6FC88C7BC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0C80C86-8637-4812-88A2-D0EA579E7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B6F9D6A-BFB9-49DE-B3EA-F6C0612C7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ADA8DDD-697C-4BED-9227-E4A5E4B61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E3FEE2A-9758-4926-B67A-07158388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450969-56D8-4D0D-8722-52CE1BBB5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4A4CA2-1038-4267-AECF-B3CD1F8B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0F2A6C2-1B1B-4AB6-A65C-4E3152B0C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4CFC0DC-99A4-4EDF-85C5-30A687853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BEAE27F-DEE2-44B2-839A-650D762F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CDDFAE7-4A95-4965-AAF2-CB2476D86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78D0-83E5-4562-8C06-DEF2184E7359}">
  <dimension ref="A1:AF89"/>
  <sheetViews>
    <sheetView view="pageBreakPreview" zoomScale="70" zoomScaleNormal="72" zoomScaleSheetLayoutView="70" workbookViewId="0">
      <selection activeCell="F68" sqref="F68:J6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167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131" t="s">
        <v>17</v>
      </c>
      <c r="L5" s="131" t="s">
        <v>18</v>
      </c>
      <c r="M5" s="131" t="s">
        <v>19</v>
      </c>
      <c r="N5" s="1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128</v>
      </c>
      <c r="E6" s="53" t="s">
        <v>159</v>
      </c>
      <c r="F6" s="12" t="s">
        <v>127</v>
      </c>
      <c r="G6" s="12">
        <v>1</v>
      </c>
      <c r="H6" s="13">
        <v>24</v>
      </c>
      <c r="I6" s="31">
        <v>17000</v>
      </c>
      <c r="J6" s="14">
        <v>617</v>
      </c>
      <c r="K6" s="15">
        <f>L6+4576+6348+6537+617</f>
        <v>18078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0.49537037037037035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169</v>
      </c>
      <c r="E7" s="53" t="s">
        <v>170</v>
      </c>
      <c r="F7" s="12">
        <v>8301</v>
      </c>
      <c r="G7" s="12">
        <v>1</v>
      </c>
      <c r="H7" s="13">
        <v>24</v>
      </c>
      <c r="I7" s="31">
        <v>1600</v>
      </c>
      <c r="J7" s="14">
        <v>1950</v>
      </c>
      <c r="K7" s="15">
        <f>L7</f>
        <v>1950</v>
      </c>
      <c r="L7" s="15">
        <f>1950</f>
        <v>1950</v>
      </c>
      <c r="M7" s="15">
        <f t="shared" si="0"/>
        <v>1950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>
        <v>8</v>
      </c>
      <c r="T7" s="16"/>
      <c r="U7" s="16"/>
      <c r="V7" s="17"/>
      <c r="W7" s="5">
        <v>6</v>
      </c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0.49537037037037035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10412</v>
      </c>
      <c r="K8" s="15">
        <f>L8+8404+12360+9142+12426+5790+11544+12480+12502+12376+12380+22896+24720+24328+24256+11504+24084+22712+24032+23532+20768+23268+23880+22096+24340</f>
        <v>436232</v>
      </c>
      <c r="L8" s="15">
        <f>2603*4</f>
        <v>10412</v>
      </c>
      <c r="M8" s="15">
        <f t="shared" si="0"/>
        <v>10412</v>
      </c>
      <c r="N8" s="15">
        <v>0</v>
      </c>
      <c r="O8" s="58">
        <f t="shared" si="1"/>
        <v>0</v>
      </c>
      <c r="P8" s="39">
        <f t="shared" si="2"/>
        <v>11</v>
      </c>
      <c r="Q8" s="40">
        <f t="shared" si="3"/>
        <v>13</v>
      </c>
      <c r="R8" s="7"/>
      <c r="S8" s="6"/>
      <c r="T8" s="16"/>
      <c r="U8" s="16"/>
      <c r="V8" s="17"/>
      <c r="W8" s="5">
        <v>13</v>
      </c>
      <c r="X8" s="16"/>
      <c r="Y8" s="16"/>
      <c r="Z8" s="16"/>
      <c r="AA8" s="18"/>
      <c r="AB8" s="8">
        <f t="shared" si="4"/>
        <v>1</v>
      </c>
      <c r="AC8" s="9">
        <f t="shared" si="5"/>
        <v>0.45833333333333331</v>
      </c>
      <c r="AD8" s="10">
        <f t="shared" si="6"/>
        <v>0.45833333333333331</v>
      </c>
      <c r="AE8" s="36">
        <f t="shared" si="7"/>
        <v>0.49537037037037035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163</v>
      </c>
      <c r="F9" s="30" t="s">
        <v>155</v>
      </c>
      <c r="G9" s="33">
        <v>2</v>
      </c>
      <c r="H9" s="35">
        <v>24</v>
      </c>
      <c r="I9" s="7">
        <v>310</v>
      </c>
      <c r="J9" s="14">
        <v>620</v>
      </c>
      <c r="K9" s="15">
        <f>L9</f>
        <v>620</v>
      </c>
      <c r="L9" s="15">
        <f>310*2</f>
        <v>620</v>
      </c>
      <c r="M9" s="15">
        <f t="shared" si="0"/>
        <v>620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/>
      <c r="T9" s="16"/>
      <c r="U9" s="16"/>
      <c r="V9" s="17"/>
      <c r="W9" s="5">
        <v>20</v>
      </c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6">
        <f t="shared" si="7"/>
        <v>0.49537037037037035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122</v>
      </c>
      <c r="D10" s="52"/>
      <c r="E10" s="53" t="s">
        <v>164</v>
      </c>
      <c r="F10" s="30" t="s">
        <v>123</v>
      </c>
      <c r="G10" s="33">
        <v>2</v>
      </c>
      <c r="H10" s="35">
        <v>24</v>
      </c>
      <c r="I10" s="7">
        <v>310</v>
      </c>
      <c r="J10" s="14">
        <v>470</v>
      </c>
      <c r="K10" s="15">
        <f>L10</f>
        <v>470</v>
      </c>
      <c r="L10" s="15">
        <f>235*2</f>
        <v>470</v>
      </c>
      <c r="M10" s="15">
        <f t="shared" ref="M10" si="9">L10-N10</f>
        <v>470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4</v>
      </c>
      <c r="Q10" s="40">
        <f t="shared" ref="Q10" si="12">SUM(R10:AA10)</f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0.16666666666666666</v>
      </c>
      <c r="AD10" s="10">
        <f t="shared" ref="AD10" si="15">AC10*AB10*(1-O10)</f>
        <v>0.16666666666666666</v>
      </c>
      <c r="AE10" s="36">
        <f t="shared" si="7"/>
        <v>0.49537037037037035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34" t="s">
        <v>120</v>
      </c>
      <c r="D11" s="52" t="s">
        <v>137</v>
      </c>
      <c r="E11" s="53" t="s">
        <v>141</v>
      </c>
      <c r="F11" s="30" t="s">
        <v>123</v>
      </c>
      <c r="G11" s="33">
        <v>4</v>
      </c>
      <c r="H11" s="35">
        <v>24</v>
      </c>
      <c r="I11" s="7">
        <v>530000</v>
      </c>
      <c r="J11" s="5">
        <v>24900</v>
      </c>
      <c r="K11" s="15">
        <f>L11+19272+24844+16004+13948+24828+23236+25072</f>
        <v>172104</v>
      </c>
      <c r="L11" s="15">
        <f>3221*4+3004*4</f>
        <v>24900</v>
      </c>
      <c r="M11" s="15">
        <f t="shared" si="0"/>
        <v>24900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0.49537037037037035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122</v>
      </c>
      <c r="D12" s="52"/>
      <c r="E12" s="53" t="s">
        <v>158</v>
      </c>
      <c r="F12" s="30" t="s">
        <v>155</v>
      </c>
      <c r="G12" s="33">
        <v>1</v>
      </c>
      <c r="H12" s="35">
        <v>24</v>
      </c>
      <c r="I12" s="7">
        <v>20000</v>
      </c>
      <c r="J12" s="14">
        <v>5257</v>
      </c>
      <c r="K12" s="15">
        <f>L12+1837+2816+1326+2915+5354</f>
        <v>19505</v>
      </c>
      <c r="L12" s="15">
        <f>2562+2695</f>
        <v>5257</v>
      </c>
      <c r="M12" s="15">
        <f t="shared" si="0"/>
        <v>5257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5" si="17">AC12*AB12*(1-O12)</f>
        <v>1</v>
      </c>
      <c r="AE12" s="36">
        <f t="shared" si="7"/>
        <v>0.49537037037037035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122</v>
      </c>
      <c r="D13" s="52" t="s">
        <v>115</v>
      </c>
      <c r="E13" s="53" t="s">
        <v>160</v>
      </c>
      <c r="F13" s="30" t="s">
        <v>118</v>
      </c>
      <c r="G13" s="33">
        <v>1</v>
      </c>
      <c r="H13" s="35">
        <v>24</v>
      </c>
      <c r="I13" s="7">
        <v>10000</v>
      </c>
      <c r="J13" s="14">
        <v>2722</v>
      </c>
      <c r="K13" s="15">
        <f>L13</f>
        <v>2722</v>
      </c>
      <c r="L13" s="15">
        <f>2384+338</f>
        <v>2722</v>
      </c>
      <c r="M13" s="15">
        <f t="shared" si="0"/>
        <v>2722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17"/>
        <v>0.58333333333333337</v>
      </c>
      <c r="AE13" s="36">
        <f t="shared" si="7"/>
        <v>0.49537037037037035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120</v>
      </c>
      <c r="D14" s="52" t="s">
        <v>115</v>
      </c>
      <c r="E14" s="53" t="s">
        <v>138</v>
      </c>
      <c r="F14" s="30" t="s">
        <v>123</v>
      </c>
      <c r="G14" s="33">
        <v>2</v>
      </c>
      <c r="H14" s="35">
        <v>24</v>
      </c>
      <c r="I14" s="7">
        <v>270000</v>
      </c>
      <c r="J14" s="5">
        <v>10116</v>
      </c>
      <c r="K14" s="15">
        <f>L14+10230+8758+7458+4298+5694+7524+3000+9774+6592+11326+12144+11050+10802+10910+9796+3412+4942+8464+12186+4876+12344+11648+11570+12232+12946+5214+12358</f>
        <v>251664</v>
      </c>
      <c r="L14" s="15">
        <f>2596*2+2462*2</f>
        <v>10116</v>
      </c>
      <c r="M14" s="15">
        <f t="shared" si="0"/>
        <v>10116</v>
      </c>
      <c r="N14" s="15">
        <v>0</v>
      </c>
      <c r="O14" s="58">
        <f t="shared" si="1"/>
        <v>0</v>
      </c>
      <c r="P14" s="39">
        <f t="shared" si="2"/>
        <v>22</v>
      </c>
      <c r="Q14" s="40">
        <f t="shared" si="3"/>
        <v>2</v>
      </c>
      <c r="R14" s="7"/>
      <c r="S14" s="6">
        <v>2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0.91666666666666663</v>
      </c>
      <c r="AD14" s="10">
        <f>AC14*AB14*(1-O14)</f>
        <v>0.91666666666666663</v>
      </c>
      <c r="AE14" s="36">
        <f t="shared" si="7"/>
        <v>0.49537037037037035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144</v>
      </c>
      <c r="F15" s="30" t="s">
        <v>129</v>
      </c>
      <c r="G15" s="33">
        <v>1</v>
      </c>
      <c r="H15" s="35">
        <v>24</v>
      </c>
      <c r="I15" s="7">
        <v>300</v>
      </c>
      <c r="J15" s="5">
        <v>260</v>
      </c>
      <c r="K15" s="15">
        <f>L15+260</f>
        <v>260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17"/>
        <v>0</v>
      </c>
      <c r="AE15" s="36">
        <f t="shared" si="7"/>
        <v>0.49537037037037035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122</v>
      </c>
      <c r="D16" s="52"/>
      <c r="E16" s="53" t="s">
        <v>157</v>
      </c>
      <c r="F16" s="12" t="s">
        <v>135</v>
      </c>
      <c r="G16" s="12">
        <v>1</v>
      </c>
      <c r="H16" s="13">
        <v>24</v>
      </c>
      <c r="I16" s="31">
        <v>20000</v>
      </c>
      <c r="J16" s="14">
        <v>5260</v>
      </c>
      <c r="K16" s="15">
        <f>L16+2236+873+2158+5230+5277+5226+625+4849</f>
        <v>31734</v>
      </c>
      <c r="L16" s="15">
        <f>2541+2719</f>
        <v>5260</v>
      </c>
      <c r="M16" s="15">
        <f t="shared" si="0"/>
        <v>5260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0.49537037037037035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119</v>
      </c>
      <c r="D17" s="52" t="s">
        <v>145</v>
      </c>
      <c r="E17" s="53" t="s">
        <v>146</v>
      </c>
      <c r="F17" s="30" t="s">
        <v>147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0.49537037037037035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112</v>
      </c>
      <c r="D18" s="52" t="s">
        <v>128</v>
      </c>
      <c r="E18" s="53" t="s">
        <v>165</v>
      </c>
      <c r="F18" s="30" t="s">
        <v>148</v>
      </c>
      <c r="G18" s="12">
        <v>1</v>
      </c>
      <c r="H18" s="13">
        <v>24</v>
      </c>
      <c r="I18" s="7">
        <v>1000</v>
      </c>
      <c r="J18" s="14">
        <v>1214</v>
      </c>
      <c r="K18" s="15">
        <f>L18</f>
        <v>1214</v>
      </c>
      <c r="L18" s="15">
        <v>1214</v>
      </c>
      <c r="M18" s="15">
        <f t="shared" si="0"/>
        <v>1214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0.49537037037037035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137</v>
      </c>
      <c r="E19" s="53" t="s">
        <v>166</v>
      </c>
      <c r="F19" s="30" t="s">
        <v>129</v>
      </c>
      <c r="G19" s="33">
        <v>1</v>
      </c>
      <c r="H19" s="35">
        <v>24</v>
      </c>
      <c r="I19" s="7">
        <v>1600</v>
      </c>
      <c r="J19" s="14">
        <v>1048</v>
      </c>
      <c r="K19" s="15">
        <f>L19</f>
        <v>1048</v>
      </c>
      <c r="L19" s="15">
        <v>1048</v>
      </c>
      <c r="M19" s="15">
        <f t="shared" ref="M19" si="18">L19-N19</f>
        <v>1048</v>
      </c>
      <c r="N19" s="15">
        <v>0</v>
      </c>
      <c r="O19" s="58">
        <f t="shared" ref="O19" si="19">IF(L19=0,"0",N19/L19)</f>
        <v>0</v>
      </c>
      <c r="P19" s="39">
        <f t="shared" ref="P19" si="20">IF(L19=0,"0",(24-Q19))</f>
        <v>7</v>
      </c>
      <c r="Q19" s="40">
        <f t="shared" ref="Q19" si="21">SUM(R19:AA19)</f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ref="AB19" si="22">IF(J19=0,"0",(L19/J19))</f>
        <v>1</v>
      </c>
      <c r="AC19" s="9">
        <f t="shared" ref="AC19" si="23">IF(P19=0,"0",(P19/24))</f>
        <v>0.29166666666666669</v>
      </c>
      <c r="AD19" s="10">
        <f t="shared" ref="AD19" si="24">AC19*AB19*(1-O19)</f>
        <v>0.29166666666666669</v>
      </c>
      <c r="AE19" s="36">
        <f t="shared" si="7"/>
        <v>0.49537037037037035</v>
      </c>
      <c r="AF19" s="84">
        <f t="shared" ref="AF19" si="25">A19</f>
        <v>13</v>
      </c>
    </row>
    <row r="20" spans="1:32" ht="27" customHeight="1">
      <c r="A20" s="96">
        <v>13</v>
      </c>
      <c r="B20" s="11" t="s">
        <v>57</v>
      </c>
      <c r="C20" s="11" t="s">
        <v>112</v>
      </c>
      <c r="D20" s="52" t="s">
        <v>171</v>
      </c>
      <c r="E20" s="53" t="s">
        <v>172</v>
      </c>
      <c r="F20" s="30" t="s">
        <v>173</v>
      </c>
      <c r="G20" s="33">
        <v>1</v>
      </c>
      <c r="H20" s="35">
        <v>24</v>
      </c>
      <c r="I20" s="7">
        <v>500</v>
      </c>
      <c r="J20" s="14">
        <v>645</v>
      </c>
      <c r="K20" s="15">
        <f>L20</f>
        <v>645</v>
      </c>
      <c r="L20" s="15">
        <v>645</v>
      </c>
      <c r="M20" s="15">
        <f t="shared" si="0"/>
        <v>645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0.49537037037037035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145</v>
      </c>
      <c r="E21" s="53" t="s">
        <v>161</v>
      </c>
      <c r="F21" s="30" t="s">
        <v>147</v>
      </c>
      <c r="G21" s="33">
        <v>1</v>
      </c>
      <c r="H21" s="35">
        <v>24</v>
      </c>
      <c r="I21" s="7">
        <v>33000</v>
      </c>
      <c r="J21" s="14">
        <v>5525</v>
      </c>
      <c r="K21" s="15">
        <f>L21+2330+2075+3595+5570</f>
        <v>19095</v>
      </c>
      <c r="L21" s="15">
        <f>2667+2858</f>
        <v>5525</v>
      </c>
      <c r="M21" s="15">
        <f t="shared" si="0"/>
        <v>5525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0.49537037037037035</v>
      </c>
      <c r="AF21" s="84">
        <f t="shared" si="8"/>
        <v>14</v>
      </c>
    </row>
    <row r="22" spans="1:32" ht="27" customHeight="1">
      <c r="A22" s="113">
        <v>15</v>
      </c>
      <c r="B22" s="11" t="s">
        <v>57</v>
      </c>
      <c r="C22" s="34" t="s">
        <v>120</v>
      </c>
      <c r="D22" s="52" t="s">
        <v>115</v>
      </c>
      <c r="E22" s="53" t="s">
        <v>142</v>
      </c>
      <c r="F22" s="30" t="s">
        <v>123</v>
      </c>
      <c r="G22" s="12">
        <v>4</v>
      </c>
      <c r="H22" s="13">
        <v>28</v>
      </c>
      <c r="I22" s="31">
        <v>561000</v>
      </c>
      <c r="J22" s="5">
        <v>23088</v>
      </c>
      <c r="K22" s="15">
        <f>L22+14284+8352+12576+8310+15524+17860+22424</f>
        <v>122418</v>
      </c>
      <c r="L22" s="15">
        <f>2918*4+2854*4</f>
        <v>23088</v>
      </c>
      <c r="M22" s="15">
        <f t="shared" si="0"/>
        <v>23088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0.49537037037037035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156</v>
      </c>
      <c r="F23" s="12" t="s">
        <v>114</v>
      </c>
      <c r="G23" s="12">
        <v>4</v>
      </c>
      <c r="H23" s="35">
        <v>20</v>
      </c>
      <c r="I23" s="7">
        <v>500000</v>
      </c>
      <c r="J23" s="14">
        <v>17656</v>
      </c>
      <c r="K23" s="15">
        <f>L23</f>
        <v>17656</v>
      </c>
      <c r="L23" s="15">
        <f>4414*4</f>
        <v>17656</v>
      </c>
      <c r="M23" s="15">
        <f t="shared" si="0"/>
        <v>17656</v>
      </c>
      <c r="N23" s="15">
        <v>0</v>
      </c>
      <c r="O23" s="58">
        <f t="shared" si="1"/>
        <v>0</v>
      </c>
      <c r="P23" s="39">
        <f t="shared" si="2"/>
        <v>10</v>
      </c>
      <c r="Q23" s="40">
        <f t="shared" si="3"/>
        <v>14</v>
      </c>
      <c r="R23" s="7"/>
      <c r="S23" s="6"/>
      <c r="T23" s="16"/>
      <c r="U23" s="16"/>
      <c r="V23" s="17">
        <v>14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0.41666666666666669</v>
      </c>
      <c r="AD23" s="10">
        <f t="shared" si="6"/>
        <v>0.41666666666666669</v>
      </c>
      <c r="AE23" s="36">
        <f t="shared" si="7"/>
        <v>0.49537037037037035</v>
      </c>
      <c r="AF23" s="84">
        <f t="shared" si="8"/>
        <v>16</v>
      </c>
    </row>
    <row r="24" spans="1:32" ht="31.5" customHeight="1" thickBot="1">
      <c r="A24" s="515" t="s">
        <v>34</v>
      </c>
      <c r="B24" s="516"/>
      <c r="C24" s="516"/>
      <c r="D24" s="516"/>
      <c r="E24" s="516"/>
      <c r="F24" s="516"/>
      <c r="G24" s="516"/>
      <c r="H24" s="517"/>
      <c r="I24" s="22">
        <f t="shared" ref="I24:N24" si="26">SUM(I6:I23)</f>
        <v>2687120</v>
      </c>
      <c r="J24" s="19">
        <f t="shared" si="26"/>
        <v>112255</v>
      </c>
      <c r="K24" s="20">
        <f t="shared" si="26"/>
        <v>1097910</v>
      </c>
      <c r="L24" s="21">
        <f t="shared" si="26"/>
        <v>110883</v>
      </c>
      <c r="M24" s="20">
        <f t="shared" si="26"/>
        <v>110883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214</v>
      </c>
      <c r="Q24" s="43">
        <f t="shared" si="27"/>
        <v>218</v>
      </c>
      <c r="R24" s="23">
        <f t="shared" si="27"/>
        <v>24</v>
      </c>
      <c r="S24" s="24">
        <f t="shared" si="27"/>
        <v>20</v>
      </c>
      <c r="T24" s="24">
        <f t="shared" si="27"/>
        <v>0</v>
      </c>
      <c r="U24" s="24">
        <f t="shared" si="27"/>
        <v>0</v>
      </c>
      <c r="V24" s="25">
        <f t="shared" si="27"/>
        <v>14</v>
      </c>
      <c r="W24" s="26">
        <f t="shared" si="27"/>
        <v>160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0</v>
      </c>
      <c r="AB24" s="28">
        <f>AVERAGE(AB6:AB23)</f>
        <v>0.83333333333333337</v>
      </c>
      <c r="AC24" s="4">
        <f>AVERAGE(AC6:AC23)</f>
        <v>0.49537037037037035</v>
      </c>
      <c r="AD24" s="4">
        <f>AVERAGE(AD6:AD23)</f>
        <v>0.49537037037037035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18" t="s">
        <v>45</v>
      </c>
      <c r="B51" s="518"/>
      <c r="C51" s="518"/>
      <c r="D51" s="518"/>
      <c r="E51" s="51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19" t="s">
        <v>130</v>
      </c>
      <c r="B52" s="520"/>
      <c r="C52" s="520"/>
      <c r="D52" s="520"/>
      <c r="E52" s="520"/>
      <c r="F52" s="520"/>
      <c r="G52" s="520"/>
      <c r="H52" s="520"/>
      <c r="I52" s="520"/>
      <c r="J52" s="520"/>
      <c r="K52" s="520"/>
      <c r="L52" s="520"/>
      <c r="M52" s="521"/>
      <c r="N52" s="522" t="s">
        <v>131</v>
      </c>
      <c r="O52" s="523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3"/>
      <c r="AB52" s="523"/>
      <c r="AC52" s="523"/>
      <c r="AD52" s="524"/>
    </row>
    <row r="53" spans="1:32" ht="27" customHeight="1">
      <c r="A53" s="525" t="s">
        <v>2</v>
      </c>
      <c r="B53" s="526"/>
      <c r="C53" s="130" t="s">
        <v>46</v>
      </c>
      <c r="D53" s="130" t="s">
        <v>47</v>
      </c>
      <c r="E53" s="130" t="s">
        <v>107</v>
      </c>
      <c r="F53" s="527" t="s">
        <v>106</v>
      </c>
      <c r="G53" s="528"/>
      <c r="H53" s="528"/>
      <c r="I53" s="528"/>
      <c r="J53" s="528"/>
      <c r="K53" s="528"/>
      <c r="L53" s="528"/>
      <c r="M53" s="529"/>
      <c r="N53" s="67" t="s">
        <v>110</v>
      </c>
      <c r="O53" s="130" t="s">
        <v>46</v>
      </c>
      <c r="P53" s="527" t="s">
        <v>47</v>
      </c>
      <c r="Q53" s="530"/>
      <c r="R53" s="527" t="s">
        <v>38</v>
      </c>
      <c r="S53" s="528"/>
      <c r="T53" s="528"/>
      <c r="U53" s="530"/>
      <c r="V53" s="527" t="s">
        <v>48</v>
      </c>
      <c r="W53" s="528"/>
      <c r="X53" s="528"/>
      <c r="Y53" s="528"/>
      <c r="Z53" s="528"/>
      <c r="AA53" s="528"/>
      <c r="AB53" s="528"/>
      <c r="AC53" s="528"/>
      <c r="AD53" s="529"/>
    </row>
    <row r="54" spans="1:32" ht="27" customHeight="1">
      <c r="A54" s="508" t="s">
        <v>112</v>
      </c>
      <c r="B54" s="509"/>
      <c r="C54" s="132" t="s">
        <v>174</v>
      </c>
      <c r="D54" s="132" t="s">
        <v>175</v>
      </c>
      <c r="E54" s="127" t="s">
        <v>170</v>
      </c>
      <c r="F54" s="496" t="s">
        <v>176</v>
      </c>
      <c r="G54" s="497"/>
      <c r="H54" s="497"/>
      <c r="I54" s="497"/>
      <c r="J54" s="497"/>
      <c r="K54" s="497"/>
      <c r="L54" s="497"/>
      <c r="M54" s="498"/>
      <c r="N54" s="126" t="s">
        <v>195</v>
      </c>
      <c r="O54" s="124" t="s">
        <v>187</v>
      </c>
      <c r="P54" s="510" t="s">
        <v>196</v>
      </c>
      <c r="Q54" s="511"/>
      <c r="R54" s="510" t="s">
        <v>194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122</v>
      </c>
      <c r="B55" s="509"/>
      <c r="C55" s="132" t="s">
        <v>149</v>
      </c>
      <c r="D55" s="132"/>
      <c r="E55" s="127" t="s">
        <v>160</v>
      </c>
      <c r="F55" s="496" t="s">
        <v>139</v>
      </c>
      <c r="G55" s="497"/>
      <c r="H55" s="497"/>
      <c r="I55" s="497"/>
      <c r="J55" s="497"/>
      <c r="K55" s="497"/>
      <c r="L55" s="497"/>
      <c r="M55" s="498"/>
      <c r="N55" s="126" t="s">
        <v>198</v>
      </c>
      <c r="O55" s="124" t="s">
        <v>184</v>
      </c>
      <c r="P55" s="510"/>
      <c r="Q55" s="511"/>
      <c r="R55" s="510" t="s">
        <v>197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120</v>
      </c>
      <c r="B56" s="509"/>
      <c r="C56" s="145" t="s">
        <v>177</v>
      </c>
      <c r="D56" s="145" t="s">
        <v>115</v>
      </c>
      <c r="E56" s="140" t="s">
        <v>178</v>
      </c>
      <c r="F56" s="496" t="s">
        <v>162</v>
      </c>
      <c r="G56" s="497"/>
      <c r="H56" s="497"/>
      <c r="I56" s="497"/>
      <c r="J56" s="497"/>
      <c r="K56" s="497"/>
      <c r="L56" s="497"/>
      <c r="M56" s="498"/>
      <c r="N56" s="126" t="s">
        <v>195</v>
      </c>
      <c r="O56" s="124" t="s">
        <v>200</v>
      </c>
      <c r="P56" s="510" t="s">
        <v>185</v>
      </c>
      <c r="Q56" s="511"/>
      <c r="R56" s="510" t="s">
        <v>199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508" t="s">
        <v>122</v>
      </c>
      <c r="B57" s="509"/>
      <c r="C57" s="132" t="s">
        <v>181</v>
      </c>
      <c r="D57" s="132"/>
      <c r="E57" s="127" t="s">
        <v>179</v>
      </c>
      <c r="F57" s="496" t="s">
        <v>180</v>
      </c>
      <c r="G57" s="497"/>
      <c r="H57" s="497"/>
      <c r="I57" s="497"/>
      <c r="J57" s="497"/>
      <c r="K57" s="497"/>
      <c r="L57" s="497"/>
      <c r="M57" s="498"/>
      <c r="N57" s="126"/>
      <c r="O57" s="124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494" t="s">
        <v>122</v>
      </c>
      <c r="B58" s="495"/>
      <c r="C58" s="127" t="s">
        <v>181</v>
      </c>
      <c r="D58" s="127"/>
      <c r="E58" s="140" t="s">
        <v>182</v>
      </c>
      <c r="F58" s="496" t="s">
        <v>180</v>
      </c>
      <c r="G58" s="497"/>
      <c r="H58" s="497"/>
      <c r="I58" s="497"/>
      <c r="J58" s="497"/>
      <c r="K58" s="497"/>
      <c r="L58" s="497"/>
      <c r="M58" s="498"/>
      <c r="N58" s="126"/>
      <c r="O58" s="124"/>
      <c r="P58" s="510"/>
      <c r="Q58" s="511"/>
      <c r="R58" s="510"/>
      <c r="S58" s="512"/>
      <c r="T58" s="512"/>
      <c r="U58" s="511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494" t="s">
        <v>112</v>
      </c>
      <c r="B59" s="495"/>
      <c r="C59" s="127" t="s">
        <v>184</v>
      </c>
      <c r="D59" s="127" t="s">
        <v>185</v>
      </c>
      <c r="E59" s="127" t="s">
        <v>183</v>
      </c>
      <c r="F59" s="496" t="s">
        <v>180</v>
      </c>
      <c r="G59" s="497"/>
      <c r="H59" s="497"/>
      <c r="I59" s="497"/>
      <c r="J59" s="497"/>
      <c r="K59" s="497"/>
      <c r="L59" s="497"/>
      <c r="M59" s="498"/>
      <c r="N59" s="126"/>
      <c r="O59" s="124"/>
      <c r="P59" s="510"/>
      <c r="Q59" s="511"/>
      <c r="R59" s="510"/>
      <c r="S59" s="512"/>
      <c r="T59" s="512"/>
      <c r="U59" s="511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508" t="s">
        <v>112</v>
      </c>
      <c r="B60" s="509"/>
      <c r="C60" s="132" t="s">
        <v>187</v>
      </c>
      <c r="D60" s="132" t="s">
        <v>188</v>
      </c>
      <c r="E60" s="127" t="s">
        <v>186</v>
      </c>
      <c r="F60" s="496" t="s">
        <v>180</v>
      </c>
      <c r="G60" s="497"/>
      <c r="H60" s="497"/>
      <c r="I60" s="497"/>
      <c r="J60" s="497"/>
      <c r="K60" s="497"/>
      <c r="L60" s="497"/>
      <c r="M60" s="498"/>
      <c r="N60" s="126"/>
      <c r="O60" s="124"/>
      <c r="P60" s="510"/>
      <c r="Q60" s="511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</row>
    <row r="61" spans="1:32" ht="27" customHeight="1">
      <c r="A61" s="508" t="s">
        <v>112</v>
      </c>
      <c r="B61" s="509"/>
      <c r="C61" s="132" t="s">
        <v>187</v>
      </c>
      <c r="D61" s="132" t="s">
        <v>190</v>
      </c>
      <c r="E61" s="127" t="s">
        <v>189</v>
      </c>
      <c r="F61" s="496" t="s">
        <v>180</v>
      </c>
      <c r="G61" s="497"/>
      <c r="H61" s="497"/>
      <c r="I61" s="497"/>
      <c r="J61" s="497"/>
      <c r="K61" s="497"/>
      <c r="L61" s="497"/>
      <c r="M61" s="498"/>
      <c r="N61" s="126"/>
      <c r="O61" s="124"/>
      <c r="P61" s="510"/>
      <c r="Q61" s="511"/>
      <c r="R61" s="495"/>
      <c r="S61" s="495"/>
      <c r="T61" s="495"/>
      <c r="U61" s="495"/>
      <c r="V61" s="480"/>
      <c r="W61" s="480"/>
      <c r="X61" s="480"/>
      <c r="Y61" s="480"/>
      <c r="Z61" s="480"/>
      <c r="AA61" s="480"/>
      <c r="AB61" s="480"/>
      <c r="AC61" s="480"/>
      <c r="AD61" s="499"/>
    </row>
    <row r="62" spans="1:32" ht="27" customHeight="1">
      <c r="A62" s="494" t="s">
        <v>192</v>
      </c>
      <c r="B62" s="495"/>
      <c r="C62" s="127" t="s">
        <v>193</v>
      </c>
      <c r="D62" s="127"/>
      <c r="E62" s="127" t="s">
        <v>191</v>
      </c>
      <c r="F62" s="496" t="s">
        <v>180</v>
      </c>
      <c r="G62" s="497"/>
      <c r="H62" s="497"/>
      <c r="I62" s="497"/>
      <c r="J62" s="497"/>
      <c r="K62" s="497"/>
      <c r="L62" s="497"/>
      <c r="M62" s="498"/>
      <c r="N62" s="126"/>
      <c r="O62" s="124"/>
      <c r="P62" s="495"/>
      <c r="Q62" s="495"/>
      <c r="R62" s="495"/>
      <c r="S62" s="495"/>
      <c r="T62" s="495"/>
      <c r="U62" s="495"/>
      <c r="V62" s="480"/>
      <c r="W62" s="480"/>
      <c r="X62" s="480"/>
      <c r="Y62" s="480"/>
      <c r="Z62" s="480"/>
      <c r="AA62" s="480"/>
      <c r="AB62" s="480"/>
      <c r="AC62" s="480"/>
      <c r="AD62" s="499"/>
      <c r="AF62" s="84">
        <f>8*3000</f>
        <v>24000</v>
      </c>
    </row>
    <row r="63" spans="1:32" ht="27" customHeight="1" thickBot="1">
      <c r="A63" s="500"/>
      <c r="B63" s="501"/>
      <c r="C63" s="128"/>
      <c r="D63" s="129"/>
      <c r="E63" s="129"/>
      <c r="F63" s="502"/>
      <c r="G63" s="503"/>
      <c r="H63" s="503"/>
      <c r="I63" s="503"/>
      <c r="J63" s="503"/>
      <c r="K63" s="503"/>
      <c r="L63" s="503"/>
      <c r="M63" s="504"/>
      <c r="N63" s="112"/>
      <c r="O63" s="103"/>
      <c r="P63" s="505"/>
      <c r="Q63" s="505"/>
      <c r="R63" s="505"/>
      <c r="S63" s="505"/>
      <c r="T63" s="505"/>
      <c r="U63" s="505"/>
      <c r="V63" s="506"/>
      <c r="W63" s="506"/>
      <c r="X63" s="506"/>
      <c r="Y63" s="506"/>
      <c r="Z63" s="506"/>
      <c r="AA63" s="506"/>
      <c r="AB63" s="506"/>
      <c r="AC63" s="506"/>
      <c r="AD63" s="507"/>
      <c r="AF63" s="84">
        <f>16*3000</f>
        <v>48000</v>
      </c>
    </row>
    <row r="64" spans="1:32" ht="27.75" thickBot="1">
      <c r="A64" s="492" t="s">
        <v>132</v>
      </c>
      <c r="B64" s="492"/>
      <c r="C64" s="492"/>
      <c r="D64" s="492"/>
      <c r="E64" s="492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93" t="s">
        <v>111</v>
      </c>
      <c r="B65" s="487"/>
      <c r="C65" s="125" t="s">
        <v>2</v>
      </c>
      <c r="D65" s="125" t="s">
        <v>37</v>
      </c>
      <c r="E65" s="125" t="s">
        <v>3</v>
      </c>
      <c r="F65" s="487" t="s">
        <v>109</v>
      </c>
      <c r="G65" s="487"/>
      <c r="H65" s="487"/>
      <c r="I65" s="487"/>
      <c r="J65" s="487"/>
      <c r="K65" s="487" t="s">
        <v>39</v>
      </c>
      <c r="L65" s="487"/>
      <c r="M65" s="125" t="s">
        <v>40</v>
      </c>
      <c r="N65" s="487" t="s">
        <v>41</v>
      </c>
      <c r="O65" s="487"/>
      <c r="P65" s="484" t="s">
        <v>42</v>
      </c>
      <c r="Q65" s="486"/>
      <c r="R65" s="484" t="s">
        <v>43</v>
      </c>
      <c r="S65" s="485"/>
      <c r="T65" s="485"/>
      <c r="U65" s="485"/>
      <c r="V65" s="485"/>
      <c r="W65" s="485"/>
      <c r="X65" s="485"/>
      <c r="Y65" s="485"/>
      <c r="Z65" s="485"/>
      <c r="AA65" s="486"/>
      <c r="AB65" s="487" t="s">
        <v>44</v>
      </c>
      <c r="AC65" s="487"/>
      <c r="AD65" s="488"/>
      <c r="AF65" s="84">
        <f>SUM(AF62:AF64)</f>
        <v>96000</v>
      </c>
    </row>
    <row r="66" spans="1:32" ht="25.5" customHeight="1">
      <c r="A66" s="475">
        <v>1</v>
      </c>
      <c r="B66" s="476"/>
      <c r="C66" s="105" t="s">
        <v>112</v>
      </c>
      <c r="D66" s="120"/>
      <c r="E66" s="123" t="s">
        <v>175</v>
      </c>
      <c r="F66" s="481" t="s">
        <v>170</v>
      </c>
      <c r="G66" s="482"/>
      <c r="H66" s="482"/>
      <c r="I66" s="482"/>
      <c r="J66" s="483"/>
      <c r="K66" s="469">
        <v>8301</v>
      </c>
      <c r="L66" s="469"/>
      <c r="M66" s="51" t="s">
        <v>140</v>
      </c>
      <c r="N66" s="478" t="s">
        <v>174</v>
      </c>
      <c r="O66" s="478"/>
      <c r="P66" s="479">
        <v>50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89"/>
      <c r="AC66" s="490"/>
      <c r="AD66" s="491"/>
      <c r="AF66" s="50"/>
    </row>
    <row r="67" spans="1:32" ht="25.5" customHeight="1">
      <c r="A67" s="475">
        <v>2</v>
      </c>
      <c r="B67" s="476"/>
      <c r="C67" s="105"/>
      <c r="D67" s="120"/>
      <c r="E67" s="123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3</v>
      </c>
      <c r="B68" s="476"/>
      <c r="C68" s="105"/>
      <c r="D68" s="120"/>
      <c r="E68" s="123"/>
      <c r="F68" s="477"/>
      <c r="G68" s="469"/>
      <c r="H68" s="469"/>
      <c r="I68" s="469"/>
      <c r="J68" s="469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4</v>
      </c>
      <c r="B69" s="476"/>
      <c r="C69" s="105"/>
      <c r="D69" s="120"/>
      <c r="E69" s="123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5</v>
      </c>
      <c r="B70" s="476"/>
      <c r="C70" s="105"/>
      <c r="D70" s="120"/>
      <c r="E70" s="123"/>
      <c r="F70" s="481"/>
      <c r="G70" s="482"/>
      <c r="H70" s="482"/>
      <c r="I70" s="482"/>
      <c r="J70" s="483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6</v>
      </c>
      <c r="B71" s="476"/>
      <c r="C71" s="105"/>
      <c r="D71" s="120"/>
      <c r="E71" s="123"/>
      <c r="F71" s="481"/>
      <c r="G71" s="482"/>
      <c r="H71" s="482"/>
      <c r="I71" s="482"/>
      <c r="J71" s="483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7</v>
      </c>
      <c r="B72" s="476"/>
      <c r="C72" s="105"/>
      <c r="D72" s="120"/>
      <c r="E72" s="123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8</v>
      </c>
      <c r="B73" s="476"/>
      <c r="C73" s="105"/>
      <c r="D73" s="120"/>
      <c r="E73" s="123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5.5" customHeight="1">
      <c r="A74" s="475">
        <v>9</v>
      </c>
      <c r="B74" s="476"/>
      <c r="C74" s="105"/>
      <c r="D74" s="120"/>
      <c r="E74" s="123"/>
      <c r="F74" s="477"/>
      <c r="G74" s="469"/>
      <c r="H74" s="469"/>
      <c r="I74" s="469"/>
      <c r="J74" s="469"/>
      <c r="K74" s="469"/>
      <c r="L74" s="469"/>
      <c r="M74" s="51"/>
      <c r="N74" s="478"/>
      <c r="O74" s="478"/>
      <c r="P74" s="479"/>
      <c r="Q74" s="479"/>
      <c r="R74" s="480"/>
      <c r="S74" s="480"/>
      <c r="T74" s="480"/>
      <c r="U74" s="480"/>
      <c r="V74" s="480"/>
      <c r="W74" s="480"/>
      <c r="X74" s="480"/>
      <c r="Y74" s="480"/>
      <c r="Z74" s="480"/>
      <c r="AA74" s="480"/>
      <c r="AB74" s="469"/>
      <c r="AC74" s="469"/>
      <c r="AD74" s="470"/>
      <c r="AF74" s="50"/>
    </row>
    <row r="75" spans="1:32" ht="25.5" customHeight="1">
      <c r="A75" s="475">
        <v>10</v>
      </c>
      <c r="B75" s="476"/>
      <c r="C75" s="105"/>
      <c r="D75" s="120"/>
      <c r="E75" s="123"/>
      <c r="F75" s="477"/>
      <c r="G75" s="469"/>
      <c r="H75" s="469"/>
      <c r="I75" s="469"/>
      <c r="J75" s="469"/>
      <c r="K75" s="469"/>
      <c r="L75" s="469"/>
      <c r="M75" s="51"/>
      <c r="N75" s="478"/>
      <c r="O75" s="478"/>
      <c r="P75" s="479"/>
      <c r="Q75" s="479"/>
      <c r="R75" s="480"/>
      <c r="S75" s="480"/>
      <c r="T75" s="480"/>
      <c r="U75" s="480"/>
      <c r="V75" s="480"/>
      <c r="W75" s="480"/>
      <c r="X75" s="480"/>
      <c r="Y75" s="480"/>
      <c r="Z75" s="480"/>
      <c r="AA75" s="480"/>
      <c r="AB75" s="469"/>
      <c r="AC75" s="469"/>
      <c r="AD75" s="470"/>
      <c r="AF75" s="50"/>
    </row>
    <row r="76" spans="1:32" ht="26.25" customHeight="1" thickBot="1">
      <c r="A76" s="449" t="s">
        <v>133</v>
      </c>
      <c r="B76" s="449"/>
      <c r="C76" s="449"/>
      <c r="D76" s="449"/>
      <c r="E76" s="449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50" t="s">
        <v>111</v>
      </c>
      <c r="B77" s="451"/>
      <c r="C77" s="122" t="s">
        <v>2</v>
      </c>
      <c r="D77" s="122" t="s">
        <v>37</v>
      </c>
      <c r="E77" s="122" t="s">
        <v>150</v>
      </c>
      <c r="F77" s="451" t="s">
        <v>38</v>
      </c>
      <c r="G77" s="451"/>
      <c r="H77" s="451"/>
      <c r="I77" s="451"/>
      <c r="J77" s="451"/>
      <c r="K77" s="471" t="s">
        <v>58</v>
      </c>
      <c r="L77" s="472"/>
      <c r="M77" s="472"/>
      <c r="N77" s="472"/>
      <c r="O77" s="472"/>
      <c r="P77" s="472"/>
      <c r="Q77" s="472"/>
      <c r="R77" s="472"/>
      <c r="S77" s="473"/>
      <c r="T77" s="451" t="s">
        <v>49</v>
      </c>
      <c r="U77" s="451"/>
      <c r="V77" s="471" t="s">
        <v>50</v>
      </c>
      <c r="W77" s="473"/>
      <c r="X77" s="472" t="s">
        <v>51</v>
      </c>
      <c r="Y77" s="472"/>
      <c r="Z77" s="472"/>
      <c r="AA77" s="472"/>
      <c r="AB77" s="472"/>
      <c r="AC77" s="472"/>
      <c r="AD77" s="474"/>
      <c r="AF77" s="50"/>
    </row>
    <row r="78" spans="1:32" ht="33.75" customHeight="1">
      <c r="A78" s="443">
        <v>1</v>
      </c>
      <c r="B78" s="444"/>
      <c r="C78" s="121" t="s">
        <v>112</v>
      </c>
      <c r="D78" s="121"/>
      <c r="E78" s="65" t="s">
        <v>117</v>
      </c>
      <c r="F78" s="458" t="s">
        <v>116</v>
      </c>
      <c r="G78" s="459"/>
      <c r="H78" s="459"/>
      <c r="I78" s="459"/>
      <c r="J78" s="460"/>
      <c r="K78" s="461" t="s">
        <v>121</v>
      </c>
      <c r="L78" s="462"/>
      <c r="M78" s="462"/>
      <c r="N78" s="462"/>
      <c r="O78" s="462"/>
      <c r="P78" s="462"/>
      <c r="Q78" s="462"/>
      <c r="R78" s="462"/>
      <c r="S78" s="463"/>
      <c r="T78" s="464">
        <v>43675</v>
      </c>
      <c r="U78" s="465"/>
      <c r="V78" s="466"/>
      <c r="W78" s="466"/>
      <c r="X78" s="467"/>
      <c r="Y78" s="467"/>
      <c r="Z78" s="467"/>
      <c r="AA78" s="467"/>
      <c r="AB78" s="467"/>
      <c r="AC78" s="467"/>
      <c r="AD78" s="468"/>
      <c r="AF78" s="50"/>
    </row>
    <row r="79" spans="1:32" ht="30" customHeight="1">
      <c r="A79" s="436">
        <f>A78+1</f>
        <v>2</v>
      </c>
      <c r="B79" s="437"/>
      <c r="C79" s="120"/>
      <c r="D79" s="120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ref="A80:A84" si="28">A79+1</f>
        <v>3</v>
      </c>
      <c r="B80" s="437"/>
      <c r="C80" s="120"/>
      <c r="D80" s="120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28"/>
        <v>4</v>
      </c>
      <c r="B81" s="437"/>
      <c r="C81" s="120"/>
      <c r="D81" s="120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28"/>
        <v>5</v>
      </c>
      <c r="B82" s="437"/>
      <c r="C82" s="120"/>
      <c r="D82" s="120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0" customHeight="1">
      <c r="A83" s="436">
        <f t="shared" si="28"/>
        <v>6</v>
      </c>
      <c r="B83" s="437"/>
      <c r="C83" s="120"/>
      <c r="D83" s="120"/>
      <c r="E83" s="32"/>
      <c r="F83" s="437"/>
      <c r="G83" s="437"/>
      <c r="H83" s="437"/>
      <c r="I83" s="437"/>
      <c r="J83" s="437"/>
      <c r="K83" s="452"/>
      <c r="L83" s="453"/>
      <c r="M83" s="453"/>
      <c r="N83" s="453"/>
      <c r="O83" s="453"/>
      <c r="P83" s="453"/>
      <c r="Q83" s="453"/>
      <c r="R83" s="453"/>
      <c r="S83" s="454"/>
      <c r="T83" s="455"/>
      <c r="U83" s="455"/>
      <c r="V83" s="455"/>
      <c r="W83" s="455"/>
      <c r="X83" s="456"/>
      <c r="Y83" s="456"/>
      <c r="Z83" s="456"/>
      <c r="AA83" s="456"/>
      <c r="AB83" s="456"/>
      <c r="AC83" s="456"/>
      <c r="AD83" s="457"/>
      <c r="AF83" s="50"/>
    </row>
    <row r="84" spans="1:32" ht="30" customHeight="1">
      <c r="A84" s="436">
        <f t="shared" si="28"/>
        <v>7</v>
      </c>
      <c r="B84" s="437"/>
      <c r="C84" s="120"/>
      <c r="D84" s="120"/>
      <c r="E84" s="32"/>
      <c r="F84" s="437"/>
      <c r="G84" s="437"/>
      <c r="H84" s="437"/>
      <c r="I84" s="437"/>
      <c r="J84" s="437"/>
      <c r="K84" s="452"/>
      <c r="L84" s="453"/>
      <c r="M84" s="453"/>
      <c r="N84" s="453"/>
      <c r="O84" s="453"/>
      <c r="P84" s="453"/>
      <c r="Q84" s="453"/>
      <c r="R84" s="453"/>
      <c r="S84" s="454"/>
      <c r="T84" s="455"/>
      <c r="U84" s="455"/>
      <c r="V84" s="455"/>
      <c r="W84" s="455"/>
      <c r="X84" s="456"/>
      <c r="Y84" s="456"/>
      <c r="Z84" s="456"/>
      <c r="AA84" s="456"/>
      <c r="AB84" s="456"/>
      <c r="AC84" s="456"/>
      <c r="AD84" s="457"/>
      <c r="AF84" s="50"/>
    </row>
    <row r="85" spans="1:32" ht="36" thickBot="1">
      <c r="A85" s="449" t="s">
        <v>134</v>
      </c>
      <c r="B85" s="449"/>
      <c r="C85" s="449"/>
      <c r="D85" s="449"/>
      <c r="E85" s="449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50" t="s">
        <v>111</v>
      </c>
      <c r="B86" s="451"/>
      <c r="C86" s="441" t="s">
        <v>52</v>
      </c>
      <c r="D86" s="441"/>
      <c r="E86" s="441" t="s">
        <v>53</v>
      </c>
      <c r="F86" s="441"/>
      <c r="G86" s="441"/>
      <c r="H86" s="441"/>
      <c r="I86" s="441"/>
      <c r="J86" s="441"/>
      <c r="K86" s="441" t="s">
        <v>54</v>
      </c>
      <c r="L86" s="441"/>
      <c r="M86" s="441"/>
      <c r="N86" s="441"/>
      <c r="O86" s="441"/>
      <c r="P86" s="441"/>
      <c r="Q86" s="441"/>
      <c r="R86" s="441"/>
      <c r="S86" s="441"/>
      <c r="T86" s="441" t="s">
        <v>55</v>
      </c>
      <c r="U86" s="441"/>
      <c r="V86" s="441" t="s">
        <v>56</v>
      </c>
      <c r="W86" s="441"/>
      <c r="X86" s="441"/>
      <c r="Y86" s="441" t="s">
        <v>51</v>
      </c>
      <c r="Z86" s="441"/>
      <c r="AA86" s="441"/>
      <c r="AB86" s="441"/>
      <c r="AC86" s="441"/>
      <c r="AD86" s="442"/>
      <c r="AF86" s="50"/>
    </row>
    <row r="87" spans="1:32" ht="30.75" customHeight="1">
      <c r="A87" s="443">
        <v>1</v>
      </c>
      <c r="B87" s="444"/>
      <c r="C87" s="445">
        <v>11</v>
      </c>
      <c r="D87" s="445"/>
      <c r="E87" s="445" t="s">
        <v>151</v>
      </c>
      <c r="F87" s="445"/>
      <c r="G87" s="445"/>
      <c r="H87" s="445"/>
      <c r="I87" s="445"/>
      <c r="J87" s="445"/>
      <c r="K87" s="445" t="s">
        <v>153</v>
      </c>
      <c r="L87" s="445"/>
      <c r="M87" s="445"/>
      <c r="N87" s="445"/>
      <c r="O87" s="445"/>
      <c r="P87" s="445"/>
      <c r="Q87" s="445"/>
      <c r="R87" s="445"/>
      <c r="S87" s="445"/>
      <c r="T87" s="445" t="s">
        <v>152</v>
      </c>
      <c r="U87" s="445"/>
      <c r="V87" s="446"/>
      <c r="W87" s="446"/>
      <c r="X87" s="446"/>
      <c r="Y87" s="447" t="s">
        <v>154</v>
      </c>
      <c r="Z87" s="447"/>
      <c r="AA87" s="447"/>
      <c r="AB87" s="447"/>
      <c r="AC87" s="447"/>
      <c r="AD87" s="448"/>
      <c r="AF87" s="50"/>
    </row>
    <row r="88" spans="1:32" ht="30.75" customHeight="1">
      <c r="A88" s="436">
        <v>2</v>
      </c>
      <c r="B88" s="437"/>
      <c r="C88" s="438"/>
      <c r="D88" s="438"/>
      <c r="E88" s="438"/>
      <c r="F88" s="438"/>
      <c r="G88" s="438"/>
      <c r="H88" s="438"/>
      <c r="I88" s="438"/>
      <c r="J88" s="438"/>
      <c r="K88" s="438"/>
      <c r="L88" s="438"/>
      <c r="M88" s="438"/>
      <c r="N88" s="438"/>
      <c r="O88" s="438"/>
      <c r="P88" s="438"/>
      <c r="Q88" s="438"/>
      <c r="R88" s="438"/>
      <c r="S88" s="438"/>
      <c r="T88" s="439"/>
      <c r="U88" s="439"/>
      <c r="V88" s="440"/>
      <c r="W88" s="440"/>
      <c r="X88" s="440"/>
      <c r="Y88" s="429"/>
      <c r="Z88" s="429"/>
      <c r="AA88" s="429"/>
      <c r="AB88" s="429"/>
      <c r="AC88" s="429"/>
      <c r="AD88" s="430"/>
      <c r="AF88" s="50"/>
    </row>
    <row r="89" spans="1:32" ht="30.75" customHeight="1" thickBot="1">
      <c r="A89" s="431">
        <v>3</v>
      </c>
      <c r="B89" s="432"/>
      <c r="C89" s="433"/>
      <c r="D89" s="433"/>
      <c r="E89" s="433"/>
      <c r="F89" s="433"/>
      <c r="G89" s="433"/>
      <c r="H89" s="433"/>
      <c r="I89" s="433"/>
      <c r="J89" s="433"/>
      <c r="K89" s="433"/>
      <c r="L89" s="433"/>
      <c r="M89" s="433"/>
      <c r="N89" s="433"/>
      <c r="O89" s="433"/>
      <c r="P89" s="433"/>
      <c r="Q89" s="433"/>
      <c r="R89" s="433"/>
      <c r="S89" s="433"/>
      <c r="T89" s="433"/>
      <c r="U89" s="433"/>
      <c r="V89" s="433"/>
      <c r="W89" s="433"/>
      <c r="X89" s="433"/>
      <c r="Y89" s="434"/>
      <c r="Z89" s="434"/>
      <c r="AA89" s="434"/>
      <c r="AB89" s="434"/>
      <c r="AC89" s="434"/>
      <c r="AD89" s="435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19E-C9D0-4698-AE16-EB1796443421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201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144" t="s">
        <v>17</v>
      </c>
      <c r="L5" s="144" t="s">
        <v>18</v>
      </c>
      <c r="M5" s="144" t="s">
        <v>19</v>
      </c>
      <c r="N5" s="14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128</v>
      </c>
      <c r="E6" s="53" t="s">
        <v>202</v>
      </c>
      <c r="F6" s="12">
        <v>8301</v>
      </c>
      <c r="G6" s="12">
        <v>1</v>
      </c>
      <c r="H6" s="13">
        <v>24</v>
      </c>
      <c r="I6" s="31">
        <v>200</v>
      </c>
      <c r="J6" s="14">
        <v>573</v>
      </c>
      <c r="K6" s="15">
        <f>L6</f>
        <v>573</v>
      </c>
      <c r="L6" s="15">
        <v>573</v>
      </c>
      <c r="M6" s="15">
        <f t="shared" ref="M6:M21" si="0">L6-N6</f>
        <v>573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5</v>
      </c>
      <c r="Q6" s="40">
        <f t="shared" ref="Q6:Q21" si="3">SUM(R6:AA6)</f>
        <v>19</v>
      </c>
      <c r="R6" s="7"/>
      <c r="S6" s="6">
        <v>3</v>
      </c>
      <c r="T6" s="16"/>
      <c r="U6" s="16"/>
      <c r="V6" s="17"/>
      <c r="W6" s="5">
        <v>16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0.20833333333333334</v>
      </c>
      <c r="AD6" s="10">
        <f t="shared" ref="AD6:AD21" si="6">AC6*AB6*(1-O6)</f>
        <v>0.20833333333333334</v>
      </c>
      <c r="AE6" s="36">
        <f t="shared" ref="AE6:AE21" si="7">$AD$22</f>
        <v>0.51041666666666674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128</v>
      </c>
      <c r="E7" s="53" t="s">
        <v>203</v>
      </c>
      <c r="F7" s="12">
        <v>8301</v>
      </c>
      <c r="G7" s="12">
        <v>2</v>
      </c>
      <c r="H7" s="13">
        <v>24</v>
      </c>
      <c r="I7" s="31">
        <v>30000</v>
      </c>
      <c r="J7" s="14">
        <v>9996</v>
      </c>
      <c r="K7" s="15">
        <f>L7</f>
        <v>9996</v>
      </c>
      <c r="L7" s="15">
        <f>1858*2+3140*2</f>
        <v>9996</v>
      </c>
      <c r="M7" s="15">
        <f t="shared" si="0"/>
        <v>9996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/>
      <c r="T7" s="16">
        <v>3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0.51041666666666674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14832</v>
      </c>
      <c r="K8" s="15">
        <f>L8+8404+12360+9142+12426+5790+11544+12480+12502+12376+12380+22896+24720+24328+24256+11504+24084+22712+24032+23532+20768+23268+23880+22096+24340+10412</f>
        <v>451064</v>
      </c>
      <c r="L8" s="15">
        <f>3016*4+692*4</f>
        <v>14832</v>
      </c>
      <c r="M8" s="15">
        <f t="shared" si="0"/>
        <v>14832</v>
      </c>
      <c r="N8" s="15">
        <v>0</v>
      </c>
      <c r="O8" s="58">
        <f t="shared" si="1"/>
        <v>0</v>
      </c>
      <c r="P8" s="39">
        <f t="shared" si="2"/>
        <v>16</v>
      </c>
      <c r="Q8" s="40">
        <f t="shared" si="3"/>
        <v>8</v>
      </c>
      <c r="R8" s="7"/>
      <c r="S8" s="6">
        <v>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6">
        <f t="shared" si="7"/>
        <v>0.51041666666666674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164</v>
      </c>
      <c r="F9" s="30" t="s">
        <v>123</v>
      </c>
      <c r="G9" s="33">
        <v>2</v>
      </c>
      <c r="H9" s="35">
        <v>24</v>
      </c>
      <c r="I9" s="7">
        <v>310</v>
      </c>
      <c r="J9" s="14">
        <v>470</v>
      </c>
      <c r="K9" s="15">
        <f>L9+470</f>
        <v>470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0.51041666666666674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25224</v>
      </c>
      <c r="K10" s="15">
        <f>L10+19272+24844+16004+13948+24828+23236+25072+24900</f>
        <v>197328</v>
      </c>
      <c r="L10" s="15">
        <f>3057*4+3249*4</f>
        <v>25224</v>
      </c>
      <c r="M10" s="15">
        <f t="shared" si="0"/>
        <v>25224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0.51041666666666674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122</v>
      </c>
      <c r="D11" s="52"/>
      <c r="E11" s="53" t="s">
        <v>158</v>
      </c>
      <c r="F11" s="30" t="s">
        <v>155</v>
      </c>
      <c r="G11" s="33">
        <v>1</v>
      </c>
      <c r="H11" s="35">
        <v>24</v>
      </c>
      <c r="I11" s="7">
        <v>20000</v>
      </c>
      <c r="J11" s="14">
        <v>5385</v>
      </c>
      <c r="K11" s="15">
        <f>L11+1837+2816+1326+2915+5354+5257</f>
        <v>24890</v>
      </c>
      <c r="L11" s="15">
        <f>2605+2780</f>
        <v>5385</v>
      </c>
      <c r="M11" s="15">
        <f t="shared" si="0"/>
        <v>5385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0.51041666666666674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122</v>
      </c>
      <c r="D12" s="52" t="s">
        <v>115</v>
      </c>
      <c r="E12" s="53" t="s">
        <v>160</v>
      </c>
      <c r="F12" s="30" t="s">
        <v>118</v>
      </c>
      <c r="G12" s="33">
        <v>1</v>
      </c>
      <c r="H12" s="35">
        <v>24</v>
      </c>
      <c r="I12" s="7">
        <v>10000</v>
      </c>
      <c r="J12" s="14">
        <v>1904</v>
      </c>
      <c r="K12" s="15">
        <f>L12+2722</f>
        <v>4626</v>
      </c>
      <c r="L12" s="15">
        <v>1904</v>
      </c>
      <c r="M12" s="15">
        <f t="shared" si="0"/>
        <v>1904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>
        <v>14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9"/>
        <v>0.41666666666666669</v>
      </c>
      <c r="AE12" s="36">
        <f t="shared" si="7"/>
        <v>0.51041666666666674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138</v>
      </c>
      <c r="F13" s="30" t="s">
        <v>123</v>
      </c>
      <c r="G13" s="33">
        <v>2</v>
      </c>
      <c r="H13" s="35">
        <v>24</v>
      </c>
      <c r="I13" s="7">
        <v>270000</v>
      </c>
      <c r="J13" s="5">
        <v>12434</v>
      </c>
      <c r="K13" s="15">
        <f>L13+10230+8758+7458+4298+5694+7524+3000+9774+6592+11326+12144+11050+10802+10910+9796+3412+4942+8464+12186+4876+12344+11648+11570+12232+12946+5214+12358+10116</f>
        <v>264098</v>
      </c>
      <c r="L13" s="15">
        <f>3024*2+3193*2</f>
        <v>12434</v>
      </c>
      <c r="M13" s="15">
        <f t="shared" si="0"/>
        <v>12434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0.51041666666666674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144</v>
      </c>
      <c r="F14" s="30" t="s">
        <v>129</v>
      </c>
      <c r="G14" s="33">
        <v>1</v>
      </c>
      <c r="H14" s="35">
        <v>24</v>
      </c>
      <c r="I14" s="7">
        <v>300</v>
      </c>
      <c r="J14" s="5">
        <v>260</v>
      </c>
      <c r="K14" s="15">
        <f>L14+260</f>
        <v>260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0.51041666666666674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</f>
        <v>33062</v>
      </c>
      <c r="L15" s="15">
        <v>1328</v>
      </c>
      <c r="M15" s="15">
        <f t="shared" si="0"/>
        <v>1328</v>
      </c>
      <c r="N15" s="15">
        <v>0</v>
      </c>
      <c r="O15" s="58">
        <f t="shared" si="1"/>
        <v>0</v>
      </c>
      <c r="P15" s="39">
        <f t="shared" si="2"/>
        <v>8</v>
      </c>
      <c r="Q15" s="40">
        <f t="shared" si="3"/>
        <v>16</v>
      </c>
      <c r="R15" s="7"/>
      <c r="S15" s="6"/>
      <c r="T15" s="16"/>
      <c r="U15" s="16"/>
      <c r="V15" s="17"/>
      <c r="W15" s="5">
        <v>16</v>
      </c>
      <c r="X15" s="16"/>
      <c r="Y15" s="16"/>
      <c r="Z15" s="16"/>
      <c r="AA15" s="18"/>
      <c r="AB15" s="8">
        <f t="shared" si="4"/>
        <v>1</v>
      </c>
      <c r="AC15" s="9">
        <f t="shared" si="5"/>
        <v>0.33333333333333331</v>
      </c>
      <c r="AD15" s="10">
        <f t="shared" si="6"/>
        <v>0.33333333333333331</v>
      </c>
      <c r="AE15" s="36">
        <f t="shared" si="7"/>
        <v>0.51041666666666674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0.51041666666666674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</f>
        <v>400</v>
      </c>
      <c r="L17" s="15">
        <v>400</v>
      </c>
      <c r="M17" s="15">
        <f t="shared" si="0"/>
        <v>400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0.51041666666666674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137</v>
      </c>
      <c r="E18" s="53" t="s">
        <v>204</v>
      </c>
      <c r="F18" s="30" t="s">
        <v>129</v>
      </c>
      <c r="G18" s="33">
        <v>1</v>
      </c>
      <c r="H18" s="35">
        <v>24</v>
      </c>
      <c r="I18" s="7">
        <v>500</v>
      </c>
      <c r="J18" s="14">
        <v>1048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0.51041666666666674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145</v>
      </c>
      <c r="E19" s="53" t="s">
        <v>161</v>
      </c>
      <c r="F19" s="30" t="s">
        <v>147</v>
      </c>
      <c r="G19" s="33">
        <v>1</v>
      </c>
      <c r="H19" s="35">
        <v>24</v>
      </c>
      <c r="I19" s="7">
        <v>33000</v>
      </c>
      <c r="J19" s="14">
        <v>5598</v>
      </c>
      <c r="K19" s="15">
        <f>L19+2330+2075+3595+5570+5525</f>
        <v>24693</v>
      </c>
      <c r="L19" s="15">
        <f>2885+2713</f>
        <v>5598</v>
      </c>
      <c r="M19" s="15">
        <f t="shared" si="0"/>
        <v>5598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0.51041666666666674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142</v>
      </c>
      <c r="F20" s="30" t="s">
        <v>123</v>
      </c>
      <c r="G20" s="12">
        <v>4</v>
      </c>
      <c r="H20" s="13">
        <v>28</v>
      </c>
      <c r="I20" s="31">
        <v>561000</v>
      </c>
      <c r="J20" s="5">
        <v>24200</v>
      </c>
      <c r="K20" s="15">
        <f>L20+14284+8352+12576+8310+15524+17860+22424+23088</f>
        <v>146618</v>
      </c>
      <c r="L20" s="15">
        <f>3138*4+2912*4</f>
        <v>24200</v>
      </c>
      <c r="M20" s="15">
        <f t="shared" si="0"/>
        <v>24200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0.51041666666666674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21428</v>
      </c>
      <c r="K21" s="15">
        <f>L21+17656</f>
        <v>39084</v>
      </c>
      <c r="L21" s="15">
        <f>5357*4</f>
        <v>21428</v>
      </c>
      <c r="M21" s="15">
        <f t="shared" si="0"/>
        <v>21428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0.51041666666666674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2696120</v>
      </c>
      <c r="J22" s="19">
        <f t="shared" si="10"/>
        <v>125575</v>
      </c>
      <c r="K22" s="20">
        <f t="shared" si="10"/>
        <v>1197657</v>
      </c>
      <c r="L22" s="21">
        <f t="shared" si="10"/>
        <v>123302</v>
      </c>
      <c r="M22" s="20">
        <f t="shared" si="10"/>
        <v>123302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196</v>
      </c>
      <c r="Q22" s="43">
        <f t="shared" si="11"/>
        <v>188</v>
      </c>
      <c r="R22" s="23">
        <f t="shared" si="11"/>
        <v>24</v>
      </c>
      <c r="S22" s="24">
        <f t="shared" si="11"/>
        <v>49</v>
      </c>
      <c r="T22" s="24">
        <f t="shared" si="11"/>
        <v>3</v>
      </c>
      <c r="U22" s="24">
        <f t="shared" si="11"/>
        <v>0</v>
      </c>
      <c r="V22" s="25">
        <f t="shared" si="11"/>
        <v>12</v>
      </c>
      <c r="W22" s="26">
        <f t="shared" si="11"/>
        <v>76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0.75</v>
      </c>
      <c r="AC22" s="4">
        <f>AVERAGE(AC6:AC21)</f>
        <v>0.51041666666666674</v>
      </c>
      <c r="AD22" s="4">
        <f>AVERAGE(AD6:AD21)</f>
        <v>0.51041666666666674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205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218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143" t="s">
        <v>46</v>
      </c>
      <c r="D51" s="143" t="s">
        <v>47</v>
      </c>
      <c r="E51" s="143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143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112</v>
      </c>
      <c r="B52" s="509"/>
      <c r="C52" s="145" t="s">
        <v>174</v>
      </c>
      <c r="D52" s="145" t="s">
        <v>128</v>
      </c>
      <c r="E52" s="140" t="s">
        <v>206</v>
      </c>
      <c r="F52" s="496" t="s">
        <v>180</v>
      </c>
      <c r="G52" s="497"/>
      <c r="H52" s="497"/>
      <c r="I52" s="497"/>
      <c r="J52" s="497"/>
      <c r="K52" s="497"/>
      <c r="L52" s="497"/>
      <c r="M52" s="498"/>
      <c r="N52" s="139" t="s">
        <v>195</v>
      </c>
      <c r="O52" s="137" t="s">
        <v>149</v>
      </c>
      <c r="P52" s="510" t="s">
        <v>220</v>
      </c>
      <c r="Q52" s="511"/>
      <c r="R52" s="510" t="s">
        <v>219</v>
      </c>
      <c r="S52" s="512"/>
      <c r="T52" s="512"/>
      <c r="U52" s="511"/>
      <c r="V52" s="480" t="s">
        <v>180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122</v>
      </c>
      <c r="B53" s="509"/>
      <c r="C53" s="145" t="s">
        <v>149</v>
      </c>
      <c r="D53" s="145"/>
      <c r="E53" s="140" t="s">
        <v>160</v>
      </c>
      <c r="F53" s="496" t="s">
        <v>207</v>
      </c>
      <c r="G53" s="497"/>
      <c r="H53" s="497"/>
      <c r="I53" s="497"/>
      <c r="J53" s="497"/>
      <c r="K53" s="497"/>
      <c r="L53" s="497"/>
      <c r="M53" s="498"/>
      <c r="N53" s="139" t="s">
        <v>222</v>
      </c>
      <c r="O53" s="137" t="s">
        <v>223</v>
      </c>
      <c r="P53" s="510"/>
      <c r="Q53" s="511"/>
      <c r="R53" s="510" t="s">
        <v>221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112</v>
      </c>
      <c r="B54" s="495"/>
      <c r="C54" s="150" t="s">
        <v>200</v>
      </c>
      <c r="D54" s="150" t="s">
        <v>128</v>
      </c>
      <c r="E54" s="150" t="s">
        <v>199</v>
      </c>
      <c r="F54" s="496" t="s">
        <v>208</v>
      </c>
      <c r="G54" s="497"/>
      <c r="H54" s="497"/>
      <c r="I54" s="497"/>
      <c r="J54" s="497"/>
      <c r="K54" s="497"/>
      <c r="L54" s="497"/>
      <c r="M54" s="498"/>
      <c r="N54" s="139" t="s">
        <v>211</v>
      </c>
      <c r="O54" s="137" t="s">
        <v>224</v>
      </c>
      <c r="P54" s="510"/>
      <c r="Q54" s="511"/>
      <c r="R54" s="510" t="s">
        <v>225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211</v>
      </c>
      <c r="B55" s="509"/>
      <c r="C55" s="145" t="s">
        <v>212</v>
      </c>
      <c r="D55" s="145" t="s">
        <v>213</v>
      </c>
      <c r="E55" s="140" t="s">
        <v>209</v>
      </c>
      <c r="F55" s="496" t="s">
        <v>210</v>
      </c>
      <c r="G55" s="497"/>
      <c r="H55" s="497"/>
      <c r="I55" s="497"/>
      <c r="J55" s="497"/>
      <c r="K55" s="497"/>
      <c r="L55" s="497"/>
      <c r="M55" s="498"/>
      <c r="N55" s="139" t="s">
        <v>112</v>
      </c>
      <c r="O55" s="137" t="s">
        <v>227</v>
      </c>
      <c r="P55" s="510" t="s">
        <v>228</v>
      </c>
      <c r="Q55" s="511"/>
      <c r="R55" s="510" t="s">
        <v>226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112</v>
      </c>
      <c r="B56" s="509"/>
      <c r="C56" s="148" t="s">
        <v>187</v>
      </c>
      <c r="D56" s="148" t="s">
        <v>137</v>
      </c>
      <c r="E56" s="150" t="s">
        <v>214</v>
      </c>
      <c r="F56" s="496" t="s">
        <v>215</v>
      </c>
      <c r="G56" s="497"/>
      <c r="H56" s="497"/>
      <c r="I56" s="497"/>
      <c r="J56" s="497"/>
      <c r="K56" s="497"/>
      <c r="L56" s="497"/>
      <c r="M56" s="498"/>
      <c r="N56" s="139" t="s">
        <v>112</v>
      </c>
      <c r="O56" s="137" t="s">
        <v>227</v>
      </c>
      <c r="P56" s="510" t="s">
        <v>228</v>
      </c>
      <c r="Q56" s="511"/>
      <c r="R56" s="510" t="s">
        <v>229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122</v>
      </c>
      <c r="B57" s="495"/>
      <c r="C57" s="140" t="s">
        <v>217</v>
      </c>
      <c r="D57" s="140"/>
      <c r="E57" s="140" t="s">
        <v>216</v>
      </c>
      <c r="F57" s="496" t="s">
        <v>180</v>
      </c>
      <c r="G57" s="497"/>
      <c r="H57" s="497"/>
      <c r="I57" s="497"/>
      <c r="J57" s="497"/>
      <c r="K57" s="497"/>
      <c r="L57" s="497"/>
      <c r="M57" s="498"/>
      <c r="N57" s="139"/>
      <c r="O57" s="137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145"/>
      <c r="D58" s="145"/>
      <c r="E58" s="140"/>
      <c r="F58" s="496"/>
      <c r="G58" s="497"/>
      <c r="H58" s="497"/>
      <c r="I58" s="497"/>
      <c r="J58" s="497"/>
      <c r="K58" s="497"/>
      <c r="L58" s="497"/>
      <c r="M58" s="498"/>
      <c r="N58" s="139"/>
      <c r="O58" s="137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145"/>
      <c r="D59" s="145"/>
      <c r="E59" s="140"/>
      <c r="F59" s="496"/>
      <c r="G59" s="497"/>
      <c r="H59" s="497"/>
      <c r="I59" s="497"/>
      <c r="J59" s="497"/>
      <c r="K59" s="497"/>
      <c r="L59" s="497"/>
      <c r="M59" s="498"/>
      <c r="N59" s="139"/>
      <c r="O59" s="137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140"/>
      <c r="D60" s="140"/>
      <c r="E60" s="140"/>
      <c r="F60" s="496"/>
      <c r="G60" s="497"/>
      <c r="H60" s="497"/>
      <c r="I60" s="497"/>
      <c r="J60" s="497"/>
      <c r="K60" s="497"/>
      <c r="L60" s="497"/>
      <c r="M60" s="498"/>
      <c r="N60" s="139"/>
      <c r="O60" s="137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141"/>
      <c r="D61" s="142"/>
      <c r="E61" s="142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230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138" t="s">
        <v>2</v>
      </c>
      <c r="D63" s="138" t="s">
        <v>37</v>
      </c>
      <c r="E63" s="138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138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211</v>
      </c>
      <c r="D64" s="133"/>
      <c r="E64" s="136" t="s">
        <v>234</v>
      </c>
      <c r="F64" s="481" t="s">
        <v>231</v>
      </c>
      <c r="G64" s="482"/>
      <c r="H64" s="482"/>
      <c r="I64" s="482"/>
      <c r="J64" s="483"/>
      <c r="K64" s="469" t="s">
        <v>235</v>
      </c>
      <c r="L64" s="469"/>
      <c r="M64" s="51" t="s">
        <v>236</v>
      </c>
      <c r="N64" s="478" t="s">
        <v>223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211</v>
      </c>
      <c r="D65" s="133"/>
      <c r="E65" s="136" t="s">
        <v>228</v>
      </c>
      <c r="F65" s="481" t="s">
        <v>232</v>
      </c>
      <c r="G65" s="482"/>
      <c r="H65" s="482"/>
      <c r="I65" s="482"/>
      <c r="J65" s="483"/>
      <c r="K65" s="469" t="s">
        <v>235</v>
      </c>
      <c r="L65" s="469"/>
      <c r="M65" s="51" t="s">
        <v>236</v>
      </c>
      <c r="N65" s="478" t="s">
        <v>223</v>
      </c>
      <c r="O65" s="478"/>
      <c r="P65" s="479"/>
      <c r="Q65" s="479"/>
      <c r="R65" s="480" t="s">
        <v>237</v>
      </c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211</v>
      </c>
      <c r="D66" s="133"/>
      <c r="E66" s="136" t="s">
        <v>213</v>
      </c>
      <c r="F66" s="477" t="s">
        <v>233</v>
      </c>
      <c r="G66" s="469"/>
      <c r="H66" s="469"/>
      <c r="I66" s="469"/>
      <c r="J66" s="469"/>
      <c r="K66" s="469" t="s">
        <v>235</v>
      </c>
      <c r="L66" s="469"/>
      <c r="M66" s="51" t="s">
        <v>236</v>
      </c>
      <c r="N66" s="478" t="s">
        <v>227</v>
      </c>
      <c r="O66" s="478"/>
      <c r="P66" s="479">
        <v>200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133"/>
      <c r="E67" s="136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133"/>
      <c r="E68" s="136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133"/>
      <c r="E69" s="136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133"/>
      <c r="E70" s="136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133"/>
      <c r="E71" s="136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133"/>
      <c r="E72" s="136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133"/>
      <c r="E73" s="136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238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135" t="s">
        <v>2</v>
      </c>
      <c r="D75" s="135" t="s">
        <v>37</v>
      </c>
      <c r="E75" s="135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134" t="s">
        <v>112</v>
      </c>
      <c r="D76" s="134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133"/>
      <c r="D77" s="133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133"/>
      <c r="D78" s="133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133"/>
      <c r="D79" s="133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133"/>
      <c r="D80" s="133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133"/>
      <c r="D81" s="133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133"/>
      <c r="D82" s="133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239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4C19-3838-4107-AE97-B0D9E3A7E332}">
  <dimension ref="A1:AF88"/>
  <sheetViews>
    <sheetView view="pageBreakPreview" zoomScale="70" zoomScaleNormal="72" zoomScaleSheetLayoutView="70" workbookViewId="0">
      <selection activeCell="L16" sqref="L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240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146" t="s">
        <v>17</v>
      </c>
      <c r="L5" s="146" t="s">
        <v>18</v>
      </c>
      <c r="M5" s="146" t="s">
        <v>19</v>
      </c>
      <c r="N5" s="1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128</v>
      </c>
      <c r="E6" s="53" t="s">
        <v>202</v>
      </c>
      <c r="F6" s="12">
        <v>8301</v>
      </c>
      <c r="G6" s="12">
        <v>1</v>
      </c>
      <c r="H6" s="13">
        <v>24</v>
      </c>
      <c r="I6" s="31">
        <v>200</v>
      </c>
      <c r="J6" s="14">
        <v>573</v>
      </c>
      <c r="K6" s="15">
        <f>L6+573</f>
        <v>573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27</v>
      </c>
      <c r="R6" s="7"/>
      <c r="S6" s="6">
        <v>3</v>
      </c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0.45654308410111039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128</v>
      </c>
      <c r="E7" s="53" t="s">
        <v>203</v>
      </c>
      <c r="F7" s="12">
        <v>8301</v>
      </c>
      <c r="G7" s="12">
        <v>2</v>
      </c>
      <c r="H7" s="13">
        <v>24</v>
      </c>
      <c r="I7" s="31">
        <v>30000</v>
      </c>
      <c r="J7" s="14">
        <v>10738</v>
      </c>
      <c r="K7" s="15">
        <f>L7+9996</f>
        <v>20734</v>
      </c>
      <c r="L7" s="15">
        <f>3056*2+2313*2</f>
        <v>10738</v>
      </c>
      <c r="M7" s="15">
        <f t="shared" si="0"/>
        <v>10738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0.45654308410111039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23872</v>
      </c>
      <c r="K8" s="15">
        <f>L8+8404+12360+9142+12426+5790+11544+12480+12502+12376+12380+22896+24720+24328+24256+11504+24084+22712+24032+23532+20768+23268+23880+22096+24340+10412+14832</f>
        <v>474936</v>
      </c>
      <c r="L8" s="15">
        <f>2915*4+3053*4</f>
        <v>23872</v>
      </c>
      <c r="M8" s="15">
        <f t="shared" si="0"/>
        <v>23872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0.45654308410111039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164</v>
      </c>
      <c r="F9" s="30" t="s">
        <v>123</v>
      </c>
      <c r="G9" s="33">
        <v>2</v>
      </c>
      <c r="H9" s="35">
        <v>24</v>
      </c>
      <c r="I9" s="7">
        <v>310</v>
      </c>
      <c r="J9" s="14">
        <v>470</v>
      </c>
      <c r="K9" s="15">
        <f>L9+470</f>
        <v>470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0.45654308410111039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24840</v>
      </c>
      <c r="K10" s="15">
        <f>L10+19272+24844+16004+13948+24828+23236+25072+24900+25224</f>
        <v>222168</v>
      </c>
      <c r="L10" s="15">
        <f>2967*4+3243*4</f>
        <v>24840</v>
      </c>
      <c r="M10" s="15">
        <f t="shared" si="0"/>
        <v>24840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0.45654308410111039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122</v>
      </c>
      <c r="D11" s="52"/>
      <c r="E11" s="53" t="s">
        <v>158</v>
      </c>
      <c r="F11" s="30" t="s">
        <v>155</v>
      </c>
      <c r="G11" s="33">
        <v>1</v>
      </c>
      <c r="H11" s="35">
        <v>24</v>
      </c>
      <c r="I11" s="7">
        <v>20000</v>
      </c>
      <c r="J11" s="14">
        <v>5310</v>
      </c>
      <c r="K11" s="15">
        <f>L11+1837+2816+1326+2915+5354+5257+5385</f>
        <v>30200</v>
      </c>
      <c r="L11" s="15">
        <f>2538+2772</f>
        <v>5310</v>
      </c>
      <c r="M11" s="15">
        <f t="shared" si="0"/>
        <v>5310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0.45654308410111039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219</v>
      </c>
      <c r="F12" s="30" t="s">
        <v>241</v>
      </c>
      <c r="G12" s="33">
        <v>1</v>
      </c>
      <c r="H12" s="35">
        <v>24</v>
      </c>
      <c r="I12" s="7">
        <v>1000</v>
      </c>
      <c r="J12" s="14">
        <v>2656</v>
      </c>
      <c r="K12" s="15">
        <f>L12</f>
        <v>2656</v>
      </c>
      <c r="L12" s="15">
        <f>651+1826+179</f>
        <v>2656</v>
      </c>
      <c r="M12" s="15">
        <f t="shared" si="0"/>
        <v>1156</v>
      </c>
      <c r="N12" s="15">
        <v>1500</v>
      </c>
      <c r="O12" s="58">
        <f t="shared" si="1"/>
        <v>0.56475903614457834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9"/>
        <v>0.34456576305220882</v>
      </c>
      <c r="AE12" s="36">
        <f t="shared" si="7"/>
        <v>0.45654308410111039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138</v>
      </c>
      <c r="F13" s="30" t="s">
        <v>123</v>
      </c>
      <c r="G13" s="33">
        <v>2</v>
      </c>
      <c r="H13" s="35">
        <v>24</v>
      </c>
      <c r="I13" s="7">
        <v>270000</v>
      </c>
      <c r="J13" s="5">
        <v>2414</v>
      </c>
      <c r="K13" s="15">
        <f>L13+10230+8758+7458+4298+5694+7524+3000+9774+6592+11326+12144+11050+10802+10910+9796+3412+4942+8464+12186+4876+12344+11648+11570+12232+12946+5214+12358+10116+12434</f>
        <v>266512</v>
      </c>
      <c r="L13" s="15">
        <f>1207*2</f>
        <v>2414</v>
      </c>
      <c r="M13" s="15">
        <f t="shared" si="0"/>
        <v>2414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>
        <v>18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>AC13*AB13*(1-O13)</f>
        <v>0.25</v>
      </c>
      <c r="AE13" s="36">
        <f t="shared" si="7"/>
        <v>0.45654308410111039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120</v>
      </c>
      <c r="D14" s="52"/>
      <c r="E14" s="53" t="s">
        <v>225</v>
      </c>
      <c r="F14" s="30" t="s">
        <v>123</v>
      </c>
      <c r="G14" s="33" t="s">
        <v>242</v>
      </c>
      <c r="H14" s="35">
        <v>24</v>
      </c>
      <c r="I14" s="7">
        <v>3000</v>
      </c>
      <c r="J14" s="5">
        <v>2920</v>
      </c>
      <c r="K14" s="15">
        <f>L14</f>
        <v>2920</v>
      </c>
      <c r="L14" s="15">
        <f>1460*2</f>
        <v>2920</v>
      </c>
      <c r="M14" s="15">
        <f t="shared" si="0"/>
        <v>2920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/>
      <c r="T14" s="16"/>
      <c r="U14" s="16"/>
      <c r="V14" s="17">
        <v>14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9"/>
        <v>0.41666666666666669</v>
      </c>
      <c r="AE14" s="36">
        <f t="shared" si="7"/>
        <v>0.45654308410111039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L15+2236+873+2158+5230+5277+5226+625+4849+5260+1328</f>
        <v>33062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0.45654308410111039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0.45654308410111039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0.45654308410111039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226</v>
      </c>
      <c r="F18" s="30" t="s">
        <v>243</v>
      </c>
      <c r="G18" s="33">
        <v>1</v>
      </c>
      <c r="H18" s="35">
        <v>24</v>
      </c>
      <c r="I18" s="7">
        <v>200</v>
      </c>
      <c r="J18" s="14">
        <v>320</v>
      </c>
      <c r="K18" s="15">
        <f>L18</f>
        <v>320</v>
      </c>
      <c r="L18" s="15">
        <v>320</v>
      </c>
      <c r="M18" s="15">
        <f t="shared" si="0"/>
        <v>320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0.45654308410111039</v>
      </c>
      <c r="AF18" s="84">
        <f t="shared" si="8"/>
        <v>13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137</v>
      </c>
      <c r="E19" s="53" t="s">
        <v>244</v>
      </c>
      <c r="F19" s="30" t="s">
        <v>129</v>
      </c>
      <c r="G19" s="33">
        <v>1</v>
      </c>
      <c r="H19" s="35">
        <v>24</v>
      </c>
      <c r="I19" s="7">
        <v>200</v>
      </c>
      <c r="J19" s="14">
        <v>212</v>
      </c>
      <c r="K19" s="15">
        <f>L19</f>
        <v>212</v>
      </c>
      <c r="L19" s="15">
        <v>212</v>
      </c>
      <c r="M19" s="15">
        <f t="shared" ref="M19" si="10">L19-N19</f>
        <v>212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3</v>
      </c>
      <c r="Q19" s="40">
        <f t="shared" ref="Q19" si="13">SUM(R19:AA19)</f>
        <v>21</v>
      </c>
      <c r="R19" s="7"/>
      <c r="S19" s="6">
        <v>14</v>
      </c>
      <c r="T19" s="16">
        <v>7</v>
      </c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0.125</v>
      </c>
      <c r="AD19" s="10">
        <f t="shared" ref="AD19" si="16">AC19*AB19*(1-O19)</f>
        <v>0.125</v>
      </c>
      <c r="AE19" s="36">
        <f t="shared" si="7"/>
        <v>0.45654308410111039</v>
      </c>
      <c r="AF19" s="84">
        <f t="shared" ref="AF19" si="17">A19</f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145</v>
      </c>
      <c r="E20" s="53" t="s">
        <v>161</v>
      </c>
      <c r="F20" s="30" t="s">
        <v>147</v>
      </c>
      <c r="G20" s="33">
        <v>1</v>
      </c>
      <c r="H20" s="35">
        <v>24</v>
      </c>
      <c r="I20" s="7">
        <v>33000</v>
      </c>
      <c r="J20" s="14">
        <v>5509</v>
      </c>
      <c r="K20" s="15">
        <f>L20+2330+2075+3595+5570+5525+5598</f>
        <v>30202</v>
      </c>
      <c r="L20" s="15">
        <f>2630+2879</f>
        <v>5509</v>
      </c>
      <c r="M20" s="15">
        <f t="shared" si="0"/>
        <v>5509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0.45654308410111039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142</v>
      </c>
      <c r="F21" s="30" t="s">
        <v>123</v>
      </c>
      <c r="G21" s="12">
        <v>4</v>
      </c>
      <c r="H21" s="13">
        <v>28</v>
      </c>
      <c r="I21" s="31">
        <v>561000</v>
      </c>
      <c r="J21" s="5">
        <v>23364</v>
      </c>
      <c r="K21" s="15">
        <f>L21+14284+8352+12576+8310+15524+17860+22424+23088+2420</f>
        <v>148202</v>
      </c>
      <c r="L21" s="15">
        <f>3061*4+2780*4</f>
        <v>23364</v>
      </c>
      <c r="M21" s="15">
        <f t="shared" si="0"/>
        <v>23364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0.45654308410111039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156</v>
      </c>
      <c r="F22" s="12" t="s">
        <v>114</v>
      </c>
      <c r="G22" s="12">
        <v>4</v>
      </c>
      <c r="H22" s="35">
        <v>20</v>
      </c>
      <c r="I22" s="7">
        <v>500000</v>
      </c>
      <c r="J22" s="14">
        <v>32268</v>
      </c>
      <c r="K22" s="15">
        <f>L22+17656+21428</f>
        <v>71352</v>
      </c>
      <c r="L22" s="15">
        <f>8067*4</f>
        <v>32268</v>
      </c>
      <c r="M22" s="15">
        <f t="shared" si="0"/>
        <v>32268</v>
      </c>
      <c r="N22" s="15">
        <v>0</v>
      </c>
      <c r="O22" s="58">
        <f t="shared" si="1"/>
        <v>0</v>
      </c>
      <c r="P22" s="39">
        <f t="shared" si="2"/>
        <v>12</v>
      </c>
      <c r="Q22" s="40">
        <f t="shared" si="3"/>
        <v>12</v>
      </c>
      <c r="R22" s="7"/>
      <c r="S22" s="6"/>
      <c r="T22" s="16"/>
      <c r="U22" s="16"/>
      <c r="V22" s="17">
        <v>12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</v>
      </c>
      <c r="AD22" s="10">
        <f t="shared" si="6"/>
        <v>0.5</v>
      </c>
      <c r="AE22" s="36">
        <f t="shared" si="7"/>
        <v>0.45654308410111039</v>
      </c>
      <c r="AF22" s="84">
        <f t="shared" si="8"/>
        <v>16</v>
      </c>
    </row>
    <row r="23" spans="1:32" ht="31.5" customHeight="1" thickBot="1">
      <c r="A23" s="515" t="s">
        <v>34</v>
      </c>
      <c r="B23" s="516"/>
      <c r="C23" s="516"/>
      <c r="D23" s="516"/>
      <c r="E23" s="516"/>
      <c r="F23" s="516"/>
      <c r="G23" s="516"/>
      <c r="H23" s="517"/>
      <c r="I23" s="22">
        <f t="shared" ref="I23:N23" si="18">SUM(I6:I22)</f>
        <v>2689720</v>
      </c>
      <c r="J23" s="19">
        <f t="shared" si="18"/>
        <v>137689</v>
      </c>
      <c r="K23" s="20">
        <f t="shared" si="18"/>
        <v>1305414</v>
      </c>
      <c r="L23" s="21">
        <f t="shared" si="18"/>
        <v>134423</v>
      </c>
      <c r="M23" s="20">
        <f t="shared" si="18"/>
        <v>132923</v>
      </c>
      <c r="N23" s="21">
        <f t="shared" si="18"/>
        <v>1500</v>
      </c>
      <c r="O23" s="41">
        <f t="shared" si="1"/>
        <v>1.1158804668843874E-2</v>
      </c>
      <c r="P23" s="42">
        <f t="shared" ref="P23:AA23" si="19">SUM(P6:P22)</f>
        <v>197</v>
      </c>
      <c r="Q23" s="43">
        <f t="shared" si="19"/>
        <v>214</v>
      </c>
      <c r="R23" s="23">
        <f t="shared" si="19"/>
        <v>24</v>
      </c>
      <c r="S23" s="24">
        <f t="shared" si="19"/>
        <v>43</v>
      </c>
      <c r="T23" s="24">
        <f t="shared" si="19"/>
        <v>7</v>
      </c>
      <c r="U23" s="24">
        <f t="shared" si="19"/>
        <v>0</v>
      </c>
      <c r="V23" s="25">
        <f t="shared" si="19"/>
        <v>26</v>
      </c>
      <c r="W23" s="26">
        <f t="shared" si="19"/>
        <v>90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0.70588235294117652</v>
      </c>
      <c r="AC23" s="4">
        <f>AVERAGE(AC6:AC22)</f>
        <v>0.48284313725490202</v>
      </c>
      <c r="AD23" s="4">
        <f>AVERAGE(AD6:AD22)</f>
        <v>0.45654308410111039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18" t="s">
        <v>45</v>
      </c>
      <c r="B50" s="518"/>
      <c r="C50" s="518"/>
      <c r="D50" s="518"/>
      <c r="E50" s="51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19" t="s">
        <v>245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  <c r="M51" s="521"/>
      <c r="N51" s="522" t="s">
        <v>257</v>
      </c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23"/>
      <c r="AC51" s="523"/>
      <c r="AD51" s="524"/>
    </row>
    <row r="52" spans="1:32" ht="27" customHeight="1">
      <c r="A52" s="525" t="s">
        <v>2</v>
      </c>
      <c r="B52" s="526"/>
      <c r="C52" s="147" t="s">
        <v>46</v>
      </c>
      <c r="D52" s="147" t="s">
        <v>47</v>
      </c>
      <c r="E52" s="147" t="s">
        <v>107</v>
      </c>
      <c r="F52" s="527" t="s">
        <v>106</v>
      </c>
      <c r="G52" s="528"/>
      <c r="H52" s="528"/>
      <c r="I52" s="528"/>
      <c r="J52" s="528"/>
      <c r="K52" s="528"/>
      <c r="L52" s="528"/>
      <c r="M52" s="529"/>
      <c r="N52" s="67" t="s">
        <v>110</v>
      </c>
      <c r="O52" s="147" t="s">
        <v>46</v>
      </c>
      <c r="P52" s="527" t="s">
        <v>47</v>
      </c>
      <c r="Q52" s="530"/>
      <c r="R52" s="527" t="s">
        <v>38</v>
      </c>
      <c r="S52" s="528"/>
      <c r="T52" s="528"/>
      <c r="U52" s="530"/>
      <c r="V52" s="527" t="s">
        <v>48</v>
      </c>
      <c r="W52" s="528"/>
      <c r="X52" s="528"/>
      <c r="Y52" s="528"/>
      <c r="Z52" s="528"/>
      <c r="AA52" s="528"/>
      <c r="AB52" s="528"/>
      <c r="AC52" s="528"/>
      <c r="AD52" s="529"/>
    </row>
    <row r="53" spans="1:32" ht="27" customHeight="1">
      <c r="A53" s="508" t="s">
        <v>112</v>
      </c>
      <c r="B53" s="509"/>
      <c r="C53" s="148" t="s">
        <v>174</v>
      </c>
      <c r="D53" s="148" t="s">
        <v>128</v>
      </c>
      <c r="E53" s="150" t="s">
        <v>206</v>
      </c>
      <c r="F53" s="496" t="s">
        <v>246</v>
      </c>
      <c r="G53" s="497"/>
      <c r="H53" s="497"/>
      <c r="I53" s="497"/>
      <c r="J53" s="497"/>
      <c r="K53" s="497"/>
      <c r="L53" s="497"/>
      <c r="M53" s="498"/>
      <c r="N53" s="149" t="s">
        <v>112</v>
      </c>
      <c r="O53" s="155" t="s">
        <v>187</v>
      </c>
      <c r="P53" s="510" t="s">
        <v>137</v>
      </c>
      <c r="Q53" s="511"/>
      <c r="R53" s="510" t="s">
        <v>258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112</v>
      </c>
      <c r="B54" s="509"/>
      <c r="C54" s="148" t="s">
        <v>149</v>
      </c>
      <c r="D54" s="148" t="s">
        <v>247</v>
      </c>
      <c r="E54" s="150" t="s">
        <v>219</v>
      </c>
      <c r="F54" s="496" t="s">
        <v>248</v>
      </c>
      <c r="G54" s="497"/>
      <c r="H54" s="497"/>
      <c r="I54" s="497"/>
      <c r="J54" s="497"/>
      <c r="K54" s="497"/>
      <c r="L54" s="497"/>
      <c r="M54" s="498"/>
      <c r="N54" s="149" t="s">
        <v>112</v>
      </c>
      <c r="O54" s="155" t="s">
        <v>177</v>
      </c>
      <c r="P54" s="510" t="s">
        <v>115</v>
      </c>
      <c r="Q54" s="511"/>
      <c r="R54" s="510" t="s">
        <v>259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494" t="s">
        <v>112</v>
      </c>
      <c r="B55" s="495"/>
      <c r="C55" s="150" t="s">
        <v>187</v>
      </c>
      <c r="D55" s="162" t="s">
        <v>137</v>
      </c>
      <c r="E55" s="161" t="s">
        <v>204</v>
      </c>
      <c r="F55" s="496" t="s">
        <v>249</v>
      </c>
      <c r="G55" s="497"/>
      <c r="H55" s="497"/>
      <c r="I55" s="497"/>
      <c r="J55" s="497"/>
      <c r="K55" s="497"/>
      <c r="L55" s="497"/>
      <c r="M55" s="498"/>
      <c r="N55" s="149" t="s">
        <v>122</v>
      </c>
      <c r="O55" s="155" t="s">
        <v>149</v>
      </c>
      <c r="P55" s="510"/>
      <c r="Q55" s="511"/>
      <c r="R55" s="510" t="s">
        <v>260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112</v>
      </c>
      <c r="B56" s="509"/>
      <c r="C56" s="148" t="s">
        <v>187</v>
      </c>
      <c r="D56" s="148" t="s">
        <v>247</v>
      </c>
      <c r="E56" s="150" t="s">
        <v>226</v>
      </c>
      <c r="F56" s="496" t="s">
        <v>180</v>
      </c>
      <c r="G56" s="497"/>
      <c r="H56" s="497"/>
      <c r="I56" s="497"/>
      <c r="J56" s="497"/>
      <c r="K56" s="497"/>
      <c r="L56" s="497"/>
      <c r="M56" s="498"/>
      <c r="N56" s="149" t="s">
        <v>253</v>
      </c>
      <c r="O56" s="155" t="s">
        <v>262</v>
      </c>
      <c r="P56" s="510" t="s">
        <v>263</v>
      </c>
      <c r="Q56" s="511"/>
      <c r="R56" s="510" t="s">
        <v>261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508" t="s">
        <v>120</v>
      </c>
      <c r="B57" s="509"/>
      <c r="C57" s="148" t="s">
        <v>177</v>
      </c>
      <c r="D57" s="148" t="s">
        <v>247</v>
      </c>
      <c r="E57" s="150" t="s">
        <v>250</v>
      </c>
      <c r="F57" s="496" t="s">
        <v>207</v>
      </c>
      <c r="G57" s="497"/>
      <c r="H57" s="497"/>
      <c r="I57" s="497"/>
      <c r="J57" s="497"/>
      <c r="K57" s="497"/>
      <c r="L57" s="497"/>
      <c r="M57" s="498"/>
      <c r="N57" s="149"/>
      <c r="O57" s="155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494" t="s">
        <v>112</v>
      </c>
      <c r="B58" s="495"/>
      <c r="C58" s="150" t="s">
        <v>177</v>
      </c>
      <c r="D58" s="150" t="s">
        <v>247</v>
      </c>
      <c r="E58" s="150" t="s">
        <v>194</v>
      </c>
      <c r="F58" s="496" t="s">
        <v>180</v>
      </c>
      <c r="G58" s="497"/>
      <c r="H58" s="497"/>
      <c r="I58" s="497"/>
      <c r="J58" s="497"/>
      <c r="K58" s="497"/>
      <c r="L58" s="497"/>
      <c r="M58" s="498"/>
      <c r="N58" s="149"/>
      <c r="O58" s="155"/>
      <c r="P58" s="510"/>
      <c r="Q58" s="511"/>
      <c r="R58" s="510"/>
      <c r="S58" s="512"/>
      <c r="T58" s="512"/>
      <c r="U58" s="511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 t="s">
        <v>120</v>
      </c>
      <c r="B59" s="509"/>
      <c r="C59" s="148" t="s">
        <v>251</v>
      </c>
      <c r="D59" s="148"/>
      <c r="E59" s="150" t="s">
        <v>252</v>
      </c>
      <c r="F59" s="496" t="s">
        <v>180</v>
      </c>
      <c r="G59" s="497"/>
      <c r="H59" s="497"/>
      <c r="I59" s="497"/>
      <c r="J59" s="497"/>
      <c r="K59" s="497"/>
      <c r="L59" s="497"/>
      <c r="M59" s="498"/>
      <c r="N59" s="149"/>
      <c r="O59" s="155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508" t="s">
        <v>253</v>
      </c>
      <c r="B60" s="509"/>
      <c r="C60" s="148" t="s">
        <v>254</v>
      </c>
      <c r="D60" s="148"/>
      <c r="E60" s="150" t="s">
        <v>255</v>
      </c>
      <c r="F60" s="496" t="s">
        <v>256</v>
      </c>
      <c r="G60" s="497"/>
      <c r="H60" s="497"/>
      <c r="I60" s="497"/>
      <c r="J60" s="497"/>
      <c r="K60" s="497"/>
      <c r="L60" s="497"/>
      <c r="M60" s="498"/>
      <c r="N60" s="149"/>
      <c r="O60" s="155"/>
      <c r="P60" s="510"/>
      <c r="Q60" s="511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</row>
    <row r="61" spans="1:32" ht="27" customHeight="1">
      <c r="A61" s="494"/>
      <c r="B61" s="495"/>
      <c r="C61" s="150"/>
      <c r="D61" s="150"/>
      <c r="E61" s="150"/>
      <c r="F61" s="496"/>
      <c r="G61" s="497"/>
      <c r="H61" s="497"/>
      <c r="I61" s="497"/>
      <c r="J61" s="497"/>
      <c r="K61" s="497"/>
      <c r="L61" s="497"/>
      <c r="M61" s="498"/>
      <c r="N61" s="149"/>
      <c r="O61" s="155"/>
      <c r="P61" s="495"/>
      <c r="Q61" s="495"/>
      <c r="R61" s="495"/>
      <c r="S61" s="495"/>
      <c r="T61" s="495"/>
      <c r="U61" s="495"/>
      <c r="V61" s="480"/>
      <c r="W61" s="480"/>
      <c r="X61" s="480"/>
      <c r="Y61" s="480"/>
      <c r="Z61" s="480"/>
      <c r="AA61" s="480"/>
      <c r="AB61" s="480"/>
      <c r="AC61" s="480"/>
      <c r="AD61" s="499"/>
      <c r="AF61" s="84">
        <f>8*3000</f>
        <v>24000</v>
      </c>
    </row>
    <row r="62" spans="1:32" ht="27" customHeight="1" thickBot="1">
      <c r="A62" s="500"/>
      <c r="B62" s="501"/>
      <c r="C62" s="151"/>
      <c r="D62" s="152"/>
      <c r="E62" s="152"/>
      <c r="F62" s="502"/>
      <c r="G62" s="503"/>
      <c r="H62" s="503"/>
      <c r="I62" s="503"/>
      <c r="J62" s="503"/>
      <c r="K62" s="503"/>
      <c r="L62" s="503"/>
      <c r="M62" s="504"/>
      <c r="N62" s="112"/>
      <c r="O62" s="103"/>
      <c r="P62" s="505"/>
      <c r="Q62" s="505"/>
      <c r="R62" s="505"/>
      <c r="S62" s="505"/>
      <c r="T62" s="505"/>
      <c r="U62" s="505"/>
      <c r="V62" s="506"/>
      <c r="W62" s="506"/>
      <c r="X62" s="506"/>
      <c r="Y62" s="506"/>
      <c r="Z62" s="506"/>
      <c r="AA62" s="506"/>
      <c r="AB62" s="506"/>
      <c r="AC62" s="506"/>
      <c r="AD62" s="507"/>
      <c r="AF62" s="84">
        <f>16*3000</f>
        <v>48000</v>
      </c>
    </row>
    <row r="63" spans="1:32" ht="27.75" thickBot="1">
      <c r="A63" s="492" t="s">
        <v>264</v>
      </c>
      <c r="B63" s="492"/>
      <c r="C63" s="492"/>
      <c r="D63" s="492"/>
      <c r="E63" s="49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3" t="s">
        <v>111</v>
      </c>
      <c r="B64" s="487"/>
      <c r="C64" s="153" t="s">
        <v>2</v>
      </c>
      <c r="D64" s="153" t="s">
        <v>37</v>
      </c>
      <c r="E64" s="153" t="s">
        <v>3</v>
      </c>
      <c r="F64" s="487" t="s">
        <v>109</v>
      </c>
      <c r="G64" s="487"/>
      <c r="H64" s="487"/>
      <c r="I64" s="487"/>
      <c r="J64" s="487"/>
      <c r="K64" s="487" t="s">
        <v>39</v>
      </c>
      <c r="L64" s="487"/>
      <c r="M64" s="153" t="s">
        <v>40</v>
      </c>
      <c r="N64" s="487" t="s">
        <v>41</v>
      </c>
      <c r="O64" s="487"/>
      <c r="P64" s="484" t="s">
        <v>42</v>
      </c>
      <c r="Q64" s="486"/>
      <c r="R64" s="484" t="s">
        <v>43</v>
      </c>
      <c r="S64" s="485"/>
      <c r="T64" s="485"/>
      <c r="U64" s="485"/>
      <c r="V64" s="485"/>
      <c r="W64" s="485"/>
      <c r="X64" s="485"/>
      <c r="Y64" s="485"/>
      <c r="Z64" s="485"/>
      <c r="AA64" s="486"/>
      <c r="AB64" s="487" t="s">
        <v>44</v>
      </c>
      <c r="AC64" s="487"/>
      <c r="AD64" s="488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120</v>
      </c>
      <c r="D65" s="159"/>
      <c r="E65" s="160" t="s">
        <v>115</v>
      </c>
      <c r="F65" s="481" t="s">
        <v>232</v>
      </c>
      <c r="G65" s="482"/>
      <c r="H65" s="482"/>
      <c r="I65" s="482"/>
      <c r="J65" s="483"/>
      <c r="K65" s="469" t="s">
        <v>123</v>
      </c>
      <c r="L65" s="469"/>
      <c r="M65" s="51" t="s">
        <v>236</v>
      </c>
      <c r="N65" s="478" t="s">
        <v>181</v>
      </c>
      <c r="O65" s="478"/>
      <c r="P65" s="479">
        <v>200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89"/>
      <c r="AC65" s="490"/>
      <c r="AD65" s="491"/>
      <c r="AF65" s="50"/>
    </row>
    <row r="66" spans="1:32" ht="25.5" customHeight="1">
      <c r="A66" s="475">
        <v>2</v>
      </c>
      <c r="B66" s="476"/>
      <c r="C66" s="105" t="s">
        <v>112</v>
      </c>
      <c r="D66" s="157"/>
      <c r="E66" s="154" t="s">
        <v>228</v>
      </c>
      <c r="F66" s="481" t="s">
        <v>265</v>
      </c>
      <c r="G66" s="482"/>
      <c r="H66" s="482"/>
      <c r="I66" s="482"/>
      <c r="J66" s="483"/>
      <c r="K66" s="469" t="s">
        <v>266</v>
      </c>
      <c r="L66" s="469"/>
      <c r="M66" s="51" t="s">
        <v>140</v>
      </c>
      <c r="N66" s="478" t="s">
        <v>223</v>
      </c>
      <c r="O66" s="478"/>
      <c r="P66" s="479"/>
      <c r="Q66" s="479"/>
      <c r="R66" s="480" t="s">
        <v>267</v>
      </c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3</v>
      </c>
      <c r="B67" s="476"/>
      <c r="C67" s="105" t="s">
        <v>119</v>
      </c>
      <c r="D67" s="157"/>
      <c r="E67" s="154" t="s">
        <v>115</v>
      </c>
      <c r="F67" s="477" t="s">
        <v>268</v>
      </c>
      <c r="G67" s="469"/>
      <c r="H67" s="469"/>
      <c r="I67" s="469"/>
      <c r="J67" s="469"/>
      <c r="K67" s="469" t="s">
        <v>118</v>
      </c>
      <c r="L67" s="469"/>
      <c r="M67" s="51" t="s">
        <v>140</v>
      </c>
      <c r="N67" s="478" t="s">
        <v>181</v>
      </c>
      <c r="O67" s="478"/>
      <c r="P67" s="479">
        <v>200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4</v>
      </c>
      <c r="B68" s="476"/>
      <c r="C68" s="105"/>
      <c r="D68" s="157"/>
      <c r="E68" s="154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5</v>
      </c>
      <c r="B69" s="476"/>
      <c r="C69" s="105"/>
      <c r="D69" s="157"/>
      <c r="E69" s="154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6</v>
      </c>
      <c r="B70" s="476"/>
      <c r="C70" s="105"/>
      <c r="D70" s="157"/>
      <c r="E70" s="154"/>
      <c r="F70" s="481"/>
      <c r="G70" s="482"/>
      <c r="H70" s="482"/>
      <c r="I70" s="482"/>
      <c r="J70" s="483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7</v>
      </c>
      <c r="B71" s="476"/>
      <c r="C71" s="105"/>
      <c r="D71" s="157"/>
      <c r="E71" s="154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8</v>
      </c>
      <c r="B72" s="476"/>
      <c r="C72" s="105"/>
      <c r="D72" s="157"/>
      <c r="E72" s="154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9</v>
      </c>
      <c r="B73" s="476"/>
      <c r="C73" s="105"/>
      <c r="D73" s="157"/>
      <c r="E73" s="154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5.5" customHeight="1">
      <c r="A74" s="475">
        <v>10</v>
      </c>
      <c r="B74" s="476"/>
      <c r="C74" s="105"/>
      <c r="D74" s="157"/>
      <c r="E74" s="154"/>
      <c r="F74" s="477"/>
      <c r="G74" s="469"/>
      <c r="H74" s="469"/>
      <c r="I74" s="469"/>
      <c r="J74" s="469"/>
      <c r="K74" s="469"/>
      <c r="L74" s="469"/>
      <c r="M74" s="51"/>
      <c r="N74" s="478"/>
      <c r="O74" s="478"/>
      <c r="P74" s="479"/>
      <c r="Q74" s="479"/>
      <c r="R74" s="480"/>
      <c r="S74" s="480"/>
      <c r="T74" s="480"/>
      <c r="U74" s="480"/>
      <c r="V74" s="480"/>
      <c r="W74" s="480"/>
      <c r="X74" s="480"/>
      <c r="Y74" s="480"/>
      <c r="Z74" s="480"/>
      <c r="AA74" s="480"/>
      <c r="AB74" s="469"/>
      <c r="AC74" s="469"/>
      <c r="AD74" s="470"/>
      <c r="AF74" s="50"/>
    </row>
    <row r="75" spans="1:32" ht="26.25" customHeight="1" thickBot="1">
      <c r="A75" s="449" t="s">
        <v>269</v>
      </c>
      <c r="B75" s="449"/>
      <c r="C75" s="449"/>
      <c r="D75" s="449"/>
      <c r="E75" s="44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0" t="s">
        <v>111</v>
      </c>
      <c r="B76" s="451"/>
      <c r="C76" s="156" t="s">
        <v>2</v>
      </c>
      <c r="D76" s="156" t="s">
        <v>37</v>
      </c>
      <c r="E76" s="156" t="s">
        <v>150</v>
      </c>
      <c r="F76" s="451" t="s">
        <v>38</v>
      </c>
      <c r="G76" s="451"/>
      <c r="H76" s="451"/>
      <c r="I76" s="451"/>
      <c r="J76" s="451"/>
      <c r="K76" s="471" t="s">
        <v>58</v>
      </c>
      <c r="L76" s="472"/>
      <c r="M76" s="472"/>
      <c r="N76" s="472"/>
      <c r="O76" s="472"/>
      <c r="P76" s="472"/>
      <c r="Q76" s="472"/>
      <c r="R76" s="472"/>
      <c r="S76" s="473"/>
      <c r="T76" s="451" t="s">
        <v>49</v>
      </c>
      <c r="U76" s="451"/>
      <c r="V76" s="471" t="s">
        <v>50</v>
      </c>
      <c r="W76" s="473"/>
      <c r="X76" s="472" t="s">
        <v>51</v>
      </c>
      <c r="Y76" s="472"/>
      <c r="Z76" s="472"/>
      <c r="AA76" s="472"/>
      <c r="AB76" s="472"/>
      <c r="AC76" s="472"/>
      <c r="AD76" s="474"/>
      <c r="AF76" s="50"/>
    </row>
    <row r="77" spans="1:32" ht="33.75" customHeight="1">
      <c r="A77" s="443">
        <v>1</v>
      </c>
      <c r="B77" s="444"/>
      <c r="C77" s="158" t="s">
        <v>112</v>
      </c>
      <c r="D77" s="158"/>
      <c r="E77" s="65" t="s">
        <v>117</v>
      </c>
      <c r="F77" s="458" t="s">
        <v>116</v>
      </c>
      <c r="G77" s="459"/>
      <c r="H77" s="459"/>
      <c r="I77" s="459"/>
      <c r="J77" s="460"/>
      <c r="K77" s="461" t="s">
        <v>121</v>
      </c>
      <c r="L77" s="462"/>
      <c r="M77" s="462"/>
      <c r="N77" s="462"/>
      <c r="O77" s="462"/>
      <c r="P77" s="462"/>
      <c r="Q77" s="462"/>
      <c r="R77" s="462"/>
      <c r="S77" s="463"/>
      <c r="T77" s="464">
        <v>43675</v>
      </c>
      <c r="U77" s="465"/>
      <c r="V77" s="466"/>
      <c r="W77" s="466"/>
      <c r="X77" s="467"/>
      <c r="Y77" s="467"/>
      <c r="Z77" s="467"/>
      <c r="AA77" s="467"/>
      <c r="AB77" s="467"/>
      <c r="AC77" s="467"/>
      <c r="AD77" s="468"/>
      <c r="AF77" s="50"/>
    </row>
    <row r="78" spans="1:32" ht="30" customHeight="1">
      <c r="A78" s="436">
        <f>A77+1</f>
        <v>2</v>
      </c>
      <c r="B78" s="437"/>
      <c r="C78" s="157"/>
      <c r="D78" s="157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ref="A79:A83" si="20">A78+1</f>
        <v>3</v>
      </c>
      <c r="B79" s="437"/>
      <c r="C79" s="157"/>
      <c r="D79" s="157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20"/>
        <v>4</v>
      </c>
      <c r="B80" s="437"/>
      <c r="C80" s="157"/>
      <c r="D80" s="157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20"/>
        <v>5</v>
      </c>
      <c r="B81" s="437"/>
      <c r="C81" s="157"/>
      <c r="D81" s="157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20"/>
        <v>6</v>
      </c>
      <c r="B82" s="437"/>
      <c r="C82" s="157"/>
      <c r="D82" s="157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0" customHeight="1">
      <c r="A83" s="436">
        <f t="shared" si="20"/>
        <v>7</v>
      </c>
      <c r="B83" s="437"/>
      <c r="C83" s="157"/>
      <c r="D83" s="157"/>
      <c r="E83" s="32"/>
      <c r="F83" s="437"/>
      <c r="G83" s="437"/>
      <c r="H83" s="437"/>
      <c r="I83" s="437"/>
      <c r="J83" s="437"/>
      <c r="K83" s="452"/>
      <c r="L83" s="453"/>
      <c r="M83" s="453"/>
      <c r="N83" s="453"/>
      <c r="O83" s="453"/>
      <c r="P83" s="453"/>
      <c r="Q83" s="453"/>
      <c r="R83" s="453"/>
      <c r="S83" s="454"/>
      <c r="T83" s="455"/>
      <c r="U83" s="455"/>
      <c r="V83" s="455"/>
      <c r="W83" s="455"/>
      <c r="X83" s="456"/>
      <c r="Y83" s="456"/>
      <c r="Z83" s="456"/>
      <c r="AA83" s="456"/>
      <c r="AB83" s="456"/>
      <c r="AC83" s="456"/>
      <c r="AD83" s="457"/>
      <c r="AF83" s="50"/>
    </row>
    <row r="84" spans="1:32" ht="36" thickBot="1">
      <c r="A84" s="449" t="s">
        <v>270</v>
      </c>
      <c r="B84" s="449"/>
      <c r="C84" s="449"/>
      <c r="D84" s="449"/>
      <c r="E84" s="44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0" t="s">
        <v>111</v>
      </c>
      <c r="B85" s="451"/>
      <c r="C85" s="441" t="s">
        <v>52</v>
      </c>
      <c r="D85" s="441"/>
      <c r="E85" s="441" t="s">
        <v>53</v>
      </c>
      <c r="F85" s="441"/>
      <c r="G85" s="441"/>
      <c r="H85" s="441"/>
      <c r="I85" s="441"/>
      <c r="J85" s="441"/>
      <c r="K85" s="441" t="s">
        <v>54</v>
      </c>
      <c r="L85" s="441"/>
      <c r="M85" s="441"/>
      <c r="N85" s="441"/>
      <c r="O85" s="441"/>
      <c r="P85" s="441"/>
      <c r="Q85" s="441"/>
      <c r="R85" s="441"/>
      <c r="S85" s="441"/>
      <c r="T85" s="441" t="s">
        <v>55</v>
      </c>
      <c r="U85" s="441"/>
      <c r="V85" s="441" t="s">
        <v>56</v>
      </c>
      <c r="W85" s="441"/>
      <c r="X85" s="441"/>
      <c r="Y85" s="441" t="s">
        <v>51</v>
      </c>
      <c r="Z85" s="441"/>
      <c r="AA85" s="441"/>
      <c r="AB85" s="441"/>
      <c r="AC85" s="441"/>
      <c r="AD85" s="442"/>
      <c r="AF85" s="50"/>
    </row>
    <row r="86" spans="1:32" ht="30.75" customHeight="1">
      <c r="A86" s="443">
        <v>1</v>
      </c>
      <c r="B86" s="444"/>
      <c r="C86" s="445">
        <v>11</v>
      </c>
      <c r="D86" s="445"/>
      <c r="E86" s="445" t="s">
        <v>151</v>
      </c>
      <c r="F86" s="445"/>
      <c r="G86" s="445"/>
      <c r="H86" s="445"/>
      <c r="I86" s="445"/>
      <c r="J86" s="445"/>
      <c r="K86" s="445" t="s">
        <v>153</v>
      </c>
      <c r="L86" s="445"/>
      <c r="M86" s="445"/>
      <c r="N86" s="445"/>
      <c r="O86" s="445"/>
      <c r="P86" s="445"/>
      <c r="Q86" s="445"/>
      <c r="R86" s="445"/>
      <c r="S86" s="445"/>
      <c r="T86" s="445" t="s">
        <v>152</v>
      </c>
      <c r="U86" s="445"/>
      <c r="V86" s="446"/>
      <c r="W86" s="446"/>
      <c r="X86" s="446"/>
      <c r="Y86" s="447" t="s">
        <v>154</v>
      </c>
      <c r="Z86" s="447"/>
      <c r="AA86" s="447"/>
      <c r="AB86" s="447"/>
      <c r="AC86" s="447"/>
      <c r="AD86" s="448"/>
      <c r="AF86" s="50"/>
    </row>
    <row r="87" spans="1:32" ht="30.75" customHeight="1">
      <c r="A87" s="436">
        <v>2</v>
      </c>
      <c r="B87" s="437"/>
      <c r="C87" s="438"/>
      <c r="D87" s="438"/>
      <c r="E87" s="438"/>
      <c r="F87" s="438"/>
      <c r="G87" s="438"/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438"/>
      <c r="T87" s="439"/>
      <c r="U87" s="439"/>
      <c r="V87" s="440"/>
      <c r="W87" s="440"/>
      <c r="X87" s="440"/>
      <c r="Y87" s="429"/>
      <c r="Z87" s="429"/>
      <c r="AA87" s="429"/>
      <c r="AB87" s="429"/>
      <c r="AC87" s="429"/>
      <c r="AD87" s="430"/>
      <c r="AF87" s="50"/>
    </row>
    <row r="88" spans="1:32" ht="30.75" customHeight="1" thickBot="1">
      <c r="A88" s="431">
        <v>3</v>
      </c>
      <c r="B88" s="432"/>
      <c r="C88" s="433"/>
      <c r="D88" s="433"/>
      <c r="E88" s="433"/>
      <c r="F88" s="433"/>
      <c r="G88" s="433"/>
      <c r="H88" s="433"/>
      <c r="I88" s="433"/>
      <c r="J88" s="433"/>
      <c r="K88" s="433"/>
      <c r="L88" s="433"/>
      <c r="M88" s="433"/>
      <c r="N88" s="433"/>
      <c r="O88" s="433"/>
      <c r="P88" s="433"/>
      <c r="Q88" s="433"/>
      <c r="R88" s="433"/>
      <c r="S88" s="433"/>
      <c r="T88" s="433"/>
      <c r="U88" s="433"/>
      <c r="V88" s="433"/>
      <c r="W88" s="433"/>
      <c r="X88" s="433"/>
      <c r="Y88" s="434"/>
      <c r="Z88" s="434"/>
      <c r="AA88" s="434"/>
      <c r="AB88" s="434"/>
      <c r="AC88" s="434"/>
      <c r="AD88" s="435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61BC-FC84-405B-96E9-BE99C45E0454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271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163" t="s">
        <v>17</v>
      </c>
      <c r="L5" s="163" t="s">
        <v>18</v>
      </c>
      <c r="M5" s="163" t="s">
        <v>19</v>
      </c>
      <c r="N5" s="16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261</v>
      </c>
      <c r="F6" s="12">
        <v>8301</v>
      </c>
      <c r="G6" s="12">
        <v>1</v>
      </c>
      <c r="H6" s="13">
        <v>24</v>
      </c>
      <c r="I6" s="31">
        <v>1500</v>
      </c>
      <c r="J6" s="14">
        <v>3102</v>
      </c>
      <c r="K6" s="15">
        <f>L6</f>
        <v>3102</v>
      </c>
      <c r="L6" s="15">
        <f>2262+840</f>
        <v>3102</v>
      </c>
      <c r="M6" s="15">
        <f t="shared" ref="M6:M21" si="0">L6-N6</f>
        <v>3102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17</v>
      </c>
      <c r="Q6" s="40">
        <f t="shared" ref="Q6:Q21" si="3">SUM(R6:AA6)</f>
        <v>7</v>
      </c>
      <c r="R6" s="7"/>
      <c r="S6" s="6"/>
      <c r="T6" s="16"/>
      <c r="U6" s="16"/>
      <c r="V6" s="17"/>
      <c r="W6" s="5">
        <v>7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0.70833333333333337</v>
      </c>
      <c r="AD6" s="10">
        <f t="shared" ref="AD6:AD21" si="6">AC6*AB6*(1-O6)</f>
        <v>0.70833333333333337</v>
      </c>
      <c r="AE6" s="36">
        <f t="shared" ref="AE6:AE21" si="7">$AD$22</f>
        <v>0.52604166666666674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128</v>
      </c>
      <c r="E7" s="53" t="s">
        <v>203</v>
      </c>
      <c r="F7" s="12">
        <v>8301</v>
      </c>
      <c r="G7" s="12">
        <v>2</v>
      </c>
      <c r="H7" s="13">
        <v>24</v>
      </c>
      <c r="I7" s="31">
        <v>30000</v>
      </c>
      <c r="J7" s="14">
        <v>9482</v>
      </c>
      <c r="K7" s="15">
        <f>L7+9996+10738</f>
        <v>30216</v>
      </c>
      <c r="L7" s="15">
        <f>2950*2+3582</f>
        <v>9482</v>
      </c>
      <c r="M7" s="15">
        <f t="shared" si="0"/>
        <v>9482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0.52604166666666674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25696</v>
      </c>
      <c r="K8" s="15">
        <f>L8+8404+12360+9142+12426+5790+11544+12480+12502+12376+12380+22896+24720+24328+24256+11504+24084+22712+24032+23532+20768+23268+23880+22096+24340+10412+14832+23872</f>
        <v>500632</v>
      </c>
      <c r="L8" s="15">
        <f>3317*4+3107*4</f>
        <v>25696</v>
      </c>
      <c r="M8" s="15">
        <f t="shared" si="0"/>
        <v>25696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0.52604166666666674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164</v>
      </c>
      <c r="F9" s="30" t="s">
        <v>123</v>
      </c>
      <c r="G9" s="33">
        <v>2</v>
      </c>
      <c r="H9" s="35">
        <v>24</v>
      </c>
      <c r="I9" s="7">
        <v>310</v>
      </c>
      <c r="J9" s="14">
        <v>470</v>
      </c>
      <c r="K9" s="15">
        <f>L9+470</f>
        <v>470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0.52604166666666674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25892</v>
      </c>
      <c r="K10" s="15">
        <f>L10+19272+24844+16004+13948+24828+23236+25072+24900+25224+24840</f>
        <v>248060</v>
      </c>
      <c r="L10" s="15">
        <f>3347*4+3126*4</f>
        <v>25892</v>
      </c>
      <c r="M10" s="15">
        <f t="shared" si="0"/>
        <v>25892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0.52604166666666674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122</v>
      </c>
      <c r="D11" s="52"/>
      <c r="E11" s="53" t="s">
        <v>158</v>
      </c>
      <c r="F11" s="30" t="s">
        <v>155</v>
      </c>
      <c r="G11" s="33">
        <v>1</v>
      </c>
      <c r="H11" s="35">
        <v>24</v>
      </c>
      <c r="I11" s="7">
        <v>20000</v>
      </c>
      <c r="J11" s="14">
        <v>5143</v>
      </c>
      <c r="K11" s="15">
        <f>L11+1837+2816+1326+2915+5354+5257+5385+5310</f>
        <v>35343</v>
      </c>
      <c r="L11" s="15">
        <f>2466+2677</f>
        <v>5143</v>
      </c>
      <c r="M11" s="15">
        <f t="shared" si="0"/>
        <v>5143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0.52604166666666674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122</v>
      </c>
      <c r="D12" s="52" t="s">
        <v>115</v>
      </c>
      <c r="E12" s="53" t="s">
        <v>260</v>
      </c>
      <c r="F12" s="30" t="s">
        <v>272</v>
      </c>
      <c r="G12" s="33">
        <v>1</v>
      </c>
      <c r="H12" s="35">
        <v>24</v>
      </c>
      <c r="I12" s="7">
        <v>12000</v>
      </c>
      <c r="J12" s="14">
        <v>4211</v>
      </c>
      <c r="K12" s="15">
        <f>L12</f>
        <v>4211</v>
      </c>
      <c r="L12" s="15">
        <f>1925+2286</f>
        <v>4211</v>
      </c>
      <c r="M12" s="15">
        <f t="shared" si="0"/>
        <v>4211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/>
      <c r="T12" s="16">
        <v>2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9"/>
        <v>0.91666666666666663</v>
      </c>
      <c r="AE12" s="36">
        <f t="shared" si="7"/>
        <v>0.52604166666666674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259</v>
      </c>
      <c r="F13" s="30" t="s">
        <v>266</v>
      </c>
      <c r="G13" s="33">
        <v>1</v>
      </c>
      <c r="H13" s="35">
        <v>24</v>
      </c>
      <c r="I13" s="7">
        <v>200</v>
      </c>
      <c r="J13" s="5">
        <v>334</v>
      </c>
      <c r="K13" s="15">
        <f>L13</f>
        <v>334</v>
      </c>
      <c r="L13" s="15">
        <f>204+130</f>
        <v>334</v>
      </c>
      <c r="M13" s="15">
        <f t="shared" si="0"/>
        <v>334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>AC13*AB13*(1-O13)</f>
        <v>0.25</v>
      </c>
      <c r="AE13" s="36">
        <f t="shared" si="7"/>
        <v>0.52604166666666674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120</v>
      </c>
      <c r="D14" s="52"/>
      <c r="E14" s="53" t="s">
        <v>225</v>
      </c>
      <c r="F14" s="30" t="s">
        <v>123</v>
      </c>
      <c r="G14" s="33" t="s">
        <v>242</v>
      </c>
      <c r="H14" s="35">
        <v>24</v>
      </c>
      <c r="I14" s="7">
        <v>3000</v>
      </c>
      <c r="J14" s="5">
        <v>2920</v>
      </c>
      <c r="K14" s="15">
        <f>L14+2920</f>
        <v>2920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0.52604166666666674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L15+2236+873+2158+5230+5277+5226+625+4849+5260+1328</f>
        <v>33062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0.52604166666666674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0.52604166666666674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0.52604166666666674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137</v>
      </c>
      <c r="E18" s="53" t="s">
        <v>258</v>
      </c>
      <c r="F18" s="30" t="s">
        <v>243</v>
      </c>
      <c r="G18" s="33">
        <v>1</v>
      </c>
      <c r="H18" s="35">
        <v>24</v>
      </c>
      <c r="I18" s="7">
        <v>500</v>
      </c>
      <c r="J18" s="14">
        <v>3125</v>
      </c>
      <c r="K18" s="15">
        <f>L18</f>
        <v>3125</v>
      </c>
      <c r="L18" s="15">
        <f>2634+491</f>
        <v>3125</v>
      </c>
      <c r="M18" s="15">
        <f t="shared" si="0"/>
        <v>3125</v>
      </c>
      <c r="N18" s="15">
        <v>0</v>
      </c>
      <c r="O18" s="58">
        <f t="shared" si="1"/>
        <v>0</v>
      </c>
      <c r="P18" s="39">
        <f t="shared" si="2"/>
        <v>16</v>
      </c>
      <c r="Q18" s="40">
        <f t="shared" si="3"/>
        <v>8</v>
      </c>
      <c r="R18" s="7"/>
      <c r="S18" s="6"/>
      <c r="T18" s="16"/>
      <c r="U18" s="16"/>
      <c r="V18" s="17"/>
      <c r="W18" s="5">
        <v>8</v>
      </c>
      <c r="X18" s="16"/>
      <c r="Y18" s="16"/>
      <c r="Z18" s="16"/>
      <c r="AA18" s="18"/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6">
        <f t="shared" si="7"/>
        <v>0.52604166666666674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145</v>
      </c>
      <c r="E19" s="53" t="s">
        <v>161</v>
      </c>
      <c r="F19" s="30" t="s">
        <v>147</v>
      </c>
      <c r="G19" s="33">
        <v>1</v>
      </c>
      <c r="H19" s="35">
        <v>24</v>
      </c>
      <c r="I19" s="7">
        <v>33000</v>
      </c>
      <c r="J19" s="14">
        <v>5673</v>
      </c>
      <c r="K19" s="15">
        <f>L19+2330+2075+3595+5570+5525+5598+5509</f>
        <v>35875</v>
      </c>
      <c r="L19" s="15">
        <f>2772+2901</f>
        <v>5673</v>
      </c>
      <c r="M19" s="15">
        <f t="shared" si="0"/>
        <v>5673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0.52604166666666674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142</v>
      </c>
      <c r="F20" s="30" t="s">
        <v>123</v>
      </c>
      <c r="G20" s="12">
        <v>4</v>
      </c>
      <c r="H20" s="13">
        <v>28</v>
      </c>
      <c r="I20" s="31">
        <v>561000</v>
      </c>
      <c r="J20" s="5">
        <v>22844</v>
      </c>
      <c r="K20" s="15">
        <f>L20+14284+8352+12576+8310+15524+17860+22424+23088+2420+23364</f>
        <v>171046</v>
      </c>
      <c r="L20" s="15">
        <f>2623*4+3088*4</f>
        <v>22844</v>
      </c>
      <c r="M20" s="15">
        <f t="shared" si="0"/>
        <v>22844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0.52604166666666674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32268</v>
      </c>
      <c r="K21" s="15">
        <f>L21+17656+21428+32268</f>
        <v>71352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0.52604166666666674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2432320</v>
      </c>
      <c r="J22" s="19">
        <f t="shared" si="10"/>
        <v>143383</v>
      </c>
      <c r="K22" s="20">
        <f t="shared" si="10"/>
        <v>1140643</v>
      </c>
      <c r="L22" s="21">
        <f t="shared" si="10"/>
        <v>105502</v>
      </c>
      <c r="M22" s="20">
        <f t="shared" si="10"/>
        <v>105502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202</v>
      </c>
      <c r="Q22" s="43">
        <f t="shared" si="11"/>
        <v>182</v>
      </c>
      <c r="R22" s="23">
        <f t="shared" si="11"/>
        <v>24</v>
      </c>
      <c r="S22" s="24">
        <f t="shared" si="11"/>
        <v>3</v>
      </c>
      <c r="T22" s="24">
        <f t="shared" si="11"/>
        <v>2</v>
      </c>
      <c r="U22" s="24">
        <f t="shared" si="11"/>
        <v>0</v>
      </c>
      <c r="V22" s="25">
        <f t="shared" si="11"/>
        <v>24</v>
      </c>
      <c r="W22" s="26">
        <f t="shared" si="11"/>
        <v>81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0.625</v>
      </c>
      <c r="AC22" s="4">
        <f>AVERAGE(AC6:AC21)</f>
        <v>0.52604166666666674</v>
      </c>
      <c r="AD22" s="4">
        <f>AVERAGE(AD6:AD21)</f>
        <v>0.52604166666666674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273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278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164" t="s">
        <v>46</v>
      </c>
      <c r="D51" s="164" t="s">
        <v>47</v>
      </c>
      <c r="E51" s="164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164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112</v>
      </c>
      <c r="B52" s="509"/>
      <c r="C52" s="165" t="s">
        <v>174</v>
      </c>
      <c r="D52" s="165" t="s">
        <v>128</v>
      </c>
      <c r="E52" s="167" t="s">
        <v>203</v>
      </c>
      <c r="F52" s="496" t="s">
        <v>274</v>
      </c>
      <c r="G52" s="497"/>
      <c r="H52" s="497"/>
      <c r="I52" s="497"/>
      <c r="J52" s="497"/>
      <c r="K52" s="497"/>
      <c r="L52" s="497"/>
      <c r="M52" s="498"/>
      <c r="N52" s="166" t="s">
        <v>112</v>
      </c>
      <c r="O52" s="172" t="s">
        <v>174</v>
      </c>
      <c r="P52" s="510" t="s">
        <v>128</v>
      </c>
      <c r="Q52" s="511"/>
      <c r="R52" s="510" t="s">
        <v>203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122</v>
      </c>
      <c r="B53" s="509"/>
      <c r="C53" s="165" t="s">
        <v>149</v>
      </c>
      <c r="D53" s="165" t="s">
        <v>115</v>
      </c>
      <c r="E53" s="167" t="s">
        <v>260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166" t="s">
        <v>119</v>
      </c>
      <c r="O53" s="172" t="s">
        <v>280</v>
      </c>
      <c r="P53" s="510" t="s">
        <v>281</v>
      </c>
      <c r="Q53" s="511"/>
      <c r="R53" s="510" t="s">
        <v>279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112</v>
      </c>
      <c r="B54" s="495"/>
      <c r="C54" s="167" t="s">
        <v>177</v>
      </c>
      <c r="D54" s="167" t="s">
        <v>115</v>
      </c>
      <c r="E54" s="167" t="s">
        <v>259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166" t="s">
        <v>119</v>
      </c>
      <c r="O54" s="172" t="s">
        <v>177</v>
      </c>
      <c r="P54" s="510" t="s">
        <v>145</v>
      </c>
      <c r="Q54" s="511"/>
      <c r="R54" s="510" t="s">
        <v>282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112</v>
      </c>
      <c r="B55" s="509"/>
      <c r="C55" s="165" t="s">
        <v>187</v>
      </c>
      <c r="D55" s="165" t="s">
        <v>137</v>
      </c>
      <c r="E55" s="167" t="s">
        <v>258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166" t="s">
        <v>122</v>
      </c>
      <c r="O55" s="172" t="s">
        <v>181</v>
      </c>
      <c r="P55" s="510"/>
      <c r="Q55" s="511"/>
      <c r="R55" s="510" t="s">
        <v>221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120</v>
      </c>
      <c r="B56" s="509"/>
      <c r="C56" s="165" t="s">
        <v>277</v>
      </c>
      <c r="D56" s="165" t="s">
        <v>115</v>
      </c>
      <c r="E56" s="167" t="s">
        <v>275</v>
      </c>
      <c r="F56" s="496" t="s">
        <v>276</v>
      </c>
      <c r="G56" s="497"/>
      <c r="H56" s="497"/>
      <c r="I56" s="497"/>
      <c r="J56" s="497"/>
      <c r="K56" s="497"/>
      <c r="L56" s="497"/>
      <c r="M56" s="498"/>
      <c r="N56" s="166" t="s">
        <v>112</v>
      </c>
      <c r="O56" s="172" t="s">
        <v>224</v>
      </c>
      <c r="P56" s="510" t="s">
        <v>115</v>
      </c>
      <c r="Q56" s="511"/>
      <c r="R56" s="510" t="s">
        <v>283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167"/>
      <c r="D57" s="167"/>
      <c r="E57" s="167"/>
      <c r="F57" s="496"/>
      <c r="G57" s="497"/>
      <c r="H57" s="497"/>
      <c r="I57" s="497"/>
      <c r="J57" s="497"/>
      <c r="K57" s="497"/>
      <c r="L57" s="497"/>
      <c r="M57" s="498"/>
      <c r="N57" s="166"/>
      <c r="O57" s="172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165"/>
      <c r="D58" s="165"/>
      <c r="E58" s="167"/>
      <c r="F58" s="496"/>
      <c r="G58" s="497"/>
      <c r="H58" s="497"/>
      <c r="I58" s="497"/>
      <c r="J58" s="497"/>
      <c r="K58" s="497"/>
      <c r="L58" s="497"/>
      <c r="M58" s="498"/>
      <c r="N58" s="166"/>
      <c r="O58" s="172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165"/>
      <c r="D59" s="165"/>
      <c r="E59" s="167"/>
      <c r="F59" s="496"/>
      <c r="G59" s="497"/>
      <c r="H59" s="497"/>
      <c r="I59" s="497"/>
      <c r="J59" s="497"/>
      <c r="K59" s="497"/>
      <c r="L59" s="497"/>
      <c r="M59" s="498"/>
      <c r="N59" s="166"/>
      <c r="O59" s="172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167"/>
      <c r="D60" s="167"/>
      <c r="E60" s="167"/>
      <c r="F60" s="496"/>
      <c r="G60" s="497"/>
      <c r="H60" s="497"/>
      <c r="I60" s="497"/>
      <c r="J60" s="497"/>
      <c r="K60" s="497"/>
      <c r="L60" s="497"/>
      <c r="M60" s="498"/>
      <c r="N60" s="166"/>
      <c r="O60" s="172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168"/>
      <c r="D61" s="169"/>
      <c r="E61" s="169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284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170" t="s">
        <v>2</v>
      </c>
      <c r="D63" s="170" t="s">
        <v>37</v>
      </c>
      <c r="E63" s="170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170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174"/>
      <c r="E64" s="171" t="s">
        <v>285</v>
      </c>
      <c r="F64" s="481" t="s">
        <v>286</v>
      </c>
      <c r="G64" s="482"/>
      <c r="H64" s="482"/>
      <c r="I64" s="482"/>
      <c r="J64" s="483"/>
      <c r="K64" s="469" t="s">
        <v>287</v>
      </c>
      <c r="L64" s="469"/>
      <c r="M64" s="51" t="s">
        <v>236</v>
      </c>
      <c r="N64" s="478" t="s">
        <v>184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174"/>
      <c r="E65" s="171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174"/>
      <c r="E66" s="171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174"/>
      <c r="E67" s="171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174"/>
      <c r="E68" s="171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174"/>
      <c r="E69" s="171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174"/>
      <c r="E70" s="171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174"/>
      <c r="E71" s="171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174"/>
      <c r="E72" s="171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174"/>
      <c r="E73" s="171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288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173" t="s">
        <v>2</v>
      </c>
      <c r="D75" s="173" t="s">
        <v>37</v>
      </c>
      <c r="E75" s="173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175" t="s">
        <v>112</v>
      </c>
      <c r="D76" s="175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174"/>
      <c r="D77" s="174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174"/>
      <c r="D78" s="174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174"/>
      <c r="D79" s="174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174"/>
      <c r="D80" s="174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174"/>
      <c r="D81" s="174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174"/>
      <c r="D82" s="174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289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C827-105D-4F63-A945-9D058FFA9D06}">
  <dimension ref="A1:AF87"/>
  <sheetViews>
    <sheetView view="pageBreakPreview" zoomScale="70" zoomScaleNormal="72" zoomScaleSheetLayoutView="70" workbookViewId="0">
      <selection activeCell="F76" sqref="F76:J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290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188" t="s">
        <v>17</v>
      </c>
      <c r="L5" s="188" t="s">
        <v>18</v>
      </c>
      <c r="M5" s="188" t="s">
        <v>19</v>
      </c>
      <c r="N5" s="18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128</v>
      </c>
      <c r="E6" s="53" t="s">
        <v>159</v>
      </c>
      <c r="F6" s="12" t="s">
        <v>127</v>
      </c>
      <c r="G6" s="12">
        <v>1</v>
      </c>
      <c r="H6" s="13">
        <v>24</v>
      </c>
      <c r="I6" s="31">
        <v>800</v>
      </c>
      <c r="J6" s="14">
        <v>2240</v>
      </c>
      <c r="K6" s="15">
        <f>L6</f>
        <v>2240</v>
      </c>
      <c r="L6" s="15">
        <f>1423+817</f>
        <v>2240</v>
      </c>
      <c r="M6" s="15">
        <f t="shared" ref="M6:M21" si="0">L6-N6</f>
        <v>2240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12</v>
      </c>
      <c r="Q6" s="40">
        <f t="shared" ref="Q6:Q21" si="3">SUM(R6:AA6)</f>
        <v>12</v>
      </c>
      <c r="R6" s="7"/>
      <c r="S6" s="6"/>
      <c r="T6" s="16">
        <v>12</v>
      </c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</v>
      </c>
      <c r="AD6" s="10">
        <f t="shared" ref="AD6:AD21" si="6">AC6*AB6*(1-O6)</f>
        <v>0.5</v>
      </c>
      <c r="AE6" s="36">
        <f t="shared" ref="AE6:AE21" si="7">$AD$22</f>
        <v>0.55989583333333337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128</v>
      </c>
      <c r="E7" s="53" t="s">
        <v>203</v>
      </c>
      <c r="F7" s="12">
        <v>8301</v>
      </c>
      <c r="G7" s="12">
        <v>2</v>
      </c>
      <c r="H7" s="13">
        <v>24</v>
      </c>
      <c r="I7" s="31">
        <v>30000</v>
      </c>
      <c r="J7" s="14">
        <v>4975</v>
      </c>
      <c r="K7" s="15">
        <f>L7+9996+10738+9482</f>
        <v>35191</v>
      </c>
      <c r="L7" s="15">
        <f>570*2+604*2+2627</f>
        <v>4975</v>
      </c>
      <c r="M7" s="15">
        <f t="shared" si="0"/>
        <v>4975</v>
      </c>
      <c r="N7" s="15">
        <v>0</v>
      </c>
      <c r="O7" s="58">
        <f t="shared" si="1"/>
        <v>0</v>
      </c>
      <c r="P7" s="39">
        <f t="shared" si="2"/>
        <v>20</v>
      </c>
      <c r="Q7" s="40">
        <f t="shared" si="3"/>
        <v>4</v>
      </c>
      <c r="R7" s="7"/>
      <c r="S7" s="6">
        <v>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6">
        <f t="shared" si="7"/>
        <v>0.55989583333333337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24068</v>
      </c>
      <c r="K8" s="15">
        <f>L8+8404+12360+9142+12426+5790+11544+12480+12502+12376+12380+22896+24720+24328+24256+11504+24084+22712+24032+23532+20768+23268+23880+22096+24340+10412+14832+23872+25696</f>
        <v>524700</v>
      </c>
      <c r="L8" s="15">
        <f>3270*4+2747*4</f>
        <v>24068</v>
      </c>
      <c r="M8" s="15">
        <f t="shared" si="0"/>
        <v>24068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0.55989583333333337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221</v>
      </c>
      <c r="F9" s="30" t="s">
        <v>118</v>
      </c>
      <c r="G9" s="33">
        <v>1</v>
      </c>
      <c r="H9" s="35">
        <v>24</v>
      </c>
      <c r="I9" s="7">
        <v>12000</v>
      </c>
      <c r="J9" s="14">
        <v>4109</v>
      </c>
      <c r="K9" s="15">
        <f>L9</f>
        <v>4109</v>
      </c>
      <c r="L9" s="15">
        <f>1479+2630</f>
        <v>4109</v>
      </c>
      <c r="M9" s="15">
        <f t="shared" si="0"/>
        <v>4109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/>
      <c r="T9" s="16">
        <v>3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0.55989583333333337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24064</v>
      </c>
      <c r="K10" s="15">
        <f>L10+19272+24844+16004+13948+24828+23236+25072+24900+25224+24840+25892</f>
        <v>272124</v>
      </c>
      <c r="L10" s="15">
        <f>3282*4+2734*4</f>
        <v>24064</v>
      </c>
      <c r="M10" s="15">
        <f t="shared" si="0"/>
        <v>24064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0.55989583333333337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291</v>
      </c>
      <c r="E11" s="53" t="s">
        <v>292</v>
      </c>
      <c r="F11" s="30" t="s">
        <v>293</v>
      </c>
      <c r="G11" s="33" t="s">
        <v>242</v>
      </c>
      <c r="H11" s="35">
        <v>24</v>
      </c>
      <c r="I11" s="7">
        <v>2000</v>
      </c>
      <c r="J11" s="14">
        <v>9984</v>
      </c>
      <c r="K11" s="15">
        <f>L11</f>
        <v>9984</v>
      </c>
      <c r="L11" s="15">
        <f>2370*2+2622*2</f>
        <v>9984</v>
      </c>
      <c r="M11" s="15">
        <f t="shared" si="0"/>
        <v>9984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ref="AD11:AD14" si="9">AC11*AB11*(1-O11)</f>
        <v>0.95833333333333337</v>
      </c>
      <c r="AE11" s="36">
        <f t="shared" si="7"/>
        <v>0.55989583333333337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122</v>
      </c>
      <c r="D12" s="52" t="s">
        <v>115</v>
      </c>
      <c r="E12" s="53" t="s">
        <v>260</v>
      </c>
      <c r="F12" s="30" t="s">
        <v>272</v>
      </c>
      <c r="G12" s="33">
        <v>1</v>
      </c>
      <c r="H12" s="35">
        <v>24</v>
      </c>
      <c r="I12" s="7">
        <v>12000</v>
      </c>
      <c r="J12" s="14">
        <v>4764</v>
      </c>
      <c r="K12" s="15">
        <f>L12+4211</f>
        <v>8975</v>
      </c>
      <c r="L12" s="15">
        <f>2664+2100</f>
        <v>4764</v>
      </c>
      <c r="M12" s="15">
        <f t="shared" si="0"/>
        <v>4764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0.55989583333333337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119</v>
      </c>
      <c r="D13" s="52" t="s">
        <v>145</v>
      </c>
      <c r="E13" s="53" t="s">
        <v>282</v>
      </c>
      <c r="F13" s="30" t="s">
        <v>147</v>
      </c>
      <c r="G13" s="33">
        <v>1</v>
      </c>
      <c r="H13" s="35">
        <v>24</v>
      </c>
      <c r="I13" s="7">
        <v>10000</v>
      </c>
      <c r="J13" s="5">
        <v>4862</v>
      </c>
      <c r="K13" s="15">
        <f>L13</f>
        <v>4862</v>
      </c>
      <c r="L13" s="15">
        <f>2180+2682</f>
        <v>4862</v>
      </c>
      <c r="M13" s="15">
        <f t="shared" si="0"/>
        <v>4862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0.55989583333333337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283</v>
      </c>
      <c r="F14" s="30" t="s">
        <v>129</v>
      </c>
      <c r="G14" s="33">
        <v>1</v>
      </c>
      <c r="H14" s="35">
        <v>60</v>
      </c>
      <c r="I14" s="7">
        <v>300</v>
      </c>
      <c r="J14" s="5">
        <v>2920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0.55989583333333337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L15+2236+873+2158+5230+5277+5226+625+4849+5260+1328</f>
        <v>33062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0.55989583333333337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0.55989583333333337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0.55989583333333337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137</v>
      </c>
      <c r="E18" s="53" t="s">
        <v>258</v>
      </c>
      <c r="F18" s="30" t="s">
        <v>243</v>
      </c>
      <c r="G18" s="33">
        <v>1</v>
      </c>
      <c r="H18" s="35">
        <v>24</v>
      </c>
      <c r="I18" s="7">
        <v>500</v>
      </c>
      <c r="J18" s="14">
        <v>3125</v>
      </c>
      <c r="K18" s="15">
        <f>L18+3125</f>
        <v>3125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0.55989583333333337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145</v>
      </c>
      <c r="E19" s="53" t="s">
        <v>161</v>
      </c>
      <c r="F19" s="30" t="s">
        <v>147</v>
      </c>
      <c r="G19" s="33">
        <v>1</v>
      </c>
      <c r="H19" s="35">
        <v>24</v>
      </c>
      <c r="I19" s="7">
        <v>33000</v>
      </c>
      <c r="J19" s="14">
        <v>4422</v>
      </c>
      <c r="K19" s="15">
        <f>L19+2330+2075+3595+5570+5525+5598+5509+5673</f>
        <v>40297</v>
      </c>
      <c r="L19" s="15">
        <f>2863+1559</f>
        <v>4422</v>
      </c>
      <c r="M19" s="15">
        <f t="shared" si="0"/>
        <v>4422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0.55989583333333337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142</v>
      </c>
      <c r="F20" s="30" t="s">
        <v>123</v>
      </c>
      <c r="G20" s="12">
        <v>4</v>
      </c>
      <c r="H20" s="13">
        <v>28</v>
      </c>
      <c r="I20" s="31">
        <v>561000</v>
      </c>
      <c r="J20" s="5">
        <v>15980</v>
      </c>
      <c r="K20" s="15">
        <f>L20+14284+8352+12576+8310+15524+17860+22424+23088+2420+23364+22844</f>
        <v>187026</v>
      </c>
      <c r="L20" s="15">
        <f>2991*4+1004*4</f>
        <v>15980</v>
      </c>
      <c r="M20" s="15">
        <f t="shared" si="0"/>
        <v>15980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6">
        <f t="shared" si="7"/>
        <v>0.55989583333333337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13436</v>
      </c>
      <c r="K21" s="15">
        <f>L21+17656+21428+32268</f>
        <v>84788</v>
      </c>
      <c r="L21" s="15">
        <f>3359*4</f>
        <v>13436</v>
      </c>
      <c r="M21" s="15">
        <f t="shared" si="0"/>
        <v>13436</v>
      </c>
      <c r="N21" s="15">
        <v>0</v>
      </c>
      <c r="O21" s="58">
        <f t="shared" si="1"/>
        <v>0</v>
      </c>
      <c r="P21" s="39">
        <f t="shared" si="2"/>
        <v>7</v>
      </c>
      <c r="Q21" s="40">
        <f t="shared" si="3"/>
        <v>17</v>
      </c>
      <c r="R21" s="7"/>
      <c r="S21" s="6">
        <v>17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0.29166666666666669</v>
      </c>
      <c r="AD21" s="10">
        <f t="shared" si="6"/>
        <v>0.29166666666666669</v>
      </c>
      <c r="AE21" s="36">
        <f t="shared" si="7"/>
        <v>0.55989583333333337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2432410</v>
      </c>
      <c r="J22" s="19">
        <f t="shared" si="10"/>
        <v>121172</v>
      </c>
      <c r="K22" s="20">
        <f t="shared" si="10"/>
        <v>1211378</v>
      </c>
      <c r="L22" s="21">
        <f t="shared" si="10"/>
        <v>112904</v>
      </c>
      <c r="M22" s="20">
        <f t="shared" si="10"/>
        <v>112904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215</v>
      </c>
      <c r="Q22" s="43">
        <f t="shared" si="11"/>
        <v>169</v>
      </c>
      <c r="R22" s="23">
        <f t="shared" si="11"/>
        <v>24</v>
      </c>
      <c r="S22" s="24">
        <f t="shared" si="11"/>
        <v>57</v>
      </c>
      <c r="T22" s="24">
        <f t="shared" si="11"/>
        <v>16</v>
      </c>
      <c r="U22" s="24">
        <f t="shared" si="11"/>
        <v>0</v>
      </c>
      <c r="V22" s="25">
        <f t="shared" si="11"/>
        <v>0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0.6875</v>
      </c>
      <c r="AC22" s="4">
        <f>AVERAGE(AC6:AC21)</f>
        <v>0.55989583333333337</v>
      </c>
      <c r="AD22" s="4">
        <f>AVERAGE(AD6:AD21)</f>
        <v>0.55989583333333337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294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298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187" t="s">
        <v>46</v>
      </c>
      <c r="D51" s="187" t="s">
        <v>47</v>
      </c>
      <c r="E51" s="187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187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112</v>
      </c>
      <c r="B52" s="509"/>
      <c r="C52" s="186" t="s">
        <v>174</v>
      </c>
      <c r="D52" s="186" t="s">
        <v>128</v>
      </c>
      <c r="E52" s="183" t="s">
        <v>203</v>
      </c>
      <c r="F52" s="496" t="s">
        <v>295</v>
      </c>
      <c r="G52" s="497"/>
      <c r="H52" s="497"/>
      <c r="I52" s="497"/>
      <c r="J52" s="497"/>
      <c r="K52" s="497"/>
      <c r="L52" s="497"/>
      <c r="M52" s="498"/>
      <c r="N52" s="182" t="s">
        <v>112</v>
      </c>
      <c r="O52" s="180" t="s">
        <v>174</v>
      </c>
      <c r="P52" s="510" t="s">
        <v>128</v>
      </c>
      <c r="Q52" s="511"/>
      <c r="R52" s="510" t="s">
        <v>203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122</v>
      </c>
      <c r="B53" s="509"/>
      <c r="C53" s="186" t="s">
        <v>181</v>
      </c>
      <c r="D53" s="186"/>
      <c r="E53" s="183" t="s">
        <v>221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182" t="s">
        <v>122</v>
      </c>
      <c r="O53" s="180" t="s">
        <v>149</v>
      </c>
      <c r="P53" s="510"/>
      <c r="Q53" s="511"/>
      <c r="R53" s="510" t="s">
        <v>260</v>
      </c>
      <c r="S53" s="512"/>
      <c r="T53" s="512"/>
      <c r="U53" s="511"/>
      <c r="V53" s="480" t="s">
        <v>296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119</v>
      </c>
      <c r="B54" s="495"/>
      <c r="C54" s="183" t="s">
        <v>177</v>
      </c>
      <c r="D54" s="183" t="s">
        <v>145</v>
      </c>
      <c r="E54" s="183" t="s">
        <v>282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182" t="s">
        <v>112</v>
      </c>
      <c r="O54" s="180" t="s">
        <v>224</v>
      </c>
      <c r="P54" s="510" t="s">
        <v>115</v>
      </c>
      <c r="Q54" s="511"/>
      <c r="R54" s="510" t="s">
        <v>283</v>
      </c>
      <c r="S54" s="512"/>
      <c r="T54" s="512"/>
      <c r="U54" s="511"/>
      <c r="V54" s="480" t="s">
        <v>139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112</v>
      </c>
      <c r="B55" s="509"/>
      <c r="C55" s="186" t="s">
        <v>200</v>
      </c>
      <c r="D55" s="186" t="s">
        <v>128</v>
      </c>
      <c r="E55" s="183" t="s">
        <v>159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182"/>
      <c r="O55" s="180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120</v>
      </c>
      <c r="B56" s="509"/>
      <c r="C56" s="186" t="s">
        <v>277</v>
      </c>
      <c r="D56" s="186" t="s">
        <v>115</v>
      </c>
      <c r="E56" s="183" t="s">
        <v>275</v>
      </c>
      <c r="F56" s="496" t="s">
        <v>296</v>
      </c>
      <c r="G56" s="497"/>
      <c r="H56" s="497"/>
      <c r="I56" s="497"/>
      <c r="J56" s="497"/>
      <c r="K56" s="497"/>
      <c r="L56" s="497"/>
      <c r="M56" s="498"/>
      <c r="N56" s="182"/>
      <c r="O56" s="180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112</v>
      </c>
      <c r="B57" s="495"/>
      <c r="C57" s="183" t="s">
        <v>224</v>
      </c>
      <c r="D57" s="183" t="s">
        <v>115</v>
      </c>
      <c r="E57" s="183" t="s">
        <v>283</v>
      </c>
      <c r="F57" s="496" t="s">
        <v>297</v>
      </c>
      <c r="G57" s="497"/>
      <c r="H57" s="497"/>
      <c r="I57" s="497"/>
      <c r="J57" s="497"/>
      <c r="K57" s="497"/>
      <c r="L57" s="497"/>
      <c r="M57" s="498"/>
      <c r="N57" s="182"/>
      <c r="O57" s="180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186"/>
      <c r="D58" s="186"/>
      <c r="E58" s="183"/>
      <c r="F58" s="496"/>
      <c r="G58" s="497"/>
      <c r="H58" s="497"/>
      <c r="I58" s="497"/>
      <c r="J58" s="497"/>
      <c r="K58" s="497"/>
      <c r="L58" s="497"/>
      <c r="M58" s="498"/>
      <c r="N58" s="182"/>
      <c r="O58" s="180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186"/>
      <c r="D59" s="186"/>
      <c r="E59" s="183"/>
      <c r="F59" s="496"/>
      <c r="G59" s="497"/>
      <c r="H59" s="497"/>
      <c r="I59" s="497"/>
      <c r="J59" s="497"/>
      <c r="K59" s="497"/>
      <c r="L59" s="497"/>
      <c r="M59" s="498"/>
      <c r="N59" s="182"/>
      <c r="O59" s="180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183"/>
      <c r="D60" s="183"/>
      <c r="E60" s="183"/>
      <c r="F60" s="496"/>
      <c r="G60" s="497"/>
      <c r="H60" s="497"/>
      <c r="I60" s="497"/>
      <c r="J60" s="497"/>
      <c r="K60" s="497"/>
      <c r="L60" s="497"/>
      <c r="M60" s="498"/>
      <c r="N60" s="182"/>
      <c r="O60" s="180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184"/>
      <c r="D61" s="185"/>
      <c r="E61" s="185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299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181" t="s">
        <v>2</v>
      </c>
      <c r="D63" s="181" t="s">
        <v>37</v>
      </c>
      <c r="E63" s="181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181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176"/>
      <c r="E64" s="179" t="s">
        <v>115</v>
      </c>
      <c r="F64" s="481" t="s">
        <v>300</v>
      </c>
      <c r="G64" s="482"/>
      <c r="H64" s="482"/>
      <c r="I64" s="482"/>
      <c r="J64" s="483"/>
      <c r="K64" s="469" t="s">
        <v>118</v>
      </c>
      <c r="L64" s="469"/>
      <c r="M64" s="51" t="s">
        <v>140</v>
      </c>
      <c r="N64" s="478" t="s">
        <v>187</v>
      </c>
      <c r="O64" s="478"/>
      <c r="P64" s="479"/>
      <c r="Q64" s="479"/>
      <c r="R64" s="480" t="s">
        <v>301</v>
      </c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176"/>
      <c r="E65" s="179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176"/>
      <c r="E66" s="179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176"/>
      <c r="E67" s="179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176"/>
      <c r="E68" s="179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176"/>
      <c r="E69" s="179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176"/>
      <c r="E70" s="179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176"/>
      <c r="E71" s="179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176"/>
      <c r="E72" s="179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176"/>
      <c r="E73" s="179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302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178" t="s">
        <v>2</v>
      </c>
      <c r="D75" s="178" t="s">
        <v>37</v>
      </c>
      <c r="E75" s="178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177" t="s">
        <v>112</v>
      </c>
      <c r="D76" s="177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176"/>
      <c r="D77" s="176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176"/>
      <c r="D78" s="176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176"/>
      <c r="D79" s="176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176"/>
      <c r="D80" s="176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176"/>
      <c r="D81" s="176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176"/>
      <c r="D82" s="176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303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CFBC-835A-4B79-8E21-85E9A4B97252}">
  <dimension ref="A1:AF88"/>
  <sheetViews>
    <sheetView view="pageBreakPreview" topLeftCell="A67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304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189" t="s">
        <v>17</v>
      </c>
      <c r="L5" s="189" t="s">
        <v>18</v>
      </c>
      <c r="M5" s="189" t="s">
        <v>19</v>
      </c>
      <c r="N5" s="1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128</v>
      </c>
      <c r="E6" s="53" t="s">
        <v>159</v>
      </c>
      <c r="F6" s="12" t="s">
        <v>127</v>
      </c>
      <c r="G6" s="12">
        <v>1</v>
      </c>
      <c r="H6" s="13">
        <v>24</v>
      </c>
      <c r="I6" s="31">
        <v>800</v>
      </c>
      <c r="J6" s="14">
        <v>2240</v>
      </c>
      <c r="K6" s="15">
        <f>L6+2240</f>
        <v>2240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0.40196078431372551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128</v>
      </c>
      <c r="E7" s="53" t="s">
        <v>203</v>
      </c>
      <c r="F7" s="12">
        <v>8301</v>
      </c>
      <c r="G7" s="12">
        <v>2</v>
      </c>
      <c r="H7" s="13">
        <v>24</v>
      </c>
      <c r="I7" s="31">
        <v>30000</v>
      </c>
      <c r="J7" s="14">
        <v>4975</v>
      </c>
      <c r="K7" s="15">
        <f>L7+9996+10738+9482+4975</f>
        <v>35191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0.40196078431372551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24616</v>
      </c>
      <c r="K8" s="15">
        <f>L8+8404+12360+9142+12426+5790+11544+12480+12502+12376+12380+22896+24720+24328+24256+11504+24084+22712+24032+23532+20768+23268+23880+22096+24340+10412+14832+23872+25696+24068</f>
        <v>549316</v>
      </c>
      <c r="L8" s="15">
        <f>3261*4+2893*4</f>
        <v>24616</v>
      </c>
      <c r="M8" s="15">
        <f t="shared" si="0"/>
        <v>24616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0.40196078431372551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221</v>
      </c>
      <c r="F9" s="30" t="s">
        <v>118</v>
      </c>
      <c r="G9" s="33">
        <v>1</v>
      </c>
      <c r="H9" s="35">
        <v>24</v>
      </c>
      <c r="I9" s="7">
        <v>12000</v>
      </c>
      <c r="J9" s="14">
        <v>4459</v>
      </c>
      <c r="K9" s="15">
        <f>L9+4109</f>
        <v>8568</v>
      </c>
      <c r="L9" s="15">
        <f>1869+2590</f>
        <v>4459</v>
      </c>
      <c r="M9" s="15">
        <f t="shared" si="0"/>
        <v>4459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>
        <v>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0.40196078431372551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24888</v>
      </c>
      <c r="K10" s="15">
        <f>L10+19272+24844+16004+13948+24828+23236+25072+24900+25224+24840+25892+24064</f>
        <v>297012</v>
      </c>
      <c r="L10" s="15">
        <f>3277*4+2945*4</f>
        <v>24888</v>
      </c>
      <c r="M10" s="15">
        <f t="shared" si="0"/>
        <v>24888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0.40196078431372551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138</v>
      </c>
      <c r="F11" s="30" t="s">
        <v>123</v>
      </c>
      <c r="G11" s="33">
        <v>2</v>
      </c>
      <c r="H11" s="35">
        <v>24</v>
      </c>
      <c r="I11" s="7">
        <v>22000</v>
      </c>
      <c r="J11" s="14">
        <v>7656</v>
      </c>
      <c r="K11" s="15">
        <f>L11</f>
        <v>7656</v>
      </c>
      <c r="L11" s="15">
        <f>727*2+3101*2</f>
        <v>7656</v>
      </c>
      <c r="M11" s="15">
        <f t="shared" si="0"/>
        <v>7656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8</v>
      </c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0.40196078431372551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122</v>
      </c>
      <c r="D12" s="52" t="s">
        <v>115</v>
      </c>
      <c r="E12" s="53" t="s">
        <v>260</v>
      </c>
      <c r="F12" s="30" t="s">
        <v>272</v>
      </c>
      <c r="G12" s="33">
        <v>1</v>
      </c>
      <c r="H12" s="35">
        <v>24</v>
      </c>
      <c r="I12" s="7">
        <v>12000</v>
      </c>
      <c r="J12" s="14">
        <v>2936</v>
      </c>
      <c r="K12" s="15">
        <f>L12+4211+4764</f>
        <v>11911</v>
      </c>
      <c r="L12" s="15">
        <f>2539+397</f>
        <v>2936</v>
      </c>
      <c r="M12" s="15">
        <f t="shared" si="0"/>
        <v>2936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si="9"/>
        <v>0.625</v>
      </c>
      <c r="AE12" s="36">
        <f t="shared" si="7"/>
        <v>0.40196078431372551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119</v>
      </c>
      <c r="D13" s="52" t="s">
        <v>145</v>
      </c>
      <c r="E13" s="53" t="s">
        <v>282</v>
      </c>
      <c r="F13" s="30" t="s">
        <v>147</v>
      </c>
      <c r="G13" s="33">
        <v>1</v>
      </c>
      <c r="H13" s="35">
        <v>24</v>
      </c>
      <c r="I13" s="7">
        <v>10000</v>
      </c>
      <c r="J13" s="5">
        <v>5082</v>
      </c>
      <c r="K13" s="15">
        <f>L13+4862</f>
        <v>9944</v>
      </c>
      <c r="L13" s="15">
        <f>2675+2407</f>
        <v>5082</v>
      </c>
      <c r="M13" s="15">
        <f t="shared" si="0"/>
        <v>5082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0.40196078431372551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283</v>
      </c>
      <c r="F14" s="30" t="s">
        <v>129</v>
      </c>
      <c r="G14" s="33">
        <v>1</v>
      </c>
      <c r="H14" s="35">
        <v>60</v>
      </c>
      <c r="I14" s="7">
        <v>300</v>
      </c>
      <c r="J14" s="5">
        <v>2920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0.40196078431372551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L15+2236+873+2158+5230+5277+5226+625+4849+5260+1328</f>
        <v>33062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0.40196078431372551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0.40196078431372551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0.40196078431372551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137</v>
      </c>
      <c r="E18" s="53" t="s">
        <v>258</v>
      </c>
      <c r="F18" s="30" t="s">
        <v>243</v>
      </c>
      <c r="G18" s="33">
        <v>1</v>
      </c>
      <c r="H18" s="35">
        <v>24</v>
      </c>
      <c r="I18" s="7">
        <v>500</v>
      </c>
      <c r="J18" s="14">
        <v>3125</v>
      </c>
      <c r="K18" s="15">
        <f>L18+3125</f>
        <v>3125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0.40196078431372551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145</v>
      </c>
      <c r="E19" s="53" t="s">
        <v>161</v>
      </c>
      <c r="F19" s="30" t="s">
        <v>147</v>
      </c>
      <c r="G19" s="33">
        <v>1</v>
      </c>
      <c r="H19" s="35">
        <v>24</v>
      </c>
      <c r="I19" s="7">
        <v>33000</v>
      </c>
      <c r="J19" s="14">
        <v>1677</v>
      </c>
      <c r="K19" s="15">
        <f>L19+2330+2075+3595+5570+5525+5598+5509+5673+4422</f>
        <v>41974</v>
      </c>
      <c r="L19" s="15">
        <v>1677</v>
      </c>
      <c r="M19" s="15">
        <f t="shared" si="0"/>
        <v>1677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0.40196078431372551</v>
      </c>
      <c r="AF19" s="84">
        <f t="shared" si="8"/>
        <v>14</v>
      </c>
    </row>
    <row r="20" spans="1:32" ht="27" customHeight="1">
      <c r="A20" s="96">
        <v>14</v>
      </c>
      <c r="B20" s="11" t="s">
        <v>57</v>
      </c>
      <c r="C20" s="11" t="s">
        <v>119</v>
      </c>
      <c r="D20" s="52" t="s">
        <v>305</v>
      </c>
      <c r="E20" s="53" t="s">
        <v>306</v>
      </c>
      <c r="F20" s="30" t="s">
        <v>129</v>
      </c>
      <c r="G20" s="33">
        <v>1</v>
      </c>
      <c r="H20" s="35">
        <v>24</v>
      </c>
      <c r="I20" s="7">
        <v>500</v>
      </c>
      <c r="J20" s="14">
        <v>500</v>
      </c>
      <c r="K20" s="15">
        <f>L20</f>
        <v>500</v>
      </c>
      <c r="L20" s="15">
        <v>500</v>
      </c>
      <c r="M20" s="15">
        <f t="shared" ref="M20" si="10">L20-N20</f>
        <v>500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4</v>
      </c>
      <c r="Q20" s="40">
        <f t="shared" ref="Q20" si="13">SUM(R20:AA20)</f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0.16666666666666666</v>
      </c>
      <c r="AD20" s="10">
        <f t="shared" ref="AD20" si="16">AC20*AB20*(1-O20)</f>
        <v>0.16666666666666666</v>
      </c>
      <c r="AE20" s="36">
        <f t="shared" si="7"/>
        <v>0.40196078431372551</v>
      </c>
      <c r="AF20" s="84">
        <f t="shared" ref="AF20" si="17">A20</f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142</v>
      </c>
      <c r="F21" s="30" t="s">
        <v>123</v>
      </c>
      <c r="G21" s="12">
        <v>4</v>
      </c>
      <c r="H21" s="13">
        <v>28</v>
      </c>
      <c r="I21" s="31">
        <v>561000</v>
      </c>
      <c r="J21" s="5">
        <v>12148</v>
      </c>
      <c r="K21" s="15">
        <f>L21+14284+8352+12576+8310+15524+17860+22424+23088+2420+23364+22844+15980</f>
        <v>199174</v>
      </c>
      <c r="L21" s="15">
        <f>2354*4+683*4</f>
        <v>12148</v>
      </c>
      <c r="M21" s="15">
        <f t="shared" si="0"/>
        <v>12148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7"/>
        <v>0.40196078431372551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156</v>
      </c>
      <c r="F22" s="12" t="s">
        <v>114</v>
      </c>
      <c r="G22" s="12">
        <v>4</v>
      </c>
      <c r="H22" s="35">
        <v>20</v>
      </c>
      <c r="I22" s="7">
        <v>500000</v>
      </c>
      <c r="J22" s="14">
        <v>27116</v>
      </c>
      <c r="K22" s="15">
        <f>L22+17656+21428+32268+13436</f>
        <v>111904</v>
      </c>
      <c r="L22" s="15">
        <f>6779*4</f>
        <v>27116</v>
      </c>
      <c r="M22" s="15">
        <f t="shared" si="0"/>
        <v>27116</v>
      </c>
      <c r="N22" s="15">
        <v>0</v>
      </c>
      <c r="O22" s="58">
        <f t="shared" si="1"/>
        <v>0</v>
      </c>
      <c r="P22" s="39">
        <f t="shared" si="2"/>
        <v>9</v>
      </c>
      <c r="Q22" s="40">
        <f t="shared" si="3"/>
        <v>15</v>
      </c>
      <c r="R22" s="7"/>
      <c r="S22" s="6"/>
      <c r="T22" s="16"/>
      <c r="U22" s="16"/>
      <c r="V22" s="17">
        <v>15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0.375</v>
      </c>
      <c r="AD22" s="10">
        <f t="shared" si="6"/>
        <v>0.375</v>
      </c>
      <c r="AE22" s="36">
        <f t="shared" si="7"/>
        <v>0.40196078431372551</v>
      </c>
      <c r="AF22" s="84">
        <f t="shared" si="8"/>
        <v>16</v>
      </c>
    </row>
    <row r="23" spans="1:32" ht="31.5" customHeight="1" thickBot="1">
      <c r="A23" s="515" t="s">
        <v>34</v>
      </c>
      <c r="B23" s="516"/>
      <c r="C23" s="516"/>
      <c r="D23" s="516"/>
      <c r="E23" s="516"/>
      <c r="F23" s="516"/>
      <c r="G23" s="516"/>
      <c r="H23" s="517"/>
      <c r="I23" s="22">
        <f t="shared" ref="I23:N23" si="18">SUM(I6:I22)</f>
        <v>2452910</v>
      </c>
      <c r="J23" s="19">
        <f t="shared" si="18"/>
        <v>126561</v>
      </c>
      <c r="K23" s="20">
        <f t="shared" si="18"/>
        <v>1312472</v>
      </c>
      <c r="L23" s="21">
        <f t="shared" si="18"/>
        <v>111078</v>
      </c>
      <c r="M23" s="20">
        <f t="shared" si="18"/>
        <v>111078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164</v>
      </c>
      <c r="Q23" s="43">
        <f t="shared" si="19"/>
        <v>244</v>
      </c>
      <c r="R23" s="23">
        <f t="shared" si="19"/>
        <v>24</v>
      </c>
      <c r="S23" s="24">
        <f t="shared" si="19"/>
        <v>40</v>
      </c>
      <c r="T23" s="24">
        <f t="shared" si="19"/>
        <v>0</v>
      </c>
      <c r="U23" s="24">
        <f t="shared" si="19"/>
        <v>0</v>
      </c>
      <c r="V23" s="25">
        <f t="shared" si="19"/>
        <v>15</v>
      </c>
      <c r="W23" s="26">
        <f t="shared" si="19"/>
        <v>109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56</v>
      </c>
      <c r="AB23" s="28">
        <f>AVERAGE(AB6:AB22)</f>
        <v>0.58823529411764708</v>
      </c>
      <c r="AC23" s="4">
        <f>AVERAGE(AC6:AC22)</f>
        <v>0.40196078431372551</v>
      </c>
      <c r="AD23" s="4">
        <f>AVERAGE(AD6:AD22)</f>
        <v>0.40196078431372551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18" t="s">
        <v>45</v>
      </c>
      <c r="B50" s="518"/>
      <c r="C50" s="518"/>
      <c r="D50" s="518"/>
      <c r="E50" s="51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19" t="s">
        <v>307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  <c r="M51" s="521"/>
      <c r="N51" s="522" t="s">
        <v>310</v>
      </c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23"/>
      <c r="AC51" s="523"/>
      <c r="AD51" s="524"/>
    </row>
    <row r="52" spans="1:32" ht="27" customHeight="1">
      <c r="A52" s="525" t="s">
        <v>2</v>
      </c>
      <c r="B52" s="526"/>
      <c r="C52" s="190" t="s">
        <v>46</v>
      </c>
      <c r="D52" s="190" t="s">
        <v>47</v>
      </c>
      <c r="E52" s="190" t="s">
        <v>107</v>
      </c>
      <c r="F52" s="527" t="s">
        <v>106</v>
      </c>
      <c r="G52" s="528"/>
      <c r="H52" s="528"/>
      <c r="I52" s="528"/>
      <c r="J52" s="528"/>
      <c r="K52" s="528"/>
      <c r="L52" s="528"/>
      <c r="M52" s="529"/>
      <c r="N52" s="67" t="s">
        <v>110</v>
      </c>
      <c r="O52" s="190" t="s">
        <v>46</v>
      </c>
      <c r="P52" s="527" t="s">
        <v>47</v>
      </c>
      <c r="Q52" s="530"/>
      <c r="R52" s="527" t="s">
        <v>38</v>
      </c>
      <c r="S52" s="528"/>
      <c r="T52" s="528"/>
      <c r="U52" s="530"/>
      <c r="V52" s="527" t="s">
        <v>48</v>
      </c>
      <c r="W52" s="528"/>
      <c r="X52" s="528"/>
      <c r="Y52" s="528"/>
      <c r="Z52" s="528"/>
      <c r="AA52" s="528"/>
      <c r="AB52" s="528"/>
      <c r="AC52" s="528"/>
      <c r="AD52" s="529"/>
    </row>
    <row r="53" spans="1:32" ht="27" customHeight="1">
      <c r="A53" s="508" t="s">
        <v>122</v>
      </c>
      <c r="B53" s="509"/>
      <c r="C53" s="191" t="s">
        <v>181</v>
      </c>
      <c r="D53" s="191"/>
      <c r="E53" s="193" t="s">
        <v>221</v>
      </c>
      <c r="F53" s="496" t="s">
        <v>308</v>
      </c>
      <c r="G53" s="497"/>
      <c r="H53" s="497"/>
      <c r="I53" s="497"/>
      <c r="J53" s="497"/>
      <c r="K53" s="497"/>
      <c r="L53" s="497"/>
      <c r="M53" s="498"/>
      <c r="N53" s="192" t="s">
        <v>119</v>
      </c>
      <c r="O53" s="198" t="s">
        <v>181</v>
      </c>
      <c r="P53" s="510" t="s">
        <v>285</v>
      </c>
      <c r="Q53" s="511"/>
      <c r="R53" s="510" t="s">
        <v>311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122</v>
      </c>
      <c r="B54" s="509"/>
      <c r="C54" s="191" t="s">
        <v>149</v>
      </c>
      <c r="D54" s="191"/>
      <c r="E54" s="193" t="s">
        <v>260</v>
      </c>
      <c r="F54" s="496" t="s">
        <v>296</v>
      </c>
      <c r="G54" s="497"/>
      <c r="H54" s="497"/>
      <c r="I54" s="497"/>
      <c r="J54" s="497"/>
      <c r="K54" s="497"/>
      <c r="L54" s="497"/>
      <c r="M54" s="498"/>
      <c r="N54" s="192" t="s">
        <v>112</v>
      </c>
      <c r="O54" s="198" t="s">
        <v>224</v>
      </c>
      <c r="P54" s="510" t="s">
        <v>115</v>
      </c>
      <c r="Q54" s="511"/>
      <c r="R54" s="510" t="s">
        <v>283</v>
      </c>
      <c r="S54" s="512"/>
      <c r="T54" s="512"/>
      <c r="U54" s="511"/>
      <c r="V54" s="480" t="s">
        <v>139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494" t="s">
        <v>120</v>
      </c>
      <c r="B55" s="495"/>
      <c r="C55" s="193" t="s">
        <v>280</v>
      </c>
      <c r="D55" s="193" t="s">
        <v>115</v>
      </c>
      <c r="E55" s="193" t="s">
        <v>138</v>
      </c>
      <c r="F55" s="496" t="s">
        <v>139</v>
      </c>
      <c r="G55" s="497"/>
      <c r="H55" s="497"/>
      <c r="I55" s="497"/>
      <c r="J55" s="497"/>
      <c r="K55" s="497"/>
      <c r="L55" s="497"/>
      <c r="M55" s="498"/>
      <c r="N55" s="192" t="s">
        <v>122</v>
      </c>
      <c r="O55" s="198" t="s">
        <v>187</v>
      </c>
      <c r="P55" s="510"/>
      <c r="Q55" s="511"/>
      <c r="R55" s="510" t="s">
        <v>160</v>
      </c>
      <c r="S55" s="512"/>
      <c r="T55" s="512"/>
      <c r="U55" s="511"/>
      <c r="V55" s="480" t="s">
        <v>139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120</v>
      </c>
      <c r="B56" s="509"/>
      <c r="C56" s="191" t="s">
        <v>277</v>
      </c>
      <c r="D56" s="191" t="s">
        <v>115</v>
      </c>
      <c r="E56" s="193" t="s">
        <v>275</v>
      </c>
      <c r="F56" s="496" t="s">
        <v>309</v>
      </c>
      <c r="G56" s="497"/>
      <c r="H56" s="497"/>
      <c r="I56" s="497"/>
      <c r="J56" s="497"/>
      <c r="K56" s="497"/>
      <c r="L56" s="497"/>
      <c r="M56" s="498"/>
      <c r="N56" s="192" t="s">
        <v>122</v>
      </c>
      <c r="O56" s="198" t="s">
        <v>277</v>
      </c>
      <c r="P56" s="510"/>
      <c r="Q56" s="511"/>
      <c r="R56" s="510" t="s">
        <v>275</v>
      </c>
      <c r="S56" s="512"/>
      <c r="T56" s="512"/>
      <c r="U56" s="511"/>
      <c r="V56" s="480" t="s">
        <v>139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508"/>
      <c r="B57" s="509"/>
      <c r="C57" s="191"/>
      <c r="D57" s="191"/>
      <c r="E57" s="193"/>
      <c r="F57" s="496"/>
      <c r="G57" s="497"/>
      <c r="H57" s="497"/>
      <c r="I57" s="497"/>
      <c r="J57" s="497"/>
      <c r="K57" s="497"/>
      <c r="L57" s="497"/>
      <c r="M57" s="498"/>
      <c r="N57" s="192"/>
      <c r="O57" s="198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494"/>
      <c r="B58" s="495"/>
      <c r="C58" s="193"/>
      <c r="D58" s="193"/>
      <c r="E58" s="193"/>
      <c r="F58" s="496"/>
      <c r="G58" s="497"/>
      <c r="H58" s="497"/>
      <c r="I58" s="497"/>
      <c r="J58" s="497"/>
      <c r="K58" s="497"/>
      <c r="L58" s="497"/>
      <c r="M58" s="498"/>
      <c r="N58" s="192"/>
      <c r="O58" s="198"/>
      <c r="P58" s="510"/>
      <c r="Q58" s="511"/>
      <c r="R58" s="510"/>
      <c r="S58" s="512"/>
      <c r="T58" s="512"/>
      <c r="U58" s="511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191"/>
      <c r="D59" s="191"/>
      <c r="E59" s="193"/>
      <c r="F59" s="496"/>
      <c r="G59" s="497"/>
      <c r="H59" s="497"/>
      <c r="I59" s="497"/>
      <c r="J59" s="497"/>
      <c r="K59" s="497"/>
      <c r="L59" s="497"/>
      <c r="M59" s="498"/>
      <c r="N59" s="192"/>
      <c r="O59" s="198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508"/>
      <c r="B60" s="509"/>
      <c r="C60" s="191"/>
      <c r="D60" s="191"/>
      <c r="E60" s="193"/>
      <c r="F60" s="496"/>
      <c r="G60" s="497"/>
      <c r="H60" s="497"/>
      <c r="I60" s="497"/>
      <c r="J60" s="497"/>
      <c r="K60" s="497"/>
      <c r="L60" s="497"/>
      <c r="M60" s="498"/>
      <c r="N60" s="192"/>
      <c r="O60" s="198"/>
      <c r="P60" s="510"/>
      <c r="Q60" s="511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</row>
    <row r="61" spans="1:32" ht="27" customHeight="1">
      <c r="A61" s="494"/>
      <c r="B61" s="495"/>
      <c r="C61" s="193"/>
      <c r="D61" s="193"/>
      <c r="E61" s="193"/>
      <c r="F61" s="496"/>
      <c r="G61" s="497"/>
      <c r="H61" s="497"/>
      <c r="I61" s="497"/>
      <c r="J61" s="497"/>
      <c r="K61" s="497"/>
      <c r="L61" s="497"/>
      <c r="M61" s="498"/>
      <c r="N61" s="192"/>
      <c r="O61" s="198"/>
      <c r="P61" s="495"/>
      <c r="Q61" s="495"/>
      <c r="R61" s="495"/>
      <c r="S61" s="495"/>
      <c r="T61" s="495"/>
      <c r="U61" s="495"/>
      <c r="V61" s="480"/>
      <c r="W61" s="480"/>
      <c r="X61" s="480"/>
      <c r="Y61" s="480"/>
      <c r="Z61" s="480"/>
      <c r="AA61" s="480"/>
      <c r="AB61" s="480"/>
      <c r="AC61" s="480"/>
      <c r="AD61" s="499"/>
      <c r="AF61" s="84">
        <f>8*3000</f>
        <v>24000</v>
      </c>
    </row>
    <row r="62" spans="1:32" ht="27" customHeight="1" thickBot="1">
      <c r="A62" s="500"/>
      <c r="B62" s="501"/>
      <c r="C62" s="194"/>
      <c r="D62" s="195"/>
      <c r="E62" s="195"/>
      <c r="F62" s="502"/>
      <c r="G62" s="503"/>
      <c r="H62" s="503"/>
      <c r="I62" s="503"/>
      <c r="J62" s="503"/>
      <c r="K62" s="503"/>
      <c r="L62" s="503"/>
      <c r="M62" s="504"/>
      <c r="N62" s="112"/>
      <c r="O62" s="103"/>
      <c r="P62" s="505"/>
      <c r="Q62" s="505"/>
      <c r="R62" s="505"/>
      <c r="S62" s="505"/>
      <c r="T62" s="505"/>
      <c r="U62" s="505"/>
      <c r="V62" s="506"/>
      <c r="W62" s="506"/>
      <c r="X62" s="506"/>
      <c r="Y62" s="506"/>
      <c r="Z62" s="506"/>
      <c r="AA62" s="506"/>
      <c r="AB62" s="506"/>
      <c r="AC62" s="506"/>
      <c r="AD62" s="507"/>
      <c r="AF62" s="84">
        <f>16*3000</f>
        <v>48000</v>
      </c>
    </row>
    <row r="63" spans="1:32" ht="27.75" thickBot="1">
      <c r="A63" s="492" t="s">
        <v>312</v>
      </c>
      <c r="B63" s="492"/>
      <c r="C63" s="492"/>
      <c r="D63" s="492"/>
      <c r="E63" s="49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3" t="s">
        <v>111</v>
      </c>
      <c r="B64" s="487"/>
      <c r="C64" s="196" t="s">
        <v>2</v>
      </c>
      <c r="D64" s="196" t="s">
        <v>37</v>
      </c>
      <c r="E64" s="196" t="s">
        <v>3</v>
      </c>
      <c r="F64" s="487" t="s">
        <v>109</v>
      </c>
      <c r="G64" s="487"/>
      <c r="H64" s="487"/>
      <c r="I64" s="487"/>
      <c r="J64" s="487"/>
      <c r="K64" s="487" t="s">
        <v>39</v>
      </c>
      <c r="L64" s="487"/>
      <c r="M64" s="196" t="s">
        <v>40</v>
      </c>
      <c r="N64" s="487" t="s">
        <v>41</v>
      </c>
      <c r="O64" s="487"/>
      <c r="P64" s="484" t="s">
        <v>42</v>
      </c>
      <c r="Q64" s="486"/>
      <c r="R64" s="484" t="s">
        <v>43</v>
      </c>
      <c r="S64" s="485"/>
      <c r="T64" s="485"/>
      <c r="U64" s="485"/>
      <c r="V64" s="485"/>
      <c r="W64" s="485"/>
      <c r="X64" s="485"/>
      <c r="Y64" s="485"/>
      <c r="Z64" s="485"/>
      <c r="AA64" s="486"/>
      <c r="AB64" s="487" t="s">
        <v>44</v>
      </c>
      <c r="AC64" s="487"/>
      <c r="AD64" s="488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119</v>
      </c>
      <c r="D65" s="200"/>
      <c r="E65" s="197" t="s">
        <v>115</v>
      </c>
      <c r="F65" s="481" t="s">
        <v>300</v>
      </c>
      <c r="G65" s="482"/>
      <c r="H65" s="482"/>
      <c r="I65" s="482"/>
      <c r="J65" s="483"/>
      <c r="K65" s="469" t="s">
        <v>118</v>
      </c>
      <c r="L65" s="469"/>
      <c r="M65" s="51" t="s">
        <v>140</v>
      </c>
      <c r="N65" s="478" t="s">
        <v>187</v>
      </c>
      <c r="O65" s="478"/>
      <c r="P65" s="479">
        <v>200</v>
      </c>
      <c r="Q65" s="479"/>
      <c r="R65" s="480" t="s">
        <v>276</v>
      </c>
      <c r="S65" s="480"/>
      <c r="T65" s="480"/>
      <c r="U65" s="480"/>
      <c r="V65" s="480"/>
      <c r="W65" s="480"/>
      <c r="X65" s="480"/>
      <c r="Y65" s="480"/>
      <c r="Z65" s="480"/>
      <c r="AA65" s="480"/>
      <c r="AB65" s="489"/>
      <c r="AC65" s="490"/>
      <c r="AD65" s="491"/>
      <c r="AF65" s="50"/>
    </row>
    <row r="66" spans="1:32" ht="25.5" customHeight="1">
      <c r="A66" s="475">
        <v>2</v>
      </c>
      <c r="B66" s="476"/>
      <c r="C66" s="105" t="s">
        <v>119</v>
      </c>
      <c r="D66" s="200"/>
      <c r="E66" s="197" t="s">
        <v>305</v>
      </c>
      <c r="F66" s="481" t="s">
        <v>306</v>
      </c>
      <c r="G66" s="482"/>
      <c r="H66" s="482"/>
      <c r="I66" s="482"/>
      <c r="J66" s="483"/>
      <c r="K66" s="469">
        <v>7301</v>
      </c>
      <c r="L66" s="469"/>
      <c r="M66" s="51" t="s">
        <v>313</v>
      </c>
      <c r="N66" s="478" t="s">
        <v>314</v>
      </c>
      <c r="O66" s="478"/>
      <c r="P66" s="479">
        <v>50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3</v>
      </c>
      <c r="B67" s="476"/>
      <c r="C67" s="105" t="s">
        <v>120</v>
      </c>
      <c r="D67" s="200"/>
      <c r="E67" s="197" t="s">
        <v>115</v>
      </c>
      <c r="F67" s="477" t="s">
        <v>315</v>
      </c>
      <c r="G67" s="469"/>
      <c r="H67" s="469"/>
      <c r="I67" s="469"/>
      <c r="J67" s="469"/>
      <c r="K67" s="469" t="s">
        <v>123</v>
      </c>
      <c r="L67" s="469"/>
      <c r="M67" s="51" t="s">
        <v>140</v>
      </c>
      <c r="N67" s="478" t="s">
        <v>181</v>
      </c>
      <c r="O67" s="478"/>
      <c r="P67" s="479">
        <v>200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4</v>
      </c>
      <c r="B68" s="476"/>
      <c r="C68" s="105" t="s">
        <v>120</v>
      </c>
      <c r="D68" s="200"/>
      <c r="E68" s="197" t="s">
        <v>136</v>
      </c>
      <c r="F68" s="481" t="s">
        <v>316</v>
      </c>
      <c r="G68" s="482"/>
      <c r="H68" s="482"/>
      <c r="I68" s="482"/>
      <c r="J68" s="483"/>
      <c r="K68" s="469" t="s">
        <v>123</v>
      </c>
      <c r="L68" s="469"/>
      <c r="M68" s="51" t="s">
        <v>140</v>
      </c>
      <c r="N68" s="478" t="s">
        <v>181</v>
      </c>
      <c r="O68" s="478"/>
      <c r="P68" s="479">
        <v>200</v>
      </c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5</v>
      </c>
      <c r="B69" s="476"/>
      <c r="C69" s="105" t="s">
        <v>112</v>
      </c>
      <c r="D69" s="200"/>
      <c r="E69" s="197" t="s">
        <v>137</v>
      </c>
      <c r="F69" s="481" t="s">
        <v>317</v>
      </c>
      <c r="G69" s="482"/>
      <c r="H69" s="482"/>
      <c r="I69" s="482"/>
      <c r="J69" s="483"/>
      <c r="K69" s="469">
        <v>7301</v>
      </c>
      <c r="L69" s="469"/>
      <c r="M69" s="51" t="s">
        <v>140</v>
      </c>
      <c r="N69" s="478" t="s">
        <v>181</v>
      </c>
      <c r="O69" s="478"/>
      <c r="P69" s="479">
        <v>50</v>
      </c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6</v>
      </c>
      <c r="B70" s="476"/>
      <c r="C70" s="105"/>
      <c r="D70" s="200"/>
      <c r="E70" s="197"/>
      <c r="F70" s="481"/>
      <c r="G70" s="482"/>
      <c r="H70" s="482"/>
      <c r="I70" s="482"/>
      <c r="J70" s="483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7</v>
      </c>
      <c r="B71" s="476"/>
      <c r="C71" s="105"/>
      <c r="D71" s="200"/>
      <c r="E71" s="197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8</v>
      </c>
      <c r="B72" s="476"/>
      <c r="C72" s="105"/>
      <c r="D72" s="200"/>
      <c r="E72" s="197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9</v>
      </c>
      <c r="B73" s="476"/>
      <c r="C73" s="105"/>
      <c r="D73" s="200"/>
      <c r="E73" s="197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5.5" customHeight="1">
      <c r="A74" s="475">
        <v>10</v>
      </c>
      <c r="B74" s="476"/>
      <c r="C74" s="105"/>
      <c r="D74" s="200"/>
      <c r="E74" s="197"/>
      <c r="F74" s="477"/>
      <c r="G74" s="469"/>
      <c r="H74" s="469"/>
      <c r="I74" s="469"/>
      <c r="J74" s="469"/>
      <c r="K74" s="469"/>
      <c r="L74" s="469"/>
      <c r="M74" s="51"/>
      <c r="N74" s="478"/>
      <c r="O74" s="478"/>
      <c r="P74" s="479"/>
      <c r="Q74" s="479"/>
      <c r="R74" s="480"/>
      <c r="S74" s="480"/>
      <c r="T74" s="480"/>
      <c r="U74" s="480"/>
      <c r="V74" s="480"/>
      <c r="W74" s="480"/>
      <c r="X74" s="480"/>
      <c r="Y74" s="480"/>
      <c r="Z74" s="480"/>
      <c r="AA74" s="480"/>
      <c r="AB74" s="469"/>
      <c r="AC74" s="469"/>
      <c r="AD74" s="470"/>
      <c r="AF74" s="50"/>
    </row>
    <row r="75" spans="1:32" ht="26.25" customHeight="1" thickBot="1">
      <c r="A75" s="449" t="s">
        <v>318</v>
      </c>
      <c r="B75" s="449"/>
      <c r="C75" s="449"/>
      <c r="D75" s="449"/>
      <c r="E75" s="44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0" t="s">
        <v>111</v>
      </c>
      <c r="B76" s="451"/>
      <c r="C76" s="199" t="s">
        <v>2</v>
      </c>
      <c r="D76" s="199" t="s">
        <v>37</v>
      </c>
      <c r="E76" s="199" t="s">
        <v>150</v>
      </c>
      <c r="F76" s="451" t="s">
        <v>38</v>
      </c>
      <c r="G76" s="451"/>
      <c r="H76" s="451"/>
      <c r="I76" s="451"/>
      <c r="J76" s="451"/>
      <c r="K76" s="471" t="s">
        <v>58</v>
      </c>
      <c r="L76" s="472"/>
      <c r="M76" s="472"/>
      <c r="N76" s="472"/>
      <c r="O76" s="472"/>
      <c r="P76" s="472"/>
      <c r="Q76" s="472"/>
      <c r="R76" s="472"/>
      <c r="S76" s="473"/>
      <c r="T76" s="451" t="s">
        <v>49</v>
      </c>
      <c r="U76" s="451"/>
      <c r="V76" s="471" t="s">
        <v>50</v>
      </c>
      <c r="W76" s="473"/>
      <c r="X76" s="472" t="s">
        <v>51</v>
      </c>
      <c r="Y76" s="472"/>
      <c r="Z76" s="472"/>
      <c r="AA76" s="472"/>
      <c r="AB76" s="472"/>
      <c r="AC76" s="472"/>
      <c r="AD76" s="474"/>
      <c r="AF76" s="50"/>
    </row>
    <row r="77" spans="1:32" ht="33.75" customHeight="1">
      <c r="A77" s="443">
        <v>1</v>
      </c>
      <c r="B77" s="444"/>
      <c r="C77" s="201" t="s">
        <v>112</v>
      </c>
      <c r="D77" s="201"/>
      <c r="E77" s="65" t="s">
        <v>117</v>
      </c>
      <c r="F77" s="458" t="s">
        <v>116</v>
      </c>
      <c r="G77" s="459"/>
      <c r="H77" s="459"/>
      <c r="I77" s="459"/>
      <c r="J77" s="460"/>
      <c r="K77" s="461" t="s">
        <v>121</v>
      </c>
      <c r="L77" s="462"/>
      <c r="M77" s="462"/>
      <c r="N77" s="462"/>
      <c r="O77" s="462"/>
      <c r="P77" s="462"/>
      <c r="Q77" s="462"/>
      <c r="R77" s="462"/>
      <c r="S77" s="463"/>
      <c r="T77" s="464">
        <v>43675</v>
      </c>
      <c r="U77" s="465"/>
      <c r="V77" s="466"/>
      <c r="W77" s="466"/>
      <c r="X77" s="467"/>
      <c r="Y77" s="467"/>
      <c r="Z77" s="467"/>
      <c r="AA77" s="467"/>
      <c r="AB77" s="467"/>
      <c r="AC77" s="467"/>
      <c r="AD77" s="468"/>
      <c r="AF77" s="50"/>
    </row>
    <row r="78" spans="1:32" ht="30" customHeight="1">
      <c r="A78" s="436">
        <f>A77+1</f>
        <v>2</v>
      </c>
      <c r="B78" s="437"/>
      <c r="C78" s="200"/>
      <c r="D78" s="200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ref="A79:A83" si="20">A78+1</f>
        <v>3</v>
      </c>
      <c r="B79" s="437"/>
      <c r="C79" s="200"/>
      <c r="D79" s="200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20"/>
        <v>4</v>
      </c>
      <c r="B80" s="437"/>
      <c r="C80" s="200"/>
      <c r="D80" s="200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20"/>
        <v>5</v>
      </c>
      <c r="B81" s="437"/>
      <c r="C81" s="200"/>
      <c r="D81" s="200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20"/>
        <v>6</v>
      </c>
      <c r="B82" s="437"/>
      <c r="C82" s="200"/>
      <c r="D82" s="200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0" customHeight="1">
      <c r="A83" s="436">
        <f t="shared" si="20"/>
        <v>7</v>
      </c>
      <c r="B83" s="437"/>
      <c r="C83" s="200"/>
      <c r="D83" s="200"/>
      <c r="E83" s="32"/>
      <c r="F83" s="437"/>
      <c r="G83" s="437"/>
      <c r="H83" s="437"/>
      <c r="I83" s="437"/>
      <c r="J83" s="437"/>
      <c r="K83" s="452"/>
      <c r="L83" s="453"/>
      <c r="M83" s="453"/>
      <c r="N83" s="453"/>
      <c r="O83" s="453"/>
      <c r="P83" s="453"/>
      <c r="Q83" s="453"/>
      <c r="R83" s="453"/>
      <c r="S83" s="454"/>
      <c r="T83" s="455"/>
      <c r="U83" s="455"/>
      <c r="V83" s="455"/>
      <c r="W83" s="455"/>
      <c r="X83" s="456"/>
      <c r="Y83" s="456"/>
      <c r="Z83" s="456"/>
      <c r="AA83" s="456"/>
      <c r="AB83" s="456"/>
      <c r="AC83" s="456"/>
      <c r="AD83" s="457"/>
      <c r="AF83" s="50"/>
    </row>
    <row r="84" spans="1:32" ht="36" thickBot="1">
      <c r="A84" s="449" t="s">
        <v>337</v>
      </c>
      <c r="B84" s="449"/>
      <c r="C84" s="449"/>
      <c r="D84" s="449"/>
      <c r="E84" s="44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0" t="s">
        <v>111</v>
      </c>
      <c r="B85" s="451"/>
      <c r="C85" s="441" t="s">
        <v>52</v>
      </c>
      <c r="D85" s="441"/>
      <c r="E85" s="441" t="s">
        <v>53</v>
      </c>
      <c r="F85" s="441"/>
      <c r="G85" s="441"/>
      <c r="H85" s="441"/>
      <c r="I85" s="441"/>
      <c r="J85" s="441"/>
      <c r="K85" s="441" t="s">
        <v>54</v>
      </c>
      <c r="L85" s="441"/>
      <c r="M85" s="441"/>
      <c r="N85" s="441"/>
      <c r="O85" s="441"/>
      <c r="P85" s="441"/>
      <c r="Q85" s="441"/>
      <c r="R85" s="441"/>
      <c r="S85" s="441"/>
      <c r="T85" s="441" t="s">
        <v>55</v>
      </c>
      <c r="U85" s="441"/>
      <c r="V85" s="441" t="s">
        <v>56</v>
      </c>
      <c r="W85" s="441"/>
      <c r="X85" s="441"/>
      <c r="Y85" s="441" t="s">
        <v>51</v>
      </c>
      <c r="Z85" s="441"/>
      <c r="AA85" s="441"/>
      <c r="AB85" s="441"/>
      <c r="AC85" s="441"/>
      <c r="AD85" s="442"/>
      <c r="AF85" s="50"/>
    </row>
    <row r="86" spans="1:32" ht="30.75" customHeight="1">
      <c r="A86" s="443">
        <v>1</v>
      </c>
      <c r="B86" s="444"/>
      <c r="C86" s="445">
        <v>11</v>
      </c>
      <c r="D86" s="445"/>
      <c r="E86" s="445" t="s">
        <v>151</v>
      </c>
      <c r="F86" s="445"/>
      <c r="G86" s="445"/>
      <c r="H86" s="445"/>
      <c r="I86" s="445"/>
      <c r="J86" s="445"/>
      <c r="K86" s="445" t="s">
        <v>153</v>
      </c>
      <c r="L86" s="445"/>
      <c r="M86" s="445"/>
      <c r="N86" s="445"/>
      <c r="O86" s="445"/>
      <c r="P86" s="445"/>
      <c r="Q86" s="445"/>
      <c r="R86" s="445"/>
      <c r="S86" s="445"/>
      <c r="T86" s="445" t="s">
        <v>152</v>
      </c>
      <c r="U86" s="445"/>
      <c r="V86" s="446"/>
      <c r="W86" s="446"/>
      <c r="X86" s="446"/>
      <c r="Y86" s="447" t="s">
        <v>154</v>
      </c>
      <c r="Z86" s="447"/>
      <c r="AA86" s="447"/>
      <c r="AB86" s="447"/>
      <c r="AC86" s="447"/>
      <c r="AD86" s="448"/>
      <c r="AF86" s="50"/>
    </row>
    <row r="87" spans="1:32" ht="30.75" customHeight="1">
      <c r="A87" s="436">
        <v>2</v>
      </c>
      <c r="B87" s="437"/>
      <c r="C87" s="438"/>
      <c r="D87" s="438"/>
      <c r="E87" s="438"/>
      <c r="F87" s="438"/>
      <c r="G87" s="438"/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438"/>
      <c r="T87" s="439"/>
      <c r="U87" s="439"/>
      <c r="V87" s="440"/>
      <c r="W87" s="440"/>
      <c r="X87" s="440"/>
      <c r="Y87" s="429"/>
      <c r="Z87" s="429"/>
      <c r="AA87" s="429"/>
      <c r="AB87" s="429"/>
      <c r="AC87" s="429"/>
      <c r="AD87" s="430"/>
      <c r="AF87" s="50"/>
    </row>
    <row r="88" spans="1:32" ht="30.75" customHeight="1" thickBot="1">
      <c r="A88" s="431">
        <v>3</v>
      </c>
      <c r="B88" s="432"/>
      <c r="C88" s="433"/>
      <c r="D88" s="433"/>
      <c r="E88" s="433"/>
      <c r="F88" s="433"/>
      <c r="G88" s="433"/>
      <c r="H88" s="433"/>
      <c r="I88" s="433"/>
      <c r="J88" s="433"/>
      <c r="K88" s="433"/>
      <c r="L88" s="433"/>
      <c r="M88" s="433"/>
      <c r="N88" s="433"/>
      <c r="O88" s="433"/>
      <c r="P88" s="433"/>
      <c r="Q88" s="433"/>
      <c r="R88" s="433"/>
      <c r="S88" s="433"/>
      <c r="T88" s="433"/>
      <c r="U88" s="433"/>
      <c r="V88" s="433"/>
      <c r="W88" s="433"/>
      <c r="X88" s="433"/>
      <c r="Y88" s="434"/>
      <c r="Z88" s="434"/>
      <c r="AA88" s="434"/>
      <c r="AB88" s="434"/>
      <c r="AC88" s="434"/>
      <c r="AD88" s="435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BA30-ECB5-4482-8BFD-88B049070F89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319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14" t="s">
        <v>17</v>
      </c>
      <c r="L5" s="214" t="s">
        <v>18</v>
      </c>
      <c r="M5" s="214" t="s">
        <v>19</v>
      </c>
      <c r="N5" s="21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128</v>
      </c>
      <c r="E6" s="53" t="s">
        <v>159</v>
      </c>
      <c r="F6" s="12" t="s">
        <v>127</v>
      </c>
      <c r="G6" s="12">
        <v>1</v>
      </c>
      <c r="H6" s="13">
        <v>24</v>
      </c>
      <c r="I6" s="31">
        <v>800</v>
      </c>
      <c r="J6" s="14">
        <v>2240</v>
      </c>
      <c r="K6" s="15">
        <f>L6+2240</f>
        <v>2240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0.44607843137254899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128</v>
      </c>
      <c r="E7" s="53" t="s">
        <v>203</v>
      </c>
      <c r="F7" s="12">
        <v>8301</v>
      </c>
      <c r="G7" s="12">
        <v>2</v>
      </c>
      <c r="H7" s="13">
        <v>24</v>
      </c>
      <c r="I7" s="31">
        <v>30000</v>
      </c>
      <c r="J7" s="14">
        <v>4975</v>
      </c>
      <c r="K7" s="15">
        <f>L7+9996+10738+9482+4975</f>
        <v>35191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0.44607843137254899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24584</v>
      </c>
      <c r="K8" s="15">
        <f>L8+8404+12360+9142+12426+5790+11544+12480+12502+12376+12380+22896+24720+24328+24256+11504+24084+22712+24032+23532+20768+23268+23880+22096+24340+10412+14832+23872+25696+24068+24616</f>
        <v>573900</v>
      </c>
      <c r="L8" s="15">
        <f>3253*4+2893*4</f>
        <v>24584</v>
      </c>
      <c r="M8" s="15">
        <f t="shared" si="0"/>
        <v>24584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0.44607843137254899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122</v>
      </c>
      <c r="D9" s="52"/>
      <c r="E9" s="53" t="s">
        <v>221</v>
      </c>
      <c r="F9" s="30" t="s">
        <v>118</v>
      </c>
      <c r="G9" s="33">
        <v>1</v>
      </c>
      <c r="H9" s="35">
        <v>24</v>
      </c>
      <c r="I9" s="7">
        <v>12000</v>
      </c>
      <c r="J9" s="14">
        <v>1537</v>
      </c>
      <c r="K9" s="15">
        <f>L9+4109+4459</f>
        <v>10105</v>
      </c>
      <c r="L9" s="15">
        <v>1537</v>
      </c>
      <c r="M9" s="15">
        <f t="shared" si="0"/>
        <v>1537</v>
      </c>
      <c r="N9" s="15">
        <v>0</v>
      </c>
      <c r="O9" s="58">
        <f t="shared" si="1"/>
        <v>0</v>
      </c>
      <c r="P9" s="39">
        <f t="shared" si="2"/>
        <v>8</v>
      </c>
      <c r="Q9" s="40">
        <f t="shared" si="3"/>
        <v>16</v>
      </c>
      <c r="R9" s="7"/>
      <c r="S9" s="6"/>
      <c r="T9" s="16"/>
      <c r="U9" s="16"/>
      <c r="V9" s="17"/>
      <c r="W9" s="5">
        <v>16</v>
      </c>
      <c r="X9" s="16"/>
      <c r="Y9" s="16"/>
      <c r="Z9" s="16"/>
      <c r="AA9" s="18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6">
        <f t="shared" si="7"/>
        <v>0.44607843137254899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119</v>
      </c>
      <c r="D10" s="52" t="s">
        <v>285</v>
      </c>
      <c r="E10" s="53" t="s">
        <v>311</v>
      </c>
      <c r="F10" s="30" t="s">
        <v>266</v>
      </c>
      <c r="G10" s="33">
        <v>1</v>
      </c>
      <c r="H10" s="35">
        <v>24</v>
      </c>
      <c r="I10" s="7">
        <v>15000</v>
      </c>
      <c r="J10" s="14">
        <v>2224</v>
      </c>
      <c r="K10" s="15">
        <f>L10</f>
        <v>2224</v>
      </c>
      <c r="L10" s="15">
        <f>2224</f>
        <v>2224</v>
      </c>
      <c r="M10" s="15">
        <f t="shared" ref="M10" si="9">L10-N10</f>
        <v>2224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12</v>
      </c>
      <c r="Q10" s="40">
        <f t="shared" ref="Q10" si="12">SUM(R10:AA10)</f>
        <v>12</v>
      </c>
      <c r="R10" s="7"/>
      <c r="S10" s="6">
        <v>4</v>
      </c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0.5</v>
      </c>
      <c r="AD10" s="10">
        <f t="shared" ref="AD10" si="15">AC10*AB10*(1-O10)</f>
        <v>0.5</v>
      </c>
      <c r="AE10" s="36">
        <f t="shared" si="7"/>
        <v>0.44607843137254899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34" t="s">
        <v>120</v>
      </c>
      <c r="D11" s="52" t="s">
        <v>137</v>
      </c>
      <c r="E11" s="53" t="s">
        <v>141</v>
      </c>
      <c r="F11" s="30" t="s">
        <v>123</v>
      </c>
      <c r="G11" s="33">
        <v>4</v>
      </c>
      <c r="H11" s="35">
        <v>24</v>
      </c>
      <c r="I11" s="7">
        <v>530000</v>
      </c>
      <c r="J11" s="5">
        <v>25144</v>
      </c>
      <c r="K11" s="15">
        <f>L11+19272+24844+16004+13948+24828+23236+25072+24900+25224+24840+25892+24064+24888</f>
        <v>322156</v>
      </c>
      <c r="L11" s="15">
        <f>3267*4+3019*4</f>
        <v>25144</v>
      </c>
      <c r="M11" s="15">
        <f t="shared" si="0"/>
        <v>25144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>AC11*AB11*(1-O11)</f>
        <v>1</v>
      </c>
      <c r="AE11" s="36">
        <f t="shared" si="7"/>
        <v>0.44607843137254899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120</v>
      </c>
      <c r="D12" s="52" t="s">
        <v>115</v>
      </c>
      <c r="E12" s="53" t="s">
        <v>138</v>
      </c>
      <c r="F12" s="30" t="s">
        <v>123</v>
      </c>
      <c r="G12" s="33">
        <v>2</v>
      </c>
      <c r="H12" s="35">
        <v>24</v>
      </c>
      <c r="I12" s="7">
        <v>22000</v>
      </c>
      <c r="J12" s="14">
        <v>11870</v>
      </c>
      <c r="K12" s="15">
        <f>L12+7656</f>
        <v>19526</v>
      </c>
      <c r="L12" s="15">
        <f>3068*2+2867*2</f>
        <v>11870</v>
      </c>
      <c r="M12" s="15">
        <f t="shared" si="0"/>
        <v>11870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5" si="17">AC12*AB12*(1-O12)</f>
        <v>1</v>
      </c>
      <c r="AE12" s="36">
        <f t="shared" si="7"/>
        <v>0.44607843137254899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122</v>
      </c>
      <c r="D13" s="52" t="s">
        <v>115</v>
      </c>
      <c r="E13" s="53" t="s">
        <v>260</v>
      </c>
      <c r="F13" s="30" t="s">
        <v>272</v>
      </c>
      <c r="G13" s="33">
        <v>1</v>
      </c>
      <c r="H13" s="35">
        <v>24</v>
      </c>
      <c r="I13" s="7">
        <v>12000</v>
      </c>
      <c r="J13" s="14">
        <v>4795</v>
      </c>
      <c r="K13" s="15">
        <f>L13+4211+4764+2936</f>
        <v>16706</v>
      </c>
      <c r="L13" s="15">
        <f>2387+2408</f>
        <v>4795</v>
      </c>
      <c r="M13" s="15">
        <f t="shared" si="0"/>
        <v>4795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17"/>
        <v>1</v>
      </c>
      <c r="AE13" s="36">
        <f t="shared" si="7"/>
        <v>0.44607843137254899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119</v>
      </c>
      <c r="D14" s="52" t="s">
        <v>145</v>
      </c>
      <c r="E14" s="53" t="s">
        <v>282</v>
      </c>
      <c r="F14" s="30" t="s">
        <v>147</v>
      </c>
      <c r="G14" s="33">
        <v>1</v>
      </c>
      <c r="H14" s="35">
        <v>24</v>
      </c>
      <c r="I14" s="7">
        <v>10000</v>
      </c>
      <c r="J14" s="5">
        <v>5193</v>
      </c>
      <c r="K14" s="15">
        <f>L14+4862+5082</f>
        <v>15137</v>
      </c>
      <c r="L14" s="15">
        <f>2730+2463</f>
        <v>5193</v>
      </c>
      <c r="M14" s="15">
        <f t="shared" si="0"/>
        <v>5193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>AC14*AB14*(1-O14)</f>
        <v>1</v>
      </c>
      <c r="AE14" s="36">
        <f t="shared" si="7"/>
        <v>0.44607843137254899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283</v>
      </c>
      <c r="F15" s="30" t="s">
        <v>129</v>
      </c>
      <c r="G15" s="33">
        <v>1</v>
      </c>
      <c r="H15" s="35">
        <v>60</v>
      </c>
      <c r="I15" s="7">
        <v>300</v>
      </c>
      <c r="J15" s="5">
        <v>378</v>
      </c>
      <c r="K15" s="15">
        <f>L15</f>
        <v>378</v>
      </c>
      <c r="L15" s="15">
        <v>378</v>
      </c>
      <c r="M15" s="15">
        <f t="shared" si="0"/>
        <v>378</v>
      </c>
      <c r="N15" s="15">
        <v>0</v>
      </c>
      <c r="O15" s="58">
        <f t="shared" si="1"/>
        <v>0</v>
      </c>
      <c r="P15" s="39">
        <f t="shared" si="2"/>
        <v>7</v>
      </c>
      <c r="Q15" s="40">
        <f t="shared" si="3"/>
        <v>17</v>
      </c>
      <c r="R15" s="7"/>
      <c r="S15" s="6"/>
      <c r="T15" s="16"/>
      <c r="U15" s="16"/>
      <c r="V15" s="17"/>
      <c r="W15" s="5">
        <v>17</v>
      </c>
      <c r="X15" s="16"/>
      <c r="Y15" s="16"/>
      <c r="Z15" s="16"/>
      <c r="AA15" s="18"/>
      <c r="AB15" s="8">
        <f t="shared" si="4"/>
        <v>1</v>
      </c>
      <c r="AC15" s="9">
        <f t="shared" si="5"/>
        <v>0.29166666666666669</v>
      </c>
      <c r="AD15" s="10">
        <f t="shared" si="17"/>
        <v>0.29166666666666669</v>
      </c>
      <c r="AE15" s="36">
        <f t="shared" si="7"/>
        <v>0.44607843137254899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122</v>
      </c>
      <c r="D16" s="52"/>
      <c r="E16" s="53" t="s">
        <v>157</v>
      </c>
      <c r="F16" s="12" t="s">
        <v>135</v>
      </c>
      <c r="G16" s="12">
        <v>1</v>
      </c>
      <c r="H16" s="13">
        <v>24</v>
      </c>
      <c r="I16" s="31">
        <v>20000</v>
      </c>
      <c r="J16" s="14">
        <v>1328</v>
      </c>
      <c r="K16" s="15">
        <f>L16+2236+873+2158+5230+5277+5226+625+4849+5260+1328</f>
        <v>33062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0.44607843137254899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119</v>
      </c>
      <c r="D17" s="52" t="s">
        <v>145</v>
      </c>
      <c r="E17" s="53" t="s">
        <v>146</v>
      </c>
      <c r="F17" s="30" t="s">
        <v>147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0.44607843137254899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122</v>
      </c>
      <c r="D18" s="52"/>
      <c r="E18" s="53" t="s">
        <v>197</v>
      </c>
      <c r="F18" s="30" t="s">
        <v>135</v>
      </c>
      <c r="G18" s="12">
        <v>1</v>
      </c>
      <c r="H18" s="13">
        <v>24</v>
      </c>
      <c r="I18" s="7">
        <v>310</v>
      </c>
      <c r="J18" s="14">
        <v>400</v>
      </c>
      <c r="K18" s="15">
        <f>L18+400</f>
        <v>400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0.44607843137254899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122</v>
      </c>
      <c r="D19" s="52"/>
      <c r="E19" s="53" t="s">
        <v>160</v>
      </c>
      <c r="F19" s="30" t="s">
        <v>118</v>
      </c>
      <c r="G19" s="33">
        <v>1</v>
      </c>
      <c r="H19" s="35">
        <v>24</v>
      </c>
      <c r="I19" s="7">
        <v>13000</v>
      </c>
      <c r="J19" s="14">
        <v>2656</v>
      </c>
      <c r="K19" s="15">
        <f>L19</f>
        <v>2656</v>
      </c>
      <c r="L19" s="15">
        <f>2656</f>
        <v>2656</v>
      </c>
      <c r="M19" s="15">
        <f t="shared" si="0"/>
        <v>2656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>
        <v>11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0.44607843137254899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119</v>
      </c>
      <c r="D20" s="52" t="s">
        <v>305</v>
      </c>
      <c r="E20" s="53" t="s">
        <v>306</v>
      </c>
      <c r="F20" s="30" t="s">
        <v>129</v>
      </c>
      <c r="G20" s="33">
        <v>1</v>
      </c>
      <c r="H20" s="35">
        <v>24</v>
      </c>
      <c r="I20" s="7">
        <v>500</v>
      </c>
      <c r="J20" s="14">
        <v>500</v>
      </c>
      <c r="K20" s="15">
        <f>L20+500</f>
        <v>500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0.44607843137254899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142</v>
      </c>
      <c r="F21" s="30" t="s">
        <v>123</v>
      </c>
      <c r="G21" s="12">
        <v>4</v>
      </c>
      <c r="H21" s="13">
        <v>28</v>
      </c>
      <c r="I21" s="31">
        <v>561000</v>
      </c>
      <c r="J21" s="5">
        <v>8056</v>
      </c>
      <c r="K21" s="15">
        <f>L21+14284+8352+12576+8310+15524+17860+22424+23088+2420+23364+22844+15980+12148</f>
        <v>207230</v>
      </c>
      <c r="L21" s="15">
        <f>950*4+1064*4</f>
        <v>8056</v>
      </c>
      <c r="M21" s="15">
        <f t="shared" si="0"/>
        <v>8056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>
        <v>13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0.44607843137254899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156</v>
      </c>
      <c r="F22" s="12" t="s">
        <v>114</v>
      </c>
      <c r="G22" s="12">
        <v>4</v>
      </c>
      <c r="H22" s="35">
        <v>20</v>
      </c>
      <c r="I22" s="7">
        <v>500000</v>
      </c>
      <c r="J22" s="14">
        <v>28000</v>
      </c>
      <c r="K22" s="15">
        <f>L22+17656+21428+32268+13436+27116</f>
        <v>139904</v>
      </c>
      <c r="L22" s="15">
        <f>7000*4</f>
        <v>28000</v>
      </c>
      <c r="M22" s="15">
        <f t="shared" si="0"/>
        <v>28000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0.44607843137254899</v>
      </c>
      <c r="AF22" s="84">
        <f t="shared" si="8"/>
        <v>16</v>
      </c>
    </row>
    <row r="23" spans="1:32" ht="31.5" customHeight="1" thickBot="1">
      <c r="A23" s="515" t="s">
        <v>34</v>
      </c>
      <c r="B23" s="516"/>
      <c r="C23" s="516"/>
      <c r="D23" s="516"/>
      <c r="E23" s="516"/>
      <c r="F23" s="516"/>
      <c r="G23" s="516"/>
      <c r="H23" s="517"/>
      <c r="I23" s="22">
        <f t="shared" ref="I23:N23" si="18">SUM(I6:I22)</f>
        <v>2447410</v>
      </c>
      <c r="J23" s="19">
        <f t="shared" si="18"/>
        <v>124375</v>
      </c>
      <c r="K23" s="20">
        <f t="shared" si="18"/>
        <v>1381810</v>
      </c>
      <c r="L23" s="21">
        <f t="shared" si="18"/>
        <v>114437</v>
      </c>
      <c r="M23" s="20">
        <f t="shared" si="18"/>
        <v>114437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182</v>
      </c>
      <c r="Q23" s="43">
        <f t="shared" si="19"/>
        <v>226</v>
      </c>
      <c r="R23" s="23">
        <f t="shared" si="19"/>
        <v>24</v>
      </c>
      <c r="S23" s="24">
        <f t="shared" si="19"/>
        <v>28</v>
      </c>
      <c r="T23" s="24">
        <f t="shared" si="19"/>
        <v>8</v>
      </c>
      <c r="U23" s="24">
        <f t="shared" si="19"/>
        <v>0</v>
      </c>
      <c r="V23" s="25">
        <f t="shared" si="19"/>
        <v>13</v>
      </c>
      <c r="W23" s="26">
        <f t="shared" si="19"/>
        <v>129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0.6470588235294118</v>
      </c>
      <c r="AC23" s="4">
        <f>AVERAGE(AC6:AC22)</f>
        <v>0.44607843137254899</v>
      </c>
      <c r="AD23" s="4">
        <f>AVERAGE(AD6:AD22)</f>
        <v>0.44607843137254899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18" t="s">
        <v>45</v>
      </c>
      <c r="B50" s="518"/>
      <c r="C50" s="518"/>
      <c r="D50" s="518"/>
      <c r="E50" s="51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19" t="s">
        <v>320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  <c r="M51" s="521"/>
      <c r="N51" s="522" t="s">
        <v>325</v>
      </c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23"/>
      <c r="AC51" s="523"/>
      <c r="AD51" s="524"/>
    </row>
    <row r="52" spans="1:32" ht="27" customHeight="1">
      <c r="A52" s="525" t="s">
        <v>2</v>
      </c>
      <c r="B52" s="526"/>
      <c r="C52" s="213" t="s">
        <v>46</v>
      </c>
      <c r="D52" s="213" t="s">
        <v>47</v>
      </c>
      <c r="E52" s="213" t="s">
        <v>107</v>
      </c>
      <c r="F52" s="527" t="s">
        <v>106</v>
      </c>
      <c r="G52" s="528"/>
      <c r="H52" s="528"/>
      <c r="I52" s="528"/>
      <c r="J52" s="528"/>
      <c r="K52" s="528"/>
      <c r="L52" s="528"/>
      <c r="M52" s="529"/>
      <c r="N52" s="67" t="s">
        <v>110</v>
      </c>
      <c r="O52" s="213" t="s">
        <v>46</v>
      </c>
      <c r="P52" s="527" t="s">
        <v>47</v>
      </c>
      <c r="Q52" s="530"/>
      <c r="R52" s="527" t="s">
        <v>38</v>
      </c>
      <c r="S52" s="528"/>
      <c r="T52" s="528"/>
      <c r="U52" s="530"/>
      <c r="V52" s="527" t="s">
        <v>48</v>
      </c>
      <c r="W52" s="528"/>
      <c r="X52" s="528"/>
      <c r="Y52" s="528"/>
      <c r="Z52" s="528"/>
      <c r="AA52" s="528"/>
      <c r="AB52" s="528"/>
      <c r="AC52" s="528"/>
      <c r="AD52" s="529"/>
    </row>
    <row r="53" spans="1:32" ht="27" customHeight="1">
      <c r="A53" s="508" t="s">
        <v>122</v>
      </c>
      <c r="B53" s="509"/>
      <c r="C53" s="212" t="s">
        <v>187</v>
      </c>
      <c r="D53" s="212"/>
      <c r="E53" s="209" t="s">
        <v>160</v>
      </c>
      <c r="F53" s="496" t="s">
        <v>321</v>
      </c>
      <c r="G53" s="497"/>
      <c r="H53" s="497"/>
      <c r="I53" s="497"/>
      <c r="J53" s="497"/>
      <c r="K53" s="497"/>
      <c r="L53" s="497"/>
      <c r="M53" s="498"/>
      <c r="N53" s="208" t="s">
        <v>119</v>
      </c>
      <c r="O53" s="206" t="s">
        <v>200</v>
      </c>
      <c r="P53" s="510" t="s">
        <v>145</v>
      </c>
      <c r="Q53" s="511"/>
      <c r="R53" s="510" t="s">
        <v>326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120</v>
      </c>
      <c r="B54" s="509"/>
      <c r="C54" s="212" t="s">
        <v>277</v>
      </c>
      <c r="D54" s="212" t="s">
        <v>115</v>
      </c>
      <c r="E54" s="209" t="s">
        <v>275</v>
      </c>
      <c r="F54" s="496" t="s">
        <v>322</v>
      </c>
      <c r="G54" s="497"/>
      <c r="H54" s="497"/>
      <c r="I54" s="497"/>
      <c r="J54" s="497"/>
      <c r="K54" s="497"/>
      <c r="L54" s="497"/>
      <c r="M54" s="498"/>
      <c r="N54" s="208" t="s">
        <v>119</v>
      </c>
      <c r="O54" s="206" t="s">
        <v>174</v>
      </c>
      <c r="P54" s="510" t="s">
        <v>285</v>
      </c>
      <c r="Q54" s="511"/>
      <c r="R54" s="510" t="s">
        <v>327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494" t="s">
        <v>119</v>
      </c>
      <c r="B55" s="495"/>
      <c r="C55" s="209" t="s">
        <v>181</v>
      </c>
      <c r="D55" s="209" t="s">
        <v>285</v>
      </c>
      <c r="E55" s="209" t="s">
        <v>311</v>
      </c>
      <c r="F55" s="496" t="s">
        <v>323</v>
      </c>
      <c r="G55" s="497"/>
      <c r="H55" s="497"/>
      <c r="I55" s="497"/>
      <c r="J55" s="497"/>
      <c r="K55" s="497"/>
      <c r="L55" s="497"/>
      <c r="M55" s="498"/>
      <c r="N55" s="208" t="s">
        <v>122</v>
      </c>
      <c r="O55" s="206" t="s">
        <v>277</v>
      </c>
      <c r="P55" s="510"/>
      <c r="Q55" s="511"/>
      <c r="R55" s="510" t="s">
        <v>275</v>
      </c>
      <c r="S55" s="512"/>
      <c r="T55" s="512"/>
      <c r="U55" s="511"/>
      <c r="V55" s="480" t="s">
        <v>139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112</v>
      </c>
      <c r="B56" s="509"/>
      <c r="C56" s="212" t="s">
        <v>224</v>
      </c>
      <c r="D56" s="212" t="s">
        <v>115</v>
      </c>
      <c r="E56" s="209" t="s">
        <v>283</v>
      </c>
      <c r="F56" s="496" t="s">
        <v>324</v>
      </c>
      <c r="G56" s="497"/>
      <c r="H56" s="497"/>
      <c r="I56" s="497"/>
      <c r="J56" s="497"/>
      <c r="K56" s="497"/>
      <c r="L56" s="497"/>
      <c r="M56" s="498"/>
      <c r="N56" s="208" t="s">
        <v>119</v>
      </c>
      <c r="O56" s="206" t="s">
        <v>149</v>
      </c>
      <c r="P56" s="510" t="s">
        <v>115</v>
      </c>
      <c r="Q56" s="511"/>
      <c r="R56" s="510" t="s">
        <v>328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508"/>
      <c r="B57" s="509"/>
      <c r="C57" s="212"/>
      <c r="D57" s="212"/>
      <c r="E57" s="209"/>
      <c r="F57" s="496"/>
      <c r="G57" s="497"/>
      <c r="H57" s="497"/>
      <c r="I57" s="497"/>
      <c r="J57" s="497"/>
      <c r="K57" s="497"/>
      <c r="L57" s="497"/>
      <c r="M57" s="498"/>
      <c r="N57" s="208" t="s">
        <v>119</v>
      </c>
      <c r="O57" s="206" t="s">
        <v>314</v>
      </c>
      <c r="P57" s="510" t="s">
        <v>136</v>
      </c>
      <c r="Q57" s="511"/>
      <c r="R57" s="510" t="s">
        <v>329</v>
      </c>
      <c r="S57" s="512"/>
      <c r="T57" s="512"/>
      <c r="U57" s="511"/>
      <c r="V57" s="480" t="s">
        <v>180</v>
      </c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494"/>
      <c r="B58" s="495"/>
      <c r="C58" s="209"/>
      <c r="D58" s="209"/>
      <c r="E58" s="209"/>
      <c r="F58" s="496"/>
      <c r="G58" s="497"/>
      <c r="H58" s="497"/>
      <c r="I58" s="497"/>
      <c r="J58" s="497"/>
      <c r="K58" s="497"/>
      <c r="L58" s="497"/>
      <c r="M58" s="498"/>
      <c r="N58" s="208"/>
      <c r="O58" s="206"/>
      <c r="P58" s="510"/>
      <c r="Q58" s="511"/>
      <c r="R58" s="510"/>
      <c r="S58" s="512"/>
      <c r="T58" s="512"/>
      <c r="U58" s="511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12"/>
      <c r="D59" s="212"/>
      <c r="E59" s="209"/>
      <c r="F59" s="496"/>
      <c r="G59" s="497"/>
      <c r="H59" s="497"/>
      <c r="I59" s="497"/>
      <c r="J59" s="497"/>
      <c r="K59" s="497"/>
      <c r="L59" s="497"/>
      <c r="M59" s="498"/>
      <c r="N59" s="208"/>
      <c r="O59" s="206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508"/>
      <c r="B60" s="509"/>
      <c r="C60" s="212"/>
      <c r="D60" s="212"/>
      <c r="E60" s="209"/>
      <c r="F60" s="496"/>
      <c r="G60" s="497"/>
      <c r="H60" s="497"/>
      <c r="I60" s="497"/>
      <c r="J60" s="497"/>
      <c r="K60" s="497"/>
      <c r="L60" s="497"/>
      <c r="M60" s="498"/>
      <c r="N60" s="208"/>
      <c r="O60" s="206"/>
      <c r="P60" s="510"/>
      <c r="Q60" s="511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</row>
    <row r="61" spans="1:32" ht="27" customHeight="1">
      <c r="A61" s="494"/>
      <c r="B61" s="495"/>
      <c r="C61" s="209"/>
      <c r="D61" s="209"/>
      <c r="E61" s="209"/>
      <c r="F61" s="496"/>
      <c r="G61" s="497"/>
      <c r="H61" s="497"/>
      <c r="I61" s="497"/>
      <c r="J61" s="497"/>
      <c r="K61" s="497"/>
      <c r="L61" s="497"/>
      <c r="M61" s="498"/>
      <c r="N61" s="208"/>
      <c r="O61" s="206"/>
      <c r="P61" s="495"/>
      <c r="Q61" s="495"/>
      <c r="R61" s="495"/>
      <c r="S61" s="495"/>
      <c r="T61" s="495"/>
      <c r="U61" s="495"/>
      <c r="V61" s="480"/>
      <c r="W61" s="480"/>
      <c r="X61" s="480"/>
      <c r="Y61" s="480"/>
      <c r="Z61" s="480"/>
      <c r="AA61" s="480"/>
      <c r="AB61" s="480"/>
      <c r="AC61" s="480"/>
      <c r="AD61" s="499"/>
      <c r="AF61" s="84">
        <f>8*3000</f>
        <v>24000</v>
      </c>
    </row>
    <row r="62" spans="1:32" ht="27" customHeight="1" thickBot="1">
      <c r="A62" s="500"/>
      <c r="B62" s="501"/>
      <c r="C62" s="210"/>
      <c r="D62" s="211"/>
      <c r="E62" s="211"/>
      <c r="F62" s="502"/>
      <c r="G62" s="503"/>
      <c r="H62" s="503"/>
      <c r="I62" s="503"/>
      <c r="J62" s="503"/>
      <c r="K62" s="503"/>
      <c r="L62" s="503"/>
      <c r="M62" s="504"/>
      <c r="N62" s="112"/>
      <c r="O62" s="103"/>
      <c r="P62" s="505"/>
      <c r="Q62" s="505"/>
      <c r="R62" s="505"/>
      <c r="S62" s="505"/>
      <c r="T62" s="505"/>
      <c r="U62" s="505"/>
      <c r="V62" s="506"/>
      <c r="W62" s="506"/>
      <c r="X62" s="506"/>
      <c r="Y62" s="506"/>
      <c r="Z62" s="506"/>
      <c r="AA62" s="506"/>
      <c r="AB62" s="506"/>
      <c r="AC62" s="506"/>
      <c r="AD62" s="507"/>
      <c r="AF62" s="84">
        <f>16*3000</f>
        <v>48000</v>
      </c>
    </row>
    <row r="63" spans="1:32" ht="27.75" thickBot="1">
      <c r="A63" s="492" t="s">
        <v>330</v>
      </c>
      <c r="B63" s="492"/>
      <c r="C63" s="492"/>
      <c r="D63" s="492"/>
      <c r="E63" s="49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3" t="s">
        <v>111</v>
      </c>
      <c r="B64" s="487"/>
      <c r="C64" s="207" t="s">
        <v>2</v>
      </c>
      <c r="D64" s="207" t="s">
        <v>37</v>
      </c>
      <c r="E64" s="207" t="s">
        <v>3</v>
      </c>
      <c r="F64" s="487" t="s">
        <v>109</v>
      </c>
      <c r="G64" s="487"/>
      <c r="H64" s="487"/>
      <c r="I64" s="487"/>
      <c r="J64" s="487"/>
      <c r="K64" s="487" t="s">
        <v>39</v>
      </c>
      <c r="L64" s="487"/>
      <c r="M64" s="207" t="s">
        <v>40</v>
      </c>
      <c r="N64" s="487" t="s">
        <v>41</v>
      </c>
      <c r="O64" s="487"/>
      <c r="P64" s="484" t="s">
        <v>42</v>
      </c>
      <c r="Q64" s="486"/>
      <c r="R64" s="484" t="s">
        <v>43</v>
      </c>
      <c r="S64" s="485"/>
      <c r="T64" s="485"/>
      <c r="U64" s="485"/>
      <c r="V64" s="485"/>
      <c r="W64" s="485"/>
      <c r="X64" s="485"/>
      <c r="Y64" s="485"/>
      <c r="Z64" s="485"/>
      <c r="AA64" s="486"/>
      <c r="AB64" s="487" t="s">
        <v>44</v>
      </c>
      <c r="AC64" s="487"/>
      <c r="AD64" s="488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112</v>
      </c>
      <c r="D65" s="202"/>
      <c r="E65" s="205" t="s">
        <v>115</v>
      </c>
      <c r="F65" s="481" t="s">
        <v>331</v>
      </c>
      <c r="G65" s="482"/>
      <c r="H65" s="482"/>
      <c r="I65" s="482"/>
      <c r="J65" s="483"/>
      <c r="K65" s="469" t="s">
        <v>266</v>
      </c>
      <c r="L65" s="469"/>
      <c r="M65" s="51" t="s">
        <v>140</v>
      </c>
      <c r="N65" s="478" t="s">
        <v>314</v>
      </c>
      <c r="O65" s="478"/>
      <c r="P65" s="479">
        <v>50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89"/>
      <c r="AC65" s="490"/>
      <c r="AD65" s="491"/>
      <c r="AF65" s="50"/>
    </row>
    <row r="66" spans="1:32" ht="25.5" customHeight="1">
      <c r="A66" s="475">
        <v>2</v>
      </c>
      <c r="B66" s="476"/>
      <c r="C66" s="105" t="s">
        <v>120</v>
      </c>
      <c r="D66" s="202"/>
      <c r="E66" s="205" t="s">
        <v>285</v>
      </c>
      <c r="F66" s="481" t="s">
        <v>332</v>
      </c>
      <c r="G66" s="482"/>
      <c r="H66" s="482"/>
      <c r="I66" s="482"/>
      <c r="J66" s="483"/>
      <c r="K66" s="469" t="s">
        <v>287</v>
      </c>
      <c r="L66" s="469"/>
      <c r="M66" s="51" t="s">
        <v>140</v>
      </c>
      <c r="N66" s="478" t="s">
        <v>184</v>
      </c>
      <c r="O66" s="478"/>
      <c r="P66" s="479">
        <v>200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3</v>
      </c>
      <c r="B67" s="476"/>
      <c r="C67" s="105" t="s">
        <v>112</v>
      </c>
      <c r="D67" s="202"/>
      <c r="E67" s="205" t="s">
        <v>175</v>
      </c>
      <c r="F67" s="477" t="s">
        <v>333</v>
      </c>
      <c r="G67" s="469"/>
      <c r="H67" s="469"/>
      <c r="I67" s="469"/>
      <c r="J67" s="469"/>
      <c r="K67" s="469" t="s">
        <v>127</v>
      </c>
      <c r="L67" s="469"/>
      <c r="M67" s="51" t="s">
        <v>334</v>
      </c>
      <c r="N67" s="478" t="s">
        <v>174</v>
      </c>
      <c r="O67" s="478"/>
      <c r="P67" s="479">
        <v>50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4</v>
      </c>
      <c r="B68" s="476"/>
      <c r="C68" s="105"/>
      <c r="D68" s="202"/>
      <c r="E68" s="205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5</v>
      </c>
      <c r="B69" s="476"/>
      <c r="C69" s="105"/>
      <c r="D69" s="202"/>
      <c r="E69" s="205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6</v>
      </c>
      <c r="B70" s="476"/>
      <c r="C70" s="105"/>
      <c r="D70" s="202"/>
      <c r="E70" s="205"/>
      <c r="F70" s="481"/>
      <c r="G70" s="482"/>
      <c r="H70" s="482"/>
      <c r="I70" s="482"/>
      <c r="J70" s="483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7</v>
      </c>
      <c r="B71" s="476"/>
      <c r="C71" s="105"/>
      <c r="D71" s="202"/>
      <c r="E71" s="205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8</v>
      </c>
      <c r="B72" s="476"/>
      <c r="C72" s="105"/>
      <c r="D72" s="202"/>
      <c r="E72" s="205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9</v>
      </c>
      <c r="B73" s="476"/>
      <c r="C73" s="105"/>
      <c r="D73" s="202"/>
      <c r="E73" s="205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5.5" customHeight="1">
      <c r="A74" s="475">
        <v>10</v>
      </c>
      <c r="B74" s="476"/>
      <c r="C74" s="105"/>
      <c r="D74" s="202"/>
      <c r="E74" s="205"/>
      <c r="F74" s="477"/>
      <c r="G74" s="469"/>
      <c r="H74" s="469"/>
      <c r="I74" s="469"/>
      <c r="J74" s="469"/>
      <c r="K74" s="469"/>
      <c r="L74" s="469"/>
      <c r="M74" s="51"/>
      <c r="N74" s="478"/>
      <c r="O74" s="478"/>
      <c r="P74" s="479"/>
      <c r="Q74" s="479"/>
      <c r="R74" s="480"/>
      <c r="S74" s="480"/>
      <c r="T74" s="480"/>
      <c r="U74" s="480"/>
      <c r="V74" s="480"/>
      <c r="W74" s="480"/>
      <c r="X74" s="480"/>
      <c r="Y74" s="480"/>
      <c r="Z74" s="480"/>
      <c r="AA74" s="480"/>
      <c r="AB74" s="469"/>
      <c r="AC74" s="469"/>
      <c r="AD74" s="470"/>
      <c r="AF74" s="50"/>
    </row>
    <row r="75" spans="1:32" ht="26.25" customHeight="1" thickBot="1">
      <c r="A75" s="449" t="s">
        <v>335</v>
      </c>
      <c r="B75" s="449"/>
      <c r="C75" s="449"/>
      <c r="D75" s="449"/>
      <c r="E75" s="44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0" t="s">
        <v>111</v>
      </c>
      <c r="B76" s="451"/>
      <c r="C76" s="204" t="s">
        <v>2</v>
      </c>
      <c r="D76" s="204" t="s">
        <v>37</v>
      </c>
      <c r="E76" s="204" t="s">
        <v>150</v>
      </c>
      <c r="F76" s="451" t="s">
        <v>38</v>
      </c>
      <c r="G76" s="451"/>
      <c r="H76" s="451"/>
      <c r="I76" s="451"/>
      <c r="J76" s="451"/>
      <c r="K76" s="471" t="s">
        <v>58</v>
      </c>
      <c r="L76" s="472"/>
      <c r="M76" s="472"/>
      <c r="N76" s="472"/>
      <c r="O76" s="472"/>
      <c r="P76" s="472"/>
      <c r="Q76" s="472"/>
      <c r="R76" s="472"/>
      <c r="S76" s="473"/>
      <c r="T76" s="451" t="s">
        <v>49</v>
      </c>
      <c r="U76" s="451"/>
      <c r="V76" s="471" t="s">
        <v>50</v>
      </c>
      <c r="W76" s="473"/>
      <c r="X76" s="472" t="s">
        <v>51</v>
      </c>
      <c r="Y76" s="472"/>
      <c r="Z76" s="472"/>
      <c r="AA76" s="472"/>
      <c r="AB76" s="472"/>
      <c r="AC76" s="472"/>
      <c r="AD76" s="474"/>
      <c r="AF76" s="50"/>
    </row>
    <row r="77" spans="1:32" ht="33.75" customHeight="1">
      <c r="A77" s="443">
        <v>1</v>
      </c>
      <c r="B77" s="444"/>
      <c r="C77" s="203" t="s">
        <v>112</v>
      </c>
      <c r="D77" s="203"/>
      <c r="E77" s="65" t="s">
        <v>117</v>
      </c>
      <c r="F77" s="458" t="s">
        <v>116</v>
      </c>
      <c r="G77" s="459"/>
      <c r="H77" s="459"/>
      <c r="I77" s="459"/>
      <c r="J77" s="460"/>
      <c r="K77" s="461" t="s">
        <v>121</v>
      </c>
      <c r="L77" s="462"/>
      <c r="M77" s="462"/>
      <c r="N77" s="462"/>
      <c r="O77" s="462"/>
      <c r="P77" s="462"/>
      <c r="Q77" s="462"/>
      <c r="R77" s="462"/>
      <c r="S77" s="463"/>
      <c r="T77" s="464">
        <v>43675</v>
      </c>
      <c r="U77" s="465"/>
      <c r="V77" s="466"/>
      <c r="W77" s="466"/>
      <c r="X77" s="467"/>
      <c r="Y77" s="467"/>
      <c r="Z77" s="467"/>
      <c r="AA77" s="467"/>
      <c r="AB77" s="467"/>
      <c r="AC77" s="467"/>
      <c r="AD77" s="468"/>
      <c r="AF77" s="50"/>
    </row>
    <row r="78" spans="1:32" ht="30" customHeight="1">
      <c r="A78" s="436">
        <f>A77+1</f>
        <v>2</v>
      </c>
      <c r="B78" s="437"/>
      <c r="C78" s="202"/>
      <c r="D78" s="202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ref="A79:A83" si="20">A78+1</f>
        <v>3</v>
      </c>
      <c r="B79" s="437"/>
      <c r="C79" s="202"/>
      <c r="D79" s="202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20"/>
        <v>4</v>
      </c>
      <c r="B80" s="437"/>
      <c r="C80" s="202"/>
      <c r="D80" s="202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20"/>
        <v>5</v>
      </c>
      <c r="B81" s="437"/>
      <c r="C81" s="202"/>
      <c r="D81" s="202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20"/>
        <v>6</v>
      </c>
      <c r="B82" s="437"/>
      <c r="C82" s="202"/>
      <c r="D82" s="202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0" customHeight="1">
      <c r="A83" s="436">
        <f t="shared" si="20"/>
        <v>7</v>
      </c>
      <c r="B83" s="437"/>
      <c r="C83" s="202"/>
      <c r="D83" s="202"/>
      <c r="E83" s="32"/>
      <c r="F83" s="437"/>
      <c r="G83" s="437"/>
      <c r="H83" s="437"/>
      <c r="I83" s="437"/>
      <c r="J83" s="437"/>
      <c r="K83" s="452"/>
      <c r="L83" s="453"/>
      <c r="M83" s="453"/>
      <c r="N83" s="453"/>
      <c r="O83" s="453"/>
      <c r="P83" s="453"/>
      <c r="Q83" s="453"/>
      <c r="R83" s="453"/>
      <c r="S83" s="454"/>
      <c r="T83" s="455"/>
      <c r="U83" s="455"/>
      <c r="V83" s="455"/>
      <c r="W83" s="455"/>
      <c r="X83" s="456"/>
      <c r="Y83" s="456"/>
      <c r="Z83" s="456"/>
      <c r="AA83" s="456"/>
      <c r="AB83" s="456"/>
      <c r="AC83" s="456"/>
      <c r="AD83" s="457"/>
      <c r="AF83" s="50"/>
    </row>
    <row r="84" spans="1:32" ht="36" thickBot="1">
      <c r="A84" s="449" t="s">
        <v>336</v>
      </c>
      <c r="B84" s="449"/>
      <c r="C84" s="449"/>
      <c r="D84" s="449"/>
      <c r="E84" s="44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0" t="s">
        <v>111</v>
      </c>
      <c r="B85" s="451"/>
      <c r="C85" s="441" t="s">
        <v>52</v>
      </c>
      <c r="D85" s="441"/>
      <c r="E85" s="441" t="s">
        <v>53</v>
      </c>
      <c r="F85" s="441"/>
      <c r="G85" s="441"/>
      <c r="H85" s="441"/>
      <c r="I85" s="441"/>
      <c r="J85" s="441"/>
      <c r="K85" s="441" t="s">
        <v>54</v>
      </c>
      <c r="L85" s="441"/>
      <c r="M85" s="441"/>
      <c r="N85" s="441"/>
      <c r="O85" s="441"/>
      <c r="P85" s="441"/>
      <c r="Q85" s="441"/>
      <c r="R85" s="441"/>
      <c r="S85" s="441"/>
      <c r="T85" s="441" t="s">
        <v>55</v>
      </c>
      <c r="U85" s="441"/>
      <c r="V85" s="441" t="s">
        <v>56</v>
      </c>
      <c r="W85" s="441"/>
      <c r="X85" s="441"/>
      <c r="Y85" s="441" t="s">
        <v>51</v>
      </c>
      <c r="Z85" s="441"/>
      <c r="AA85" s="441"/>
      <c r="AB85" s="441"/>
      <c r="AC85" s="441"/>
      <c r="AD85" s="442"/>
      <c r="AF85" s="50"/>
    </row>
    <row r="86" spans="1:32" ht="30.75" customHeight="1">
      <c r="A86" s="443">
        <v>1</v>
      </c>
      <c r="B86" s="444"/>
      <c r="C86" s="445">
        <v>11</v>
      </c>
      <c r="D86" s="445"/>
      <c r="E86" s="445" t="s">
        <v>151</v>
      </c>
      <c r="F86" s="445"/>
      <c r="G86" s="445"/>
      <c r="H86" s="445"/>
      <c r="I86" s="445"/>
      <c r="J86" s="445"/>
      <c r="K86" s="445" t="s">
        <v>153</v>
      </c>
      <c r="L86" s="445"/>
      <c r="M86" s="445"/>
      <c r="N86" s="445"/>
      <c r="O86" s="445"/>
      <c r="P86" s="445"/>
      <c r="Q86" s="445"/>
      <c r="R86" s="445"/>
      <c r="S86" s="445"/>
      <c r="T86" s="445" t="s">
        <v>152</v>
      </c>
      <c r="U86" s="445"/>
      <c r="V86" s="446"/>
      <c r="W86" s="446"/>
      <c r="X86" s="446"/>
      <c r="Y86" s="447" t="s">
        <v>154</v>
      </c>
      <c r="Z86" s="447"/>
      <c r="AA86" s="447"/>
      <c r="AB86" s="447"/>
      <c r="AC86" s="447"/>
      <c r="AD86" s="448"/>
      <c r="AF86" s="50"/>
    </row>
    <row r="87" spans="1:32" ht="30.75" customHeight="1">
      <c r="A87" s="436">
        <v>2</v>
      </c>
      <c r="B87" s="437"/>
      <c r="C87" s="438"/>
      <c r="D87" s="438"/>
      <c r="E87" s="438"/>
      <c r="F87" s="438"/>
      <c r="G87" s="438"/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438"/>
      <c r="T87" s="439"/>
      <c r="U87" s="439"/>
      <c r="V87" s="440"/>
      <c r="W87" s="440"/>
      <c r="X87" s="440"/>
      <c r="Y87" s="429"/>
      <c r="Z87" s="429"/>
      <c r="AA87" s="429"/>
      <c r="AB87" s="429"/>
      <c r="AC87" s="429"/>
      <c r="AD87" s="430"/>
      <c r="AF87" s="50"/>
    </row>
    <row r="88" spans="1:32" ht="30.75" customHeight="1" thickBot="1">
      <c r="A88" s="431">
        <v>3</v>
      </c>
      <c r="B88" s="432"/>
      <c r="C88" s="433"/>
      <c r="D88" s="433"/>
      <c r="E88" s="433"/>
      <c r="F88" s="433"/>
      <c r="G88" s="433"/>
      <c r="H88" s="433"/>
      <c r="I88" s="433"/>
      <c r="J88" s="433"/>
      <c r="K88" s="433"/>
      <c r="L88" s="433"/>
      <c r="M88" s="433"/>
      <c r="N88" s="433"/>
      <c r="O88" s="433"/>
      <c r="P88" s="433"/>
      <c r="Q88" s="433"/>
      <c r="R88" s="433"/>
      <c r="S88" s="433"/>
      <c r="T88" s="433"/>
      <c r="U88" s="433"/>
      <c r="V88" s="433"/>
      <c r="W88" s="433"/>
      <c r="X88" s="433"/>
      <c r="Y88" s="434"/>
      <c r="Z88" s="434"/>
      <c r="AA88" s="434"/>
      <c r="AB88" s="434"/>
      <c r="AC88" s="434"/>
      <c r="AD88" s="435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AB02-9BE0-47DD-8C2F-991FA6D37E79}">
  <dimension ref="A1:AF87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338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15" t="s">
        <v>17</v>
      </c>
      <c r="L5" s="215" t="s">
        <v>18</v>
      </c>
      <c r="M5" s="215" t="s">
        <v>19</v>
      </c>
      <c r="N5" s="2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145</v>
      </c>
      <c r="E6" s="53" t="s">
        <v>326</v>
      </c>
      <c r="F6" s="12" t="s">
        <v>339</v>
      </c>
      <c r="G6" s="12">
        <v>4</v>
      </c>
      <c r="H6" s="13">
        <v>24</v>
      </c>
      <c r="I6" s="31">
        <v>8000</v>
      </c>
      <c r="J6" s="14">
        <v>14764</v>
      </c>
      <c r="K6" s="15">
        <f>L6</f>
        <v>14764</v>
      </c>
      <c r="L6" s="15">
        <f>2769*4+922*4</f>
        <v>14764</v>
      </c>
      <c r="M6" s="15">
        <f t="shared" ref="M6:M21" si="0">L6-N6</f>
        <v>14764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14</v>
      </c>
      <c r="Q6" s="40">
        <f t="shared" ref="Q6:Q21" si="3">SUM(R6:AA6)</f>
        <v>10</v>
      </c>
      <c r="R6" s="7"/>
      <c r="S6" s="6"/>
      <c r="T6" s="16"/>
      <c r="U6" s="16"/>
      <c r="V6" s="17"/>
      <c r="W6" s="5">
        <v>10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0.58333333333333337</v>
      </c>
      <c r="AD6" s="10">
        <f t="shared" ref="AD6:AD21" si="6">AC6*AB6*(1-O6)</f>
        <v>0.58333333333333337</v>
      </c>
      <c r="AE6" s="36">
        <f t="shared" ref="AE6:AE21" si="7">$AD$22</f>
        <v>0.51041666666666663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285</v>
      </c>
      <c r="E7" s="53" t="s">
        <v>327</v>
      </c>
      <c r="F7" s="12" t="s">
        <v>339</v>
      </c>
      <c r="G7" s="12">
        <v>4</v>
      </c>
      <c r="H7" s="13">
        <v>24</v>
      </c>
      <c r="I7" s="31">
        <v>8000</v>
      </c>
      <c r="J7" s="14">
        <v>16240</v>
      </c>
      <c r="K7" s="15">
        <f>L7</f>
        <v>16240</v>
      </c>
      <c r="L7" s="15">
        <f>2367*4+1693*4</f>
        <v>16240</v>
      </c>
      <c r="M7" s="15">
        <f t="shared" si="0"/>
        <v>16240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/>
      <c r="T7" s="16"/>
      <c r="U7" s="16"/>
      <c r="V7" s="17"/>
      <c r="W7" s="5">
        <v>6</v>
      </c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0.51041666666666663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24152</v>
      </c>
      <c r="K8" s="15">
        <f>L8+8404+12360+9142+12426+5790+11544+12480+12502+12376+12380+22896+24720+24328+24256+11504+24084+22712+24032+23532+20768+23268+23880+22096+24340+10412+14832+23872+25696+24068+24616+24584</f>
        <v>598052</v>
      </c>
      <c r="L8" s="15">
        <f>2843*4+3195*4</f>
        <v>24152</v>
      </c>
      <c r="M8" s="15">
        <f t="shared" si="0"/>
        <v>24152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0.51041666666666663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311</v>
      </c>
      <c r="F9" s="30" t="s">
        <v>266</v>
      </c>
      <c r="G9" s="33">
        <v>1</v>
      </c>
      <c r="H9" s="35">
        <v>24</v>
      </c>
      <c r="I9" s="7">
        <v>15000</v>
      </c>
      <c r="J9" s="14">
        <v>5385</v>
      </c>
      <c r="K9" s="15">
        <f>L9+2224</f>
        <v>7609</v>
      </c>
      <c r="L9" s="15">
        <f>2553+2832</f>
        <v>5385</v>
      </c>
      <c r="M9" s="15">
        <f t="shared" si="0"/>
        <v>5385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0.51041666666666663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24944</v>
      </c>
      <c r="K10" s="15">
        <f>L10+19272+24844+16004+13948+24828+23236+25072+24900+25224+24840+25892+24064+24888+25144</f>
        <v>347100</v>
      </c>
      <c r="L10" s="15">
        <f>2966*4+3270*4</f>
        <v>24944</v>
      </c>
      <c r="M10" s="15">
        <f t="shared" si="0"/>
        <v>24944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0.51041666666666663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138</v>
      </c>
      <c r="F11" s="30" t="s">
        <v>123</v>
      </c>
      <c r="G11" s="33">
        <v>2</v>
      </c>
      <c r="H11" s="35">
        <v>24</v>
      </c>
      <c r="I11" s="7">
        <v>22000</v>
      </c>
      <c r="J11" s="14">
        <v>7058</v>
      </c>
      <c r="K11" s="15">
        <f>L11+7656+11870</f>
        <v>26584</v>
      </c>
      <c r="L11" s="15">
        <f>714*2+2815*2</f>
        <v>7058</v>
      </c>
      <c r="M11" s="15">
        <f t="shared" si="0"/>
        <v>7058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/>
      <c r="T11" s="16"/>
      <c r="U11" s="16"/>
      <c r="V11" s="17"/>
      <c r="W11" s="5">
        <v>6</v>
      </c>
      <c r="X11" s="16"/>
      <c r="Y11" s="16"/>
      <c r="Z11" s="16"/>
      <c r="AA11" s="18"/>
      <c r="AB11" s="8">
        <f t="shared" si="4"/>
        <v>1</v>
      </c>
      <c r="AC11" s="9">
        <f t="shared" si="5"/>
        <v>0.75</v>
      </c>
      <c r="AD11" s="10">
        <f t="shared" ref="AD11:AD14" si="9">AC11*AB11*(1-O11)</f>
        <v>0.75</v>
      </c>
      <c r="AE11" s="36">
        <f t="shared" si="7"/>
        <v>0.51041666666666663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119</v>
      </c>
      <c r="D12" s="52" t="s">
        <v>115</v>
      </c>
      <c r="E12" s="53" t="s">
        <v>328</v>
      </c>
      <c r="F12" s="12" t="s">
        <v>340</v>
      </c>
      <c r="G12" s="12">
        <v>4</v>
      </c>
      <c r="H12" s="35">
        <v>24</v>
      </c>
      <c r="I12" s="7">
        <v>8000</v>
      </c>
      <c r="J12" s="14">
        <v>4795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0.51041666666666663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16415</v>
      </c>
      <c r="K13" s="15">
        <f>L13+14284+8352+12576+8310+15524+17860+22424+23088+2420+23364+22844+15980+12148+8056</f>
        <v>223645</v>
      </c>
      <c r="L13" s="15">
        <f>1862*4+2989*3</f>
        <v>16415</v>
      </c>
      <c r="M13" s="15">
        <f t="shared" si="0"/>
        <v>16415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>AC13*AB13*(1-O13)</f>
        <v>0.83333333333333337</v>
      </c>
      <c r="AE13" s="36">
        <f t="shared" si="7"/>
        <v>0.51041666666666663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283</v>
      </c>
      <c r="F14" s="30" t="s">
        <v>129</v>
      </c>
      <c r="G14" s="33">
        <v>1</v>
      </c>
      <c r="H14" s="35">
        <v>60</v>
      </c>
      <c r="I14" s="7">
        <v>300</v>
      </c>
      <c r="J14" s="5">
        <v>378</v>
      </c>
      <c r="K14" s="15">
        <f>L14+378</f>
        <v>378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0.51041666666666663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L15+2236+873+2158+5230+5277+5226+625+4849+5260+1328</f>
        <v>33062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0.51041666666666663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0.51041666666666663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0.51041666666666663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122</v>
      </c>
      <c r="D18" s="52"/>
      <c r="E18" s="53" t="s">
        <v>160</v>
      </c>
      <c r="F18" s="30" t="s">
        <v>118</v>
      </c>
      <c r="G18" s="33">
        <v>1</v>
      </c>
      <c r="H18" s="35">
        <v>24</v>
      </c>
      <c r="I18" s="7">
        <v>13000</v>
      </c>
      <c r="J18" s="14">
        <v>4803</v>
      </c>
      <c r="K18" s="15">
        <f>L18+2656</f>
        <v>7459</v>
      </c>
      <c r="L18" s="15">
        <f>1920+2883</f>
        <v>4803</v>
      </c>
      <c r="M18" s="15">
        <f t="shared" si="0"/>
        <v>4803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0.51041666666666663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136</v>
      </c>
      <c r="E19" s="53" t="s">
        <v>329</v>
      </c>
      <c r="F19" s="30" t="s">
        <v>147</v>
      </c>
      <c r="G19" s="33">
        <v>4</v>
      </c>
      <c r="H19" s="35">
        <v>24</v>
      </c>
      <c r="I19" s="7">
        <v>8000</v>
      </c>
      <c r="J19" s="14">
        <v>12300</v>
      </c>
      <c r="K19" s="15">
        <f>L19</f>
        <v>12300</v>
      </c>
      <c r="L19" s="15">
        <f>2325*4+750*4</f>
        <v>12300</v>
      </c>
      <c r="M19" s="15">
        <f t="shared" si="0"/>
        <v>12300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/>
      <c r="T19" s="16"/>
      <c r="U19" s="16"/>
      <c r="V19" s="17"/>
      <c r="W19" s="5">
        <v>10</v>
      </c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0.51041666666666663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142</v>
      </c>
      <c r="F20" s="30" t="s">
        <v>123</v>
      </c>
      <c r="G20" s="12">
        <v>4</v>
      </c>
      <c r="H20" s="13">
        <v>28</v>
      </c>
      <c r="I20" s="31">
        <v>561000</v>
      </c>
      <c r="J20" s="5">
        <v>8056</v>
      </c>
      <c r="K20" s="15">
        <f>L20+14284+8352+12576+8310+15524+17860+22424+23088+2420+23364+22844+15980+12148+8056</f>
        <v>207230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0.51041666666666663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43600</v>
      </c>
      <c r="K21" s="15">
        <f>L21+17656+21428+32268+13436+27116+28000</f>
        <v>183504</v>
      </c>
      <c r="L21" s="15">
        <f>8940*4+1960*4</f>
        <v>43600</v>
      </c>
      <c r="M21" s="15">
        <f t="shared" si="0"/>
        <v>43600</v>
      </c>
      <c r="N21" s="15">
        <v>0</v>
      </c>
      <c r="O21" s="58">
        <f t="shared" si="1"/>
        <v>0</v>
      </c>
      <c r="P21" s="39">
        <f t="shared" si="2"/>
        <v>19</v>
      </c>
      <c r="Q21" s="40">
        <f t="shared" si="3"/>
        <v>5</v>
      </c>
      <c r="R21" s="7"/>
      <c r="S21" s="6"/>
      <c r="T21" s="16"/>
      <c r="U21" s="16"/>
      <c r="V21" s="17">
        <v>5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0.79166666666666663</v>
      </c>
      <c r="AD21" s="10">
        <f t="shared" si="6"/>
        <v>0.79166666666666663</v>
      </c>
      <c r="AE21" s="36">
        <f t="shared" si="7"/>
        <v>0.51041666666666663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2975110</v>
      </c>
      <c r="J22" s="19">
        <f t="shared" si="10"/>
        <v>185113</v>
      </c>
      <c r="K22" s="20">
        <f t="shared" si="10"/>
        <v>1678822</v>
      </c>
      <c r="L22" s="21">
        <f t="shared" si="10"/>
        <v>169661</v>
      </c>
      <c r="M22" s="20">
        <f t="shared" si="10"/>
        <v>169661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196</v>
      </c>
      <c r="Q22" s="43">
        <f t="shared" si="11"/>
        <v>188</v>
      </c>
      <c r="R22" s="23">
        <f t="shared" si="11"/>
        <v>24</v>
      </c>
      <c r="S22" s="24">
        <f t="shared" si="11"/>
        <v>55</v>
      </c>
      <c r="T22" s="24">
        <f t="shared" si="11"/>
        <v>0</v>
      </c>
      <c r="U22" s="24">
        <f t="shared" si="11"/>
        <v>0</v>
      </c>
      <c r="V22" s="25">
        <f t="shared" si="11"/>
        <v>5</v>
      </c>
      <c r="W22" s="26">
        <f t="shared" si="11"/>
        <v>80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0.51041666666666663</v>
      </c>
      <c r="AD22" s="4">
        <f>AVERAGE(AD6:AD21)</f>
        <v>0.51041666666666663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341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345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16" t="s">
        <v>46</v>
      </c>
      <c r="D51" s="216" t="s">
        <v>47</v>
      </c>
      <c r="E51" s="216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16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122</v>
      </c>
      <c r="B52" s="509"/>
      <c r="C52" s="217" t="s">
        <v>187</v>
      </c>
      <c r="D52" s="217"/>
      <c r="E52" s="219" t="s">
        <v>160</v>
      </c>
      <c r="F52" s="496" t="s">
        <v>342</v>
      </c>
      <c r="G52" s="497"/>
      <c r="H52" s="497"/>
      <c r="I52" s="497"/>
      <c r="J52" s="497"/>
      <c r="K52" s="497"/>
      <c r="L52" s="497"/>
      <c r="M52" s="498"/>
      <c r="N52" s="218" t="s">
        <v>119</v>
      </c>
      <c r="O52" s="224" t="s">
        <v>314</v>
      </c>
      <c r="P52" s="510" t="s">
        <v>115</v>
      </c>
      <c r="Q52" s="511"/>
      <c r="R52" s="510" t="s">
        <v>328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120</v>
      </c>
      <c r="B53" s="509"/>
      <c r="C53" s="217" t="s">
        <v>177</v>
      </c>
      <c r="D53" s="217" t="s">
        <v>115</v>
      </c>
      <c r="E53" s="219" t="s">
        <v>275</v>
      </c>
      <c r="F53" s="496" t="s">
        <v>343</v>
      </c>
      <c r="G53" s="497"/>
      <c r="H53" s="497"/>
      <c r="I53" s="497"/>
      <c r="J53" s="497"/>
      <c r="K53" s="497"/>
      <c r="L53" s="497"/>
      <c r="M53" s="498"/>
      <c r="N53" s="218" t="s">
        <v>120</v>
      </c>
      <c r="O53" s="224" t="s">
        <v>177</v>
      </c>
      <c r="P53" s="510" t="s">
        <v>115</v>
      </c>
      <c r="Q53" s="511"/>
      <c r="R53" s="510" t="s">
        <v>275</v>
      </c>
      <c r="S53" s="512"/>
      <c r="T53" s="512"/>
      <c r="U53" s="511"/>
      <c r="V53" s="480" t="s">
        <v>139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119</v>
      </c>
      <c r="B54" s="495"/>
      <c r="C54" s="219" t="s">
        <v>200</v>
      </c>
      <c r="D54" s="219" t="s">
        <v>145</v>
      </c>
      <c r="E54" s="219" t="s">
        <v>326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218" t="s">
        <v>120</v>
      </c>
      <c r="O54" s="224" t="s">
        <v>346</v>
      </c>
      <c r="P54" s="510" t="s">
        <v>137</v>
      </c>
      <c r="Q54" s="511"/>
      <c r="R54" s="510" t="s">
        <v>347</v>
      </c>
      <c r="S54" s="512"/>
      <c r="T54" s="512"/>
      <c r="U54" s="511"/>
      <c r="V54" s="480" t="s">
        <v>296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217" t="s">
        <v>174</v>
      </c>
      <c r="D55" s="217" t="s">
        <v>285</v>
      </c>
      <c r="E55" s="219" t="s">
        <v>327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218"/>
      <c r="O55" s="224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119</v>
      </c>
      <c r="B56" s="509"/>
      <c r="C56" s="217" t="s">
        <v>149</v>
      </c>
      <c r="D56" s="217" t="s">
        <v>115</v>
      </c>
      <c r="E56" s="219" t="s">
        <v>328</v>
      </c>
      <c r="F56" s="496" t="s">
        <v>344</v>
      </c>
      <c r="G56" s="497"/>
      <c r="H56" s="497"/>
      <c r="I56" s="497"/>
      <c r="J56" s="497"/>
      <c r="K56" s="497"/>
      <c r="L56" s="497"/>
      <c r="M56" s="498"/>
      <c r="N56" s="218"/>
      <c r="O56" s="224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119</v>
      </c>
      <c r="B57" s="495"/>
      <c r="C57" s="219" t="s">
        <v>314</v>
      </c>
      <c r="D57" s="219" t="s">
        <v>136</v>
      </c>
      <c r="E57" s="219" t="s">
        <v>329</v>
      </c>
      <c r="F57" s="496" t="s">
        <v>180</v>
      </c>
      <c r="G57" s="497"/>
      <c r="H57" s="497"/>
      <c r="I57" s="497"/>
      <c r="J57" s="497"/>
      <c r="K57" s="497"/>
      <c r="L57" s="497"/>
      <c r="M57" s="498"/>
      <c r="N57" s="218"/>
      <c r="O57" s="224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217"/>
      <c r="D58" s="217"/>
      <c r="E58" s="219"/>
      <c r="F58" s="496"/>
      <c r="G58" s="497"/>
      <c r="H58" s="497"/>
      <c r="I58" s="497"/>
      <c r="J58" s="497"/>
      <c r="K58" s="497"/>
      <c r="L58" s="497"/>
      <c r="M58" s="498"/>
      <c r="N58" s="218"/>
      <c r="O58" s="224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17"/>
      <c r="D59" s="217"/>
      <c r="E59" s="219"/>
      <c r="F59" s="496"/>
      <c r="G59" s="497"/>
      <c r="H59" s="497"/>
      <c r="I59" s="497"/>
      <c r="J59" s="497"/>
      <c r="K59" s="497"/>
      <c r="L59" s="497"/>
      <c r="M59" s="498"/>
      <c r="N59" s="218"/>
      <c r="O59" s="224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19"/>
      <c r="D60" s="219"/>
      <c r="E60" s="219"/>
      <c r="F60" s="496"/>
      <c r="G60" s="497"/>
      <c r="H60" s="497"/>
      <c r="I60" s="497"/>
      <c r="J60" s="497"/>
      <c r="K60" s="497"/>
      <c r="L60" s="497"/>
      <c r="M60" s="498"/>
      <c r="N60" s="218"/>
      <c r="O60" s="224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20"/>
      <c r="D61" s="221"/>
      <c r="E61" s="221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348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22" t="s">
        <v>2</v>
      </c>
      <c r="D63" s="222" t="s">
        <v>37</v>
      </c>
      <c r="E63" s="222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22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226"/>
      <c r="E64" s="223" t="s">
        <v>285</v>
      </c>
      <c r="F64" s="481" t="s">
        <v>286</v>
      </c>
      <c r="G64" s="482"/>
      <c r="H64" s="482"/>
      <c r="I64" s="482"/>
      <c r="J64" s="483"/>
      <c r="K64" s="469" t="s">
        <v>287</v>
      </c>
      <c r="L64" s="469"/>
      <c r="M64" s="51" t="s">
        <v>140</v>
      </c>
      <c r="N64" s="478" t="s">
        <v>184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226"/>
      <c r="E65" s="223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226"/>
      <c r="E66" s="223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26"/>
      <c r="E67" s="223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26"/>
      <c r="E68" s="223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26"/>
      <c r="E69" s="223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26"/>
      <c r="E70" s="223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26"/>
      <c r="E71" s="223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26"/>
      <c r="E72" s="223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26"/>
      <c r="E73" s="223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349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25" t="s">
        <v>2</v>
      </c>
      <c r="D75" s="225" t="s">
        <v>37</v>
      </c>
      <c r="E75" s="225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27" t="s">
        <v>112</v>
      </c>
      <c r="D76" s="227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26"/>
      <c r="D77" s="226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26"/>
      <c r="D78" s="226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26"/>
      <c r="D79" s="226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26"/>
      <c r="D80" s="226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26"/>
      <c r="D81" s="226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26"/>
      <c r="D82" s="226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350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571B-22E4-48A9-B233-D8D40C166C95}">
  <dimension ref="A1:AF87"/>
  <sheetViews>
    <sheetView view="pageBreakPreview" zoomScale="70" zoomScaleNormal="72" zoomScaleSheetLayoutView="70" workbookViewId="0">
      <selection activeCell="F76" sqref="F76:J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351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15" t="s">
        <v>17</v>
      </c>
      <c r="L5" s="215" t="s">
        <v>18</v>
      </c>
      <c r="M5" s="215" t="s">
        <v>19</v>
      </c>
      <c r="N5" s="2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145</v>
      </c>
      <c r="E6" s="53" t="s">
        <v>326</v>
      </c>
      <c r="F6" s="12" t="s">
        <v>339</v>
      </c>
      <c r="G6" s="12">
        <v>4</v>
      </c>
      <c r="H6" s="13">
        <v>24</v>
      </c>
      <c r="I6" s="31">
        <v>8000</v>
      </c>
      <c r="J6" s="14">
        <v>14764</v>
      </c>
      <c r="K6" s="15">
        <f>L6+14764</f>
        <v>14764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0.39843750000000006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285</v>
      </c>
      <c r="E7" s="53" t="s">
        <v>327</v>
      </c>
      <c r="F7" s="12" t="s">
        <v>339</v>
      </c>
      <c r="G7" s="12">
        <v>4</v>
      </c>
      <c r="H7" s="13">
        <v>24</v>
      </c>
      <c r="I7" s="31">
        <v>8000</v>
      </c>
      <c r="J7" s="14">
        <v>16240</v>
      </c>
      <c r="K7" s="15">
        <f>L7+16240</f>
        <v>16240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0.39843750000000006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22024</v>
      </c>
      <c r="K8" s="15">
        <f>L8+8404+12360+9142+12426+5790+11544+12480+12502+12376+12380+22896+24720+24328+24256+11504+24084+22712+24032+23532+20768+23268+23880+22096+24340+10412+14832+23872+25696+24068+24616+24584+24152</f>
        <v>620076</v>
      </c>
      <c r="L8" s="15">
        <f>3146*4+2360*4</f>
        <v>22024</v>
      </c>
      <c r="M8" s="15">
        <f t="shared" si="0"/>
        <v>22024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0.39843750000000006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311</v>
      </c>
      <c r="F9" s="30" t="s">
        <v>266</v>
      </c>
      <c r="G9" s="33">
        <v>1</v>
      </c>
      <c r="H9" s="35">
        <v>24</v>
      </c>
      <c r="I9" s="7">
        <v>15000</v>
      </c>
      <c r="J9" s="14">
        <v>5408</v>
      </c>
      <c r="K9" s="15">
        <f>L9+2224+5385</f>
        <v>13017</v>
      </c>
      <c r="L9" s="15">
        <f>2856+2552</f>
        <v>5408</v>
      </c>
      <c r="M9" s="15">
        <f t="shared" si="0"/>
        <v>5408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0.39843750000000006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18428</v>
      </c>
      <c r="K10" s="15">
        <f>L10+19272+24844+16004+13948+24828+23236+25072+24900+25224+24840+25892+24064+24888+25144+24944</f>
        <v>365528</v>
      </c>
      <c r="L10" s="15">
        <f>3339*4+1268*4</f>
        <v>18428</v>
      </c>
      <c r="M10" s="15">
        <f t="shared" si="0"/>
        <v>18428</v>
      </c>
      <c r="N10" s="15">
        <v>0</v>
      </c>
      <c r="O10" s="58">
        <f t="shared" si="1"/>
        <v>0</v>
      </c>
      <c r="P10" s="39">
        <f t="shared" si="2"/>
        <v>20</v>
      </c>
      <c r="Q10" s="40">
        <f t="shared" si="3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0.83333333333333337</v>
      </c>
      <c r="AD10" s="10">
        <f>AC10*AB10*(1-O10)</f>
        <v>0.83333333333333337</v>
      </c>
      <c r="AE10" s="36">
        <f t="shared" si="7"/>
        <v>0.39843750000000006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138</v>
      </c>
      <c r="F11" s="30" t="s">
        <v>123</v>
      </c>
      <c r="G11" s="33">
        <v>2</v>
      </c>
      <c r="H11" s="35">
        <v>24</v>
      </c>
      <c r="I11" s="7">
        <v>22000</v>
      </c>
      <c r="J11" s="14">
        <v>7058</v>
      </c>
      <c r="K11" s="15">
        <f>L11+7656+11870+7058</f>
        <v>26584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0.39843750000000006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119</v>
      </c>
      <c r="D12" s="52" t="s">
        <v>115</v>
      </c>
      <c r="E12" s="53" t="s">
        <v>328</v>
      </c>
      <c r="F12" s="12" t="s">
        <v>340</v>
      </c>
      <c r="G12" s="12">
        <v>4</v>
      </c>
      <c r="H12" s="35">
        <v>24</v>
      </c>
      <c r="I12" s="7">
        <v>8000</v>
      </c>
      <c r="J12" s="14">
        <v>4795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0.39843750000000006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23304</v>
      </c>
      <c r="K13" s="15">
        <f>L13+14284+8352+12576+8310+15524+17860+22424+23088+2420+23364+22844+15980+12148+8056+16415</f>
        <v>246949</v>
      </c>
      <c r="L13" s="15">
        <f>3087*4+2739*4</f>
        <v>23304</v>
      </c>
      <c r="M13" s="15">
        <f t="shared" si="0"/>
        <v>23304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>AC13*AB13*(1-O13)</f>
        <v>0.95833333333333337</v>
      </c>
      <c r="AE13" s="36">
        <f t="shared" si="7"/>
        <v>0.39843750000000006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283</v>
      </c>
      <c r="F14" s="30" t="s">
        <v>129</v>
      </c>
      <c r="G14" s="33">
        <v>1</v>
      </c>
      <c r="H14" s="35">
        <v>60</v>
      </c>
      <c r="I14" s="7">
        <v>300</v>
      </c>
      <c r="J14" s="5">
        <v>378</v>
      </c>
      <c r="K14" s="15">
        <f>L14+378</f>
        <v>378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0.39843750000000006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122</v>
      </c>
      <c r="D15" s="52"/>
      <c r="E15" s="53" t="s">
        <v>157</v>
      </c>
      <c r="F15" s="12" t="s">
        <v>135</v>
      </c>
      <c r="G15" s="12">
        <v>1</v>
      </c>
      <c r="H15" s="13">
        <v>24</v>
      </c>
      <c r="I15" s="31">
        <v>20000</v>
      </c>
      <c r="J15" s="14">
        <v>1328</v>
      </c>
      <c r="K15" s="15">
        <f>L15+2236+873+2158+5230+5277+5226+625+4849+5260+1328</f>
        <v>33062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0.39843750000000006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0.39843750000000006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0.39843750000000006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122</v>
      </c>
      <c r="D18" s="52"/>
      <c r="E18" s="53" t="s">
        <v>160</v>
      </c>
      <c r="F18" s="30" t="s">
        <v>118</v>
      </c>
      <c r="G18" s="33">
        <v>1</v>
      </c>
      <c r="H18" s="35">
        <v>24</v>
      </c>
      <c r="I18" s="7">
        <v>13000</v>
      </c>
      <c r="J18" s="14">
        <v>5579</v>
      </c>
      <c r="K18" s="15">
        <f>L18+2656+4803</f>
        <v>13038</v>
      </c>
      <c r="L18" s="15">
        <f>2954+2625</f>
        <v>5579</v>
      </c>
      <c r="M18" s="15">
        <f t="shared" si="0"/>
        <v>5579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0.39843750000000006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115</v>
      </c>
      <c r="E19" s="53" t="s">
        <v>328</v>
      </c>
      <c r="F19" s="30" t="s">
        <v>118</v>
      </c>
      <c r="G19" s="33">
        <v>4</v>
      </c>
      <c r="H19" s="35">
        <v>24</v>
      </c>
      <c r="I19" s="7">
        <v>8000</v>
      </c>
      <c r="J19" s="14">
        <v>12160</v>
      </c>
      <c r="K19" s="15">
        <f>L19</f>
        <v>12160</v>
      </c>
      <c r="L19" s="15">
        <f>2143*4+897*4</f>
        <v>12160</v>
      </c>
      <c r="M19" s="15">
        <f t="shared" si="0"/>
        <v>12160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/>
      <c r="T19" s="16"/>
      <c r="U19" s="16"/>
      <c r="V19" s="17"/>
      <c r="W19" s="5">
        <v>8</v>
      </c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 t="shared" si="6"/>
        <v>0.66666666666666663</v>
      </c>
      <c r="AE19" s="36">
        <f t="shared" si="7"/>
        <v>0.39843750000000006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142</v>
      </c>
      <c r="F20" s="30" t="s">
        <v>123</v>
      </c>
      <c r="G20" s="12">
        <v>4</v>
      </c>
      <c r="H20" s="13">
        <v>28</v>
      </c>
      <c r="I20" s="31">
        <v>561000</v>
      </c>
      <c r="J20" s="5">
        <v>8056</v>
      </c>
      <c r="K20" s="15">
        <f>L20+14284+8352+12576+8310+15524+17860+22424+23088+2420+23364+22844+15980+12148+8056</f>
        <v>207230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0.39843750000000006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66580</v>
      </c>
      <c r="K21" s="15">
        <f>L21+17656+21428+32268+13436+27116+28000+43600</f>
        <v>250084</v>
      </c>
      <c r="L21" s="15">
        <f>8399*4+8246*4</f>
        <v>66580</v>
      </c>
      <c r="M21" s="15">
        <f t="shared" si="0"/>
        <v>66580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0.39843750000000006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2975110</v>
      </c>
      <c r="J22" s="19">
        <f t="shared" si="10"/>
        <v>206997</v>
      </c>
      <c r="K22" s="20">
        <f t="shared" si="10"/>
        <v>1820005</v>
      </c>
      <c r="L22" s="21">
        <f t="shared" si="10"/>
        <v>153483</v>
      </c>
      <c r="M22" s="20">
        <f t="shared" si="10"/>
        <v>153483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153</v>
      </c>
      <c r="Q22" s="43">
        <f t="shared" si="11"/>
        <v>231</v>
      </c>
      <c r="R22" s="23">
        <f t="shared" si="11"/>
        <v>24</v>
      </c>
      <c r="S22" s="24">
        <f t="shared" si="11"/>
        <v>31</v>
      </c>
      <c r="T22" s="24">
        <f t="shared" si="11"/>
        <v>0</v>
      </c>
      <c r="U22" s="24">
        <f t="shared" si="11"/>
        <v>0</v>
      </c>
      <c r="V22" s="25">
        <f t="shared" si="11"/>
        <v>0</v>
      </c>
      <c r="W22" s="26">
        <f t="shared" si="11"/>
        <v>128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0.4375</v>
      </c>
      <c r="AC22" s="4">
        <f>AVERAGE(AC6:AC21)</f>
        <v>0.39843750000000006</v>
      </c>
      <c r="AD22" s="4">
        <f>AVERAGE(AD6:AD21)</f>
        <v>0.39843750000000006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352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353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16" t="s">
        <v>46</v>
      </c>
      <c r="D51" s="216" t="s">
        <v>47</v>
      </c>
      <c r="E51" s="216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16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120</v>
      </c>
      <c r="B52" s="509"/>
      <c r="C52" s="229" t="s">
        <v>177</v>
      </c>
      <c r="D52" s="229" t="s">
        <v>115</v>
      </c>
      <c r="E52" s="228" t="s">
        <v>275</v>
      </c>
      <c r="F52" s="496" t="s">
        <v>139</v>
      </c>
      <c r="G52" s="497"/>
      <c r="H52" s="497"/>
      <c r="I52" s="497"/>
      <c r="J52" s="497"/>
      <c r="K52" s="497"/>
      <c r="L52" s="497"/>
      <c r="M52" s="498"/>
      <c r="N52" s="218" t="s">
        <v>119</v>
      </c>
      <c r="O52" s="224" t="s">
        <v>200</v>
      </c>
      <c r="P52" s="510" t="s">
        <v>128</v>
      </c>
      <c r="Q52" s="511"/>
      <c r="R52" s="510" t="s">
        <v>354</v>
      </c>
      <c r="S52" s="512"/>
      <c r="T52" s="512"/>
      <c r="U52" s="511"/>
      <c r="V52" s="480" t="s">
        <v>180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119</v>
      </c>
      <c r="B53" s="509"/>
      <c r="C53" s="229" t="s">
        <v>314</v>
      </c>
      <c r="D53" s="229" t="s">
        <v>115</v>
      </c>
      <c r="E53" s="228" t="s">
        <v>328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218" t="s">
        <v>355</v>
      </c>
      <c r="O53" s="224" t="s">
        <v>174</v>
      </c>
      <c r="P53" s="510"/>
      <c r="Q53" s="511"/>
      <c r="R53" s="510" t="s">
        <v>356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120</v>
      </c>
      <c r="B54" s="495"/>
      <c r="C54" s="219" t="s">
        <v>212</v>
      </c>
      <c r="D54" s="219" t="s">
        <v>136</v>
      </c>
      <c r="E54" s="228" t="s">
        <v>143</v>
      </c>
      <c r="F54" s="496" t="s">
        <v>296</v>
      </c>
      <c r="G54" s="497"/>
      <c r="H54" s="497"/>
      <c r="I54" s="497"/>
      <c r="J54" s="497"/>
      <c r="K54" s="497"/>
      <c r="L54" s="497"/>
      <c r="M54" s="498"/>
      <c r="N54" s="218" t="s">
        <v>357</v>
      </c>
      <c r="O54" s="224" t="s">
        <v>358</v>
      </c>
      <c r="P54" s="510"/>
      <c r="Q54" s="511"/>
      <c r="R54" s="510" t="s">
        <v>359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217" t="s">
        <v>346</v>
      </c>
      <c r="D55" s="217" t="s">
        <v>137</v>
      </c>
      <c r="E55" s="228" t="s">
        <v>141</v>
      </c>
      <c r="F55" s="496" t="s">
        <v>296</v>
      </c>
      <c r="G55" s="497"/>
      <c r="H55" s="497"/>
      <c r="I55" s="497"/>
      <c r="J55" s="497"/>
      <c r="K55" s="497"/>
      <c r="L55" s="497"/>
      <c r="M55" s="498"/>
      <c r="N55" s="218"/>
      <c r="O55" s="224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/>
      <c r="B56" s="509"/>
      <c r="C56" s="217"/>
      <c r="D56" s="217"/>
      <c r="E56" s="219"/>
      <c r="F56" s="496"/>
      <c r="G56" s="497"/>
      <c r="H56" s="497"/>
      <c r="I56" s="497"/>
      <c r="J56" s="497"/>
      <c r="K56" s="497"/>
      <c r="L56" s="497"/>
      <c r="M56" s="498"/>
      <c r="N56" s="218"/>
      <c r="O56" s="224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219"/>
      <c r="D57" s="219"/>
      <c r="E57" s="219"/>
      <c r="F57" s="496"/>
      <c r="G57" s="497"/>
      <c r="H57" s="497"/>
      <c r="I57" s="497"/>
      <c r="J57" s="497"/>
      <c r="K57" s="497"/>
      <c r="L57" s="497"/>
      <c r="M57" s="498"/>
      <c r="N57" s="218"/>
      <c r="O57" s="224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217"/>
      <c r="D58" s="217"/>
      <c r="E58" s="219"/>
      <c r="F58" s="496"/>
      <c r="G58" s="497"/>
      <c r="H58" s="497"/>
      <c r="I58" s="497"/>
      <c r="J58" s="497"/>
      <c r="K58" s="497"/>
      <c r="L58" s="497"/>
      <c r="M58" s="498"/>
      <c r="N58" s="218"/>
      <c r="O58" s="224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17"/>
      <c r="D59" s="217"/>
      <c r="E59" s="219"/>
      <c r="F59" s="496"/>
      <c r="G59" s="497"/>
      <c r="H59" s="497"/>
      <c r="I59" s="497"/>
      <c r="J59" s="497"/>
      <c r="K59" s="497"/>
      <c r="L59" s="497"/>
      <c r="M59" s="498"/>
      <c r="N59" s="218"/>
      <c r="O59" s="224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19"/>
      <c r="D60" s="219"/>
      <c r="E60" s="219"/>
      <c r="F60" s="496"/>
      <c r="G60" s="497"/>
      <c r="H60" s="497"/>
      <c r="I60" s="497"/>
      <c r="J60" s="497"/>
      <c r="K60" s="497"/>
      <c r="L60" s="497"/>
      <c r="M60" s="498"/>
      <c r="N60" s="218"/>
      <c r="O60" s="224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20"/>
      <c r="D61" s="221"/>
      <c r="E61" s="221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361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22" t="s">
        <v>2</v>
      </c>
      <c r="D63" s="222" t="s">
        <v>37</v>
      </c>
      <c r="E63" s="222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22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226"/>
      <c r="E64" s="223" t="s">
        <v>136</v>
      </c>
      <c r="F64" s="481" t="s">
        <v>233</v>
      </c>
      <c r="G64" s="482"/>
      <c r="H64" s="482"/>
      <c r="I64" s="482"/>
      <c r="J64" s="483"/>
      <c r="K64" s="469" t="s">
        <v>123</v>
      </c>
      <c r="L64" s="469"/>
      <c r="M64" s="51" t="s">
        <v>140</v>
      </c>
      <c r="N64" s="478" t="s">
        <v>149</v>
      </c>
      <c r="O64" s="478"/>
      <c r="P64" s="479">
        <v>200</v>
      </c>
      <c r="Q64" s="479"/>
      <c r="R64" s="480" t="s">
        <v>360</v>
      </c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226"/>
      <c r="E65" s="223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226"/>
      <c r="E66" s="223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26"/>
      <c r="E67" s="223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26"/>
      <c r="E68" s="223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26"/>
      <c r="E69" s="223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26"/>
      <c r="E70" s="223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26"/>
      <c r="E71" s="223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26"/>
      <c r="E72" s="223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26"/>
      <c r="E73" s="223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362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25" t="s">
        <v>2</v>
      </c>
      <c r="D75" s="225" t="s">
        <v>37</v>
      </c>
      <c r="E75" s="225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27" t="s">
        <v>112</v>
      </c>
      <c r="D76" s="227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26"/>
      <c r="D77" s="226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26"/>
      <c r="D78" s="226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26"/>
      <c r="D79" s="226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26"/>
      <c r="D80" s="226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26"/>
      <c r="D81" s="226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26"/>
      <c r="D82" s="226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363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FBA6-D72C-4D3D-AAAB-380902EB5EE2}"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364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30" t="s">
        <v>17</v>
      </c>
      <c r="L5" s="230" t="s">
        <v>18</v>
      </c>
      <c r="M5" s="230" t="s">
        <v>19</v>
      </c>
      <c r="N5" s="23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354</v>
      </c>
      <c r="F6" s="12" t="s">
        <v>127</v>
      </c>
      <c r="G6" s="12">
        <v>1</v>
      </c>
      <c r="H6" s="13">
        <v>24</v>
      </c>
      <c r="I6" s="31">
        <v>8000</v>
      </c>
      <c r="J6" s="14">
        <v>5942</v>
      </c>
      <c r="K6" s="15">
        <f>L6</f>
        <v>5942</v>
      </c>
      <c r="L6" s="15">
        <f>3314+2628</f>
        <v>5942</v>
      </c>
      <c r="M6" s="15">
        <f t="shared" ref="M6:M21" si="0">L6-N6</f>
        <v>5942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0.40104166666666669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</f>
        <v>1601</v>
      </c>
      <c r="L7" s="15">
        <v>1601</v>
      </c>
      <c r="M7" s="15">
        <f t="shared" si="0"/>
        <v>1601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/>
      <c r="U7" s="16"/>
      <c r="V7" s="17"/>
      <c r="W7" s="5">
        <v>16</v>
      </c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0.40104166666666669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23336</v>
      </c>
      <c r="K8" s="15">
        <f>L8+8404+12360+9142+12426+5790+11544+12480+12502+12376+12380+22896+24720+24328+24256+11504+24084+22712+24032+23532+20768+23268+23880+22096+24340+10412+14832+23872+25696+24068+24616+24584+24152+22024</f>
        <v>643412</v>
      </c>
      <c r="L8" s="15">
        <f>3084*4+2750*4</f>
        <v>23336</v>
      </c>
      <c r="M8" s="15">
        <f t="shared" si="0"/>
        <v>23336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0.40104166666666669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311</v>
      </c>
      <c r="F9" s="30" t="s">
        <v>266</v>
      </c>
      <c r="G9" s="33">
        <v>1</v>
      </c>
      <c r="H9" s="35">
        <v>24</v>
      </c>
      <c r="I9" s="7">
        <v>15000</v>
      </c>
      <c r="J9" s="14">
        <v>5351</v>
      </c>
      <c r="K9" s="15">
        <f>L9+2224+5385+5408</f>
        <v>18368</v>
      </c>
      <c r="L9" s="15">
        <f>2831+2520</f>
        <v>5351</v>
      </c>
      <c r="M9" s="15">
        <f t="shared" si="0"/>
        <v>5351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0.40104166666666669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25256</v>
      </c>
      <c r="K10" s="15">
        <f>L10+19272+24844+16004+13948+24828+23236+25072+24900+25224+24840+25892+24064+24888+25144+24944+18428</f>
        <v>390784</v>
      </c>
      <c r="L10" s="15">
        <f>3356*4+2958*4</f>
        <v>25256</v>
      </c>
      <c r="M10" s="15">
        <f t="shared" si="0"/>
        <v>25256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0.40104166666666669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138</v>
      </c>
      <c r="F11" s="30" t="s">
        <v>123</v>
      </c>
      <c r="G11" s="33">
        <v>2</v>
      </c>
      <c r="H11" s="35">
        <v>24</v>
      </c>
      <c r="I11" s="7">
        <v>22000</v>
      </c>
      <c r="J11" s="14">
        <v>7058</v>
      </c>
      <c r="K11" s="15">
        <f>L11+7656+11870+7058</f>
        <v>26584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0.40104166666666669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119</v>
      </c>
      <c r="D12" s="52" t="s">
        <v>115</v>
      </c>
      <c r="E12" s="53" t="s">
        <v>328</v>
      </c>
      <c r="F12" s="12" t="s">
        <v>340</v>
      </c>
      <c r="G12" s="12">
        <v>4</v>
      </c>
      <c r="H12" s="35">
        <v>24</v>
      </c>
      <c r="I12" s="7">
        <v>8000</v>
      </c>
      <c r="J12" s="14">
        <v>4795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0.40104166666666669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22652</v>
      </c>
      <c r="K13" s="15">
        <f>L13+14284+8352+12576+8310+15524+17860+22424+23088+2420+23364+22844+15980+12148+8056+16415+23304</f>
        <v>269601</v>
      </c>
      <c r="L13" s="15">
        <f>2921*4+2742*4</f>
        <v>22652</v>
      </c>
      <c r="M13" s="15">
        <f t="shared" si="0"/>
        <v>22652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0.40104166666666669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283</v>
      </c>
      <c r="F14" s="30" t="s">
        <v>129</v>
      </c>
      <c r="G14" s="33">
        <v>1</v>
      </c>
      <c r="H14" s="35">
        <v>60</v>
      </c>
      <c r="I14" s="7">
        <v>300</v>
      </c>
      <c r="J14" s="5">
        <v>378</v>
      </c>
      <c r="K14" s="15">
        <f>L14+378</f>
        <v>378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0.40104166666666669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20724</v>
      </c>
      <c r="K15" s="15">
        <f>L15</f>
        <v>20724</v>
      </c>
      <c r="L15" s="15">
        <f>3247*4+1934*4</f>
        <v>20724</v>
      </c>
      <c r="M15" s="15">
        <f t="shared" si="0"/>
        <v>20724</v>
      </c>
      <c r="N15" s="15">
        <v>0</v>
      </c>
      <c r="O15" s="58">
        <f t="shared" si="1"/>
        <v>0</v>
      </c>
      <c r="P15" s="39">
        <f t="shared" si="2"/>
        <v>22</v>
      </c>
      <c r="Q15" s="40">
        <f t="shared" si="3"/>
        <v>2</v>
      </c>
      <c r="R15" s="7"/>
      <c r="S15" s="6"/>
      <c r="T15" s="16">
        <v>2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0.91666666666666663</v>
      </c>
      <c r="AD15" s="10">
        <f t="shared" si="6"/>
        <v>0.91666666666666663</v>
      </c>
      <c r="AE15" s="36">
        <f t="shared" si="7"/>
        <v>0.40104166666666669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0.40104166666666669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122</v>
      </c>
      <c r="D17" s="52"/>
      <c r="E17" s="53" t="s">
        <v>197</v>
      </c>
      <c r="F17" s="30" t="s">
        <v>135</v>
      </c>
      <c r="G17" s="12">
        <v>1</v>
      </c>
      <c r="H17" s="13">
        <v>24</v>
      </c>
      <c r="I17" s="7">
        <v>310</v>
      </c>
      <c r="J17" s="14">
        <v>400</v>
      </c>
      <c r="K17" s="15">
        <f>L17+400</f>
        <v>400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0.40104166666666669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122</v>
      </c>
      <c r="D18" s="52"/>
      <c r="E18" s="53" t="s">
        <v>160</v>
      </c>
      <c r="F18" s="30" t="s">
        <v>118</v>
      </c>
      <c r="G18" s="33">
        <v>1</v>
      </c>
      <c r="H18" s="35">
        <v>24</v>
      </c>
      <c r="I18" s="7">
        <v>13000</v>
      </c>
      <c r="J18" s="14">
        <v>260</v>
      </c>
      <c r="K18" s="15">
        <f>L18+2656+4803+5579</f>
        <v>13298</v>
      </c>
      <c r="L18" s="15">
        <v>260</v>
      </c>
      <c r="M18" s="15">
        <f t="shared" si="0"/>
        <v>260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0.40104166666666669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115</v>
      </c>
      <c r="E19" s="53" t="s">
        <v>328</v>
      </c>
      <c r="F19" s="30" t="s">
        <v>118</v>
      </c>
      <c r="G19" s="33">
        <v>4</v>
      </c>
      <c r="H19" s="35">
        <v>24</v>
      </c>
      <c r="I19" s="7">
        <v>8000</v>
      </c>
      <c r="J19" s="14">
        <v>12160</v>
      </c>
      <c r="K19" s="15">
        <f>L19+12160</f>
        <v>12160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0.40104166666666669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142</v>
      </c>
      <c r="F20" s="30" t="s">
        <v>123</v>
      </c>
      <c r="G20" s="12">
        <v>4</v>
      </c>
      <c r="H20" s="13">
        <v>28</v>
      </c>
      <c r="I20" s="31">
        <v>561000</v>
      </c>
      <c r="J20" s="5">
        <v>8056</v>
      </c>
      <c r="K20" s="15">
        <f>L20+14284+8352+12576+8310+15524+17860+22424+23088+2420+23364+22844+15980+12148+8056</f>
        <v>207230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0.40104166666666669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66580</v>
      </c>
      <c r="K21" s="15">
        <f>L21+17656+21428+32268+13436+27116+28000+43600+66580</f>
        <v>250084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0.40104166666666669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2958110</v>
      </c>
      <c r="J22" s="19">
        <f t="shared" si="10"/>
        <v>205044</v>
      </c>
      <c r="K22" s="20">
        <f t="shared" si="10"/>
        <v>1861061</v>
      </c>
      <c r="L22" s="21">
        <f t="shared" si="10"/>
        <v>105122</v>
      </c>
      <c r="M22" s="20">
        <f t="shared" si="10"/>
        <v>105122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154</v>
      </c>
      <c r="Q22" s="43">
        <f t="shared" si="11"/>
        <v>230</v>
      </c>
      <c r="R22" s="23">
        <f t="shared" si="11"/>
        <v>24</v>
      </c>
      <c r="S22" s="24">
        <f t="shared" si="11"/>
        <v>44</v>
      </c>
      <c r="T22" s="24">
        <f t="shared" si="11"/>
        <v>2</v>
      </c>
      <c r="U22" s="24">
        <f t="shared" si="11"/>
        <v>0</v>
      </c>
      <c r="V22" s="25">
        <f t="shared" si="11"/>
        <v>24</v>
      </c>
      <c r="W22" s="26">
        <f t="shared" si="11"/>
        <v>88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0.5</v>
      </c>
      <c r="AC22" s="4">
        <f>AVERAGE(AC6:AC21)</f>
        <v>0.40104166666666669</v>
      </c>
      <c r="AD22" s="4">
        <f>AVERAGE(AD6:AD21)</f>
        <v>0.40104166666666669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369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371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31" t="s">
        <v>46</v>
      </c>
      <c r="D51" s="231" t="s">
        <v>47</v>
      </c>
      <c r="E51" s="231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31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232" t="s">
        <v>200</v>
      </c>
      <c r="D52" s="232" t="s">
        <v>128</v>
      </c>
      <c r="E52" s="234" t="s">
        <v>354</v>
      </c>
      <c r="F52" s="496" t="s">
        <v>180</v>
      </c>
      <c r="G52" s="497"/>
      <c r="H52" s="497"/>
      <c r="I52" s="497"/>
      <c r="J52" s="497"/>
      <c r="K52" s="497"/>
      <c r="L52" s="497"/>
      <c r="M52" s="498"/>
      <c r="N52" s="233" t="s">
        <v>122</v>
      </c>
      <c r="O52" s="239" t="s">
        <v>187</v>
      </c>
      <c r="P52" s="510"/>
      <c r="Q52" s="511"/>
      <c r="R52" s="510" t="s">
        <v>160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355</v>
      </c>
      <c r="B53" s="509"/>
      <c r="C53" s="232" t="s">
        <v>174</v>
      </c>
      <c r="D53" s="232"/>
      <c r="E53" s="234" t="s">
        <v>370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233" t="s">
        <v>120</v>
      </c>
      <c r="O53" s="239" t="s">
        <v>177</v>
      </c>
      <c r="P53" s="510" t="s">
        <v>115</v>
      </c>
      <c r="Q53" s="511"/>
      <c r="R53" s="510" t="s">
        <v>142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122</v>
      </c>
      <c r="B54" s="495"/>
      <c r="C54" s="234" t="s">
        <v>187</v>
      </c>
      <c r="D54" s="234"/>
      <c r="E54" s="234" t="s">
        <v>160</v>
      </c>
      <c r="F54" s="496" t="s">
        <v>207</v>
      </c>
      <c r="G54" s="497"/>
      <c r="H54" s="497"/>
      <c r="I54" s="497"/>
      <c r="J54" s="497"/>
      <c r="K54" s="497"/>
      <c r="L54" s="497"/>
      <c r="M54" s="498"/>
      <c r="N54" s="233" t="s">
        <v>112</v>
      </c>
      <c r="O54" s="239" t="s">
        <v>224</v>
      </c>
      <c r="P54" s="510" t="s">
        <v>115</v>
      </c>
      <c r="Q54" s="511"/>
      <c r="R54" s="510" t="s">
        <v>372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357</v>
      </c>
      <c r="B55" s="509"/>
      <c r="C55" s="232" t="s">
        <v>358</v>
      </c>
      <c r="D55" s="232" t="s">
        <v>359</v>
      </c>
      <c r="E55" s="234" t="s">
        <v>367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233"/>
      <c r="O55" s="239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/>
      <c r="B56" s="509"/>
      <c r="C56" s="232"/>
      <c r="D56" s="232"/>
      <c r="E56" s="234"/>
      <c r="F56" s="496"/>
      <c r="G56" s="497"/>
      <c r="H56" s="497"/>
      <c r="I56" s="497"/>
      <c r="J56" s="497"/>
      <c r="K56" s="497"/>
      <c r="L56" s="497"/>
      <c r="M56" s="498"/>
      <c r="N56" s="233"/>
      <c r="O56" s="239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234"/>
      <c r="D57" s="234"/>
      <c r="E57" s="234"/>
      <c r="F57" s="496"/>
      <c r="G57" s="497"/>
      <c r="H57" s="497"/>
      <c r="I57" s="497"/>
      <c r="J57" s="497"/>
      <c r="K57" s="497"/>
      <c r="L57" s="497"/>
      <c r="M57" s="498"/>
      <c r="N57" s="233"/>
      <c r="O57" s="239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232"/>
      <c r="D58" s="232"/>
      <c r="E58" s="234"/>
      <c r="F58" s="496"/>
      <c r="G58" s="497"/>
      <c r="H58" s="497"/>
      <c r="I58" s="497"/>
      <c r="J58" s="497"/>
      <c r="K58" s="497"/>
      <c r="L58" s="497"/>
      <c r="M58" s="498"/>
      <c r="N58" s="233"/>
      <c r="O58" s="239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32"/>
      <c r="D59" s="232"/>
      <c r="E59" s="234"/>
      <c r="F59" s="496"/>
      <c r="G59" s="497"/>
      <c r="H59" s="497"/>
      <c r="I59" s="497"/>
      <c r="J59" s="497"/>
      <c r="K59" s="497"/>
      <c r="L59" s="497"/>
      <c r="M59" s="498"/>
      <c r="N59" s="233"/>
      <c r="O59" s="239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34"/>
      <c r="D60" s="234"/>
      <c r="E60" s="234"/>
      <c r="F60" s="496"/>
      <c r="G60" s="497"/>
      <c r="H60" s="497"/>
      <c r="I60" s="497"/>
      <c r="J60" s="497"/>
      <c r="K60" s="497"/>
      <c r="L60" s="497"/>
      <c r="M60" s="498"/>
      <c r="N60" s="233"/>
      <c r="O60" s="239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35"/>
      <c r="D61" s="236"/>
      <c r="E61" s="236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373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37" t="s">
        <v>2</v>
      </c>
      <c r="D63" s="237" t="s">
        <v>37</v>
      </c>
      <c r="E63" s="237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37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/>
      <c r="D64" s="241"/>
      <c r="E64" s="238"/>
      <c r="F64" s="481"/>
      <c r="G64" s="482"/>
      <c r="H64" s="482"/>
      <c r="I64" s="482"/>
      <c r="J64" s="483"/>
      <c r="K64" s="469"/>
      <c r="L64" s="469"/>
      <c r="M64" s="51"/>
      <c r="N64" s="478"/>
      <c r="O64" s="478"/>
      <c r="P64" s="479"/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241"/>
      <c r="E65" s="238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241"/>
      <c r="E66" s="238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41"/>
      <c r="E67" s="238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41"/>
      <c r="E68" s="238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41"/>
      <c r="E69" s="238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41"/>
      <c r="E70" s="238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41"/>
      <c r="E71" s="238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41"/>
      <c r="E72" s="238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41"/>
      <c r="E73" s="238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374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40" t="s">
        <v>2</v>
      </c>
      <c r="D75" s="240" t="s">
        <v>37</v>
      </c>
      <c r="E75" s="240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42" t="s">
        <v>112</v>
      </c>
      <c r="D76" s="242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41"/>
      <c r="D77" s="241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41"/>
      <c r="D78" s="241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41"/>
      <c r="D79" s="241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41"/>
      <c r="D80" s="241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41"/>
      <c r="D81" s="241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41"/>
      <c r="D82" s="241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375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F288-9F0C-471C-B973-4CFC6495CFFE}">
  <dimension ref="A1:AF87"/>
  <sheetViews>
    <sheetView view="pageBreakPreview" zoomScale="70" zoomScaleNormal="72" zoomScaleSheetLayoutView="70" workbookViewId="0">
      <selection activeCell="F69" sqref="F69:J6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376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55" t="s">
        <v>17</v>
      </c>
      <c r="L5" s="255" t="s">
        <v>18</v>
      </c>
      <c r="M5" s="255" t="s">
        <v>19</v>
      </c>
      <c r="N5" s="2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354</v>
      </c>
      <c r="F6" s="12" t="s">
        <v>127</v>
      </c>
      <c r="G6" s="12">
        <v>1</v>
      </c>
      <c r="H6" s="13">
        <v>24</v>
      </c>
      <c r="I6" s="31">
        <v>8000</v>
      </c>
      <c r="J6" s="14">
        <v>6006</v>
      </c>
      <c r="K6" s="15">
        <f>L6+5942</f>
        <v>11948</v>
      </c>
      <c r="L6" s="15">
        <f>3237+2769</f>
        <v>6006</v>
      </c>
      <c r="M6" s="15">
        <f t="shared" ref="M6:M21" si="0">L6-N6</f>
        <v>6006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0.47135416666666669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0.47135416666666669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22288</v>
      </c>
      <c r="K8" s="15">
        <f>L8+8404+12360+9142+12426+5790+11544+12480+12502+12376+12380+22896+24720+24328+24256+11504+24084+22712+24032+23532+20768+23268+23880+22096+24340+10412+14832+23872+25696+24068+24616+24584+24152+22024+23336</f>
        <v>665700</v>
      </c>
      <c r="L8" s="15">
        <f>3166*4+2406*4</f>
        <v>22288</v>
      </c>
      <c r="M8" s="15">
        <f t="shared" si="0"/>
        <v>22288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0.47135416666666669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311</v>
      </c>
      <c r="F9" s="30" t="s">
        <v>266</v>
      </c>
      <c r="G9" s="33">
        <v>1</v>
      </c>
      <c r="H9" s="35">
        <v>24</v>
      </c>
      <c r="I9" s="7">
        <v>15000</v>
      </c>
      <c r="J9" s="14">
        <v>4749</v>
      </c>
      <c r="K9" s="15">
        <f>L9+2224+5385+5408+5351</f>
        <v>23117</v>
      </c>
      <c r="L9" s="15">
        <f>2467+2282</f>
        <v>4749</v>
      </c>
      <c r="M9" s="15">
        <f t="shared" si="0"/>
        <v>4749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0.47135416666666669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23464</v>
      </c>
      <c r="K10" s="15">
        <f>L10+19272+24844+16004+13948+24828+23236+25072+24900+25224+24840+25892+24064+24888+25144+24944+18428+25256</f>
        <v>414248</v>
      </c>
      <c r="L10" s="15">
        <f>3222*4+2644*4</f>
        <v>23464</v>
      </c>
      <c r="M10" s="15">
        <f t="shared" si="0"/>
        <v>23464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0.47135416666666669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138</v>
      </c>
      <c r="F11" s="30" t="s">
        <v>123</v>
      </c>
      <c r="G11" s="33">
        <v>2</v>
      </c>
      <c r="H11" s="35">
        <v>24</v>
      </c>
      <c r="I11" s="7">
        <v>22000</v>
      </c>
      <c r="J11" s="14">
        <v>7058</v>
      </c>
      <c r="K11" s="15">
        <f>L11+7656+11870+7058</f>
        <v>26584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0.47135416666666669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119</v>
      </c>
      <c r="D12" s="52" t="s">
        <v>115</v>
      </c>
      <c r="E12" s="53" t="s">
        <v>328</v>
      </c>
      <c r="F12" s="12" t="s">
        <v>340</v>
      </c>
      <c r="G12" s="12">
        <v>4</v>
      </c>
      <c r="H12" s="35">
        <v>24</v>
      </c>
      <c r="I12" s="7">
        <v>8000</v>
      </c>
      <c r="J12" s="14">
        <v>4795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0.47135416666666669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18028</v>
      </c>
      <c r="K13" s="15">
        <f>L13+14284+8352+12576+8310+15524+17860+22424+23088+2420+23364+22844+15980+12148+8056+16415+23304+22652</f>
        <v>287629</v>
      </c>
      <c r="L13" s="15">
        <f>3157*4+1350*4</f>
        <v>18028</v>
      </c>
      <c r="M13" s="15">
        <f t="shared" si="0"/>
        <v>18028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>AC13*AB13*(1-O13)</f>
        <v>0.75</v>
      </c>
      <c r="AE13" s="36">
        <f t="shared" si="7"/>
        <v>0.47135416666666669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372</v>
      </c>
      <c r="F14" s="30" t="s">
        <v>377</v>
      </c>
      <c r="G14" s="33">
        <v>1</v>
      </c>
      <c r="H14" s="35">
        <v>60</v>
      </c>
      <c r="I14" s="7">
        <v>300</v>
      </c>
      <c r="J14" s="5">
        <v>100</v>
      </c>
      <c r="K14" s="15">
        <f>L14</f>
        <v>100</v>
      </c>
      <c r="L14" s="15">
        <f>100</f>
        <v>100</v>
      </c>
      <c r="M14" s="15">
        <f t="shared" si="0"/>
        <v>100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9"/>
        <v>0.16666666666666666</v>
      </c>
      <c r="AE14" s="36">
        <f t="shared" si="7"/>
        <v>0.47135416666666669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</f>
        <v>36296</v>
      </c>
      <c r="L15" s="15">
        <f>2551*4+1342*4</f>
        <v>15572</v>
      </c>
      <c r="M15" s="15">
        <f t="shared" si="0"/>
        <v>15572</v>
      </c>
      <c r="N15" s="15">
        <v>0</v>
      </c>
      <c r="O15" s="58">
        <f t="shared" si="1"/>
        <v>0</v>
      </c>
      <c r="P15" s="39">
        <f t="shared" si="2"/>
        <v>18</v>
      </c>
      <c r="Q15" s="40">
        <f t="shared" si="3"/>
        <v>6</v>
      </c>
      <c r="R15" s="7"/>
      <c r="S15" s="6"/>
      <c r="T15" s="16"/>
      <c r="U15" s="16"/>
      <c r="V15" s="17"/>
      <c r="W15" s="5">
        <v>6</v>
      </c>
      <c r="X15" s="16"/>
      <c r="Y15" s="16"/>
      <c r="Z15" s="16"/>
      <c r="AA15" s="18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6">
        <f t="shared" si="7"/>
        <v>0.47135416666666669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0.47135416666666669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</f>
        <v>7654</v>
      </c>
      <c r="L17" s="15">
        <f>610*2+3217*2</f>
        <v>7654</v>
      </c>
      <c r="M17" s="15">
        <f t="shared" si="0"/>
        <v>7654</v>
      </c>
      <c r="N17" s="15">
        <v>0</v>
      </c>
      <c r="O17" s="58">
        <f t="shared" si="1"/>
        <v>0</v>
      </c>
      <c r="P17" s="39">
        <f t="shared" si="2"/>
        <v>17</v>
      </c>
      <c r="Q17" s="40">
        <f t="shared" si="3"/>
        <v>7</v>
      </c>
      <c r="R17" s="7"/>
      <c r="S17" s="6"/>
      <c r="T17" s="16">
        <v>7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0.70833333333333337</v>
      </c>
      <c r="AD17" s="10">
        <f t="shared" si="6"/>
        <v>0.70833333333333337</v>
      </c>
      <c r="AE17" s="36">
        <f t="shared" si="7"/>
        <v>0.47135416666666669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122</v>
      </c>
      <c r="D18" s="52"/>
      <c r="E18" s="53" t="s">
        <v>160</v>
      </c>
      <c r="F18" s="30" t="s">
        <v>118</v>
      </c>
      <c r="G18" s="33">
        <v>1</v>
      </c>
      <c r="H18" s="35">
        <v>24</v>
      </c>
      <c r="I18" s="7">
        <v>13000</v>
      </c>
      <c r="J18" s="14">
        <v>425</v>
      </c>
      <c r="K18" s="15">
        <f>L18+2656+4803+5579+260</f>
        <v>13723</v>
      </c>
      <c r="L18" s="15">
        <f>268+157</f>
        <v>425</v>
      </c>
      <c r="M18" s="15">
        <f t="shared" si="0"/>
        <v>425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0.47135416666666669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115</v>
      </c>
      <c r="E19" s="53" t="s">
        <v>328</v>
      </c>
      <c r="F19" s="30" t="s">
        <v>118</v>
      </c>
      <c r="G19" s="33">
        <v>4</v>
      </c>
      <c r="H19" s="35">
        <v>24</v>
      </c>
      <c r="I19" s="7">
        <v>8000</v>
      </c>
      <c r="J19" s="14">
        <v>12160</v>
      </c>
      <c r="K19" s="15">
        <f>L19+12160</f>
        <v>12160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0.47135416666666669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136</v>
      </c>
      <c r="E20" s="53" t="s">
        <v>379</v>
      </c>
      <c r="F20" s="30" t="s">
        <v>123</v>
      </c>
      <c r="G20" s="12">
        <v>2</v>
      </c>
      <c r="H20" s="13">
        <v>28</v>
      </c>
      <c r="I20" s="31">
        <v>10000</v>
      </c>
      <c r="J20" s="5">
        <v>6526</v>
      </c>
      <c r="K20" s="15">
        <f>L20</f>
        <v>6526</v>
      </c>
      <c r="L20" s="15">
        <f>1864*2+1399*2</f>
        <v>6526</v>
      </c>
      <c r="M20" s="15">
        <f t="shared" si="0"/>
        <v>6526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>
        <v>10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0.47135416666666669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29616</v>
      </c>
      <c r="K21" s="15">
        <f>L21+17656+21428+32268+13436+27116+28000+43600+66580</f>
        <v>279700</v>
      </c>
      <c r="L21" s="15">
        <f>7404*4</f>
        <v>29616</v>
      </c>
      <c r="M21" s="15">
        <f t="shared" si="0"/>
        <v>29616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0.47135416666666669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2416800</v>
      </c>
      <c r="J22" s="19">
        <f t="shared" si="10"/>
        <v>160537</v>
      </c>
      <c r="K22" s="20">
        <f t="shared" si="10"/>
        <v>1787481</v>
      </c>
      <c r="L22" s="21">
        <f t="shared" si="10"/>
        <v>134428</v>
      </c>
      <c r="M22" s="20">
        <f t="shared" si="10"/>
        <v>134428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181</v>
      </c>
      <c r="Q22" s="43">
        <f t="shared" si="11"/>
        <v>203</v>
      </c>
      <c r="R22" s="23">
        <f t="shared" si="11"/>
        <v>34</v>
      </c>
      <c r="S22" s="24">
        <f t="shared" si="11"/>
        <v>46</v>
      </c>
      <c r="T22" s="24">
        <f t="shared" si="11"/>
        <v>7</v>
      </c>
      <c r="U22" s="24">
        <f t="shared" si="11"/>
        <v>0</v>
      </c>
      <c r="V22" s="25">
        <f t="shared" si="11"/>
        <v>14</v>
      </c>
      <c r="W22" s="26">
        <f t="shared" si="11"/>
        <v>54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0.6875</v>
      </c>
      <c r="AC22" s="4">
        <f>AVERAGE(AC6:AC21)</f>
        <v>0.47135416666666669</v>
      </c>
      <c r="AD22" s="4">
        <f>AVERAGE(AD6:AD21)</f>
        <v>0.47135416666666669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384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383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54" t="s">
        <v>46</v>
      </c>
      <c r="D51" s="254" t="s">
        <v>47</v>
      </c>
      <c r="E51" s="254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54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494" t="s">
        <v>122</v>
      </c>
      <c r="B52" s="495"/>
      <c r="C52" s="250" t="s">
        <v>187</v>
      </c>
      <c r="D52" s="250"/>
      <c r="E52" s="250" t="s">
        <v>160</v>
      </c>
      <c r="F52" s="496" t="s">
        <v>380</v>
      </c>
      <c r="G52" s="497"/>
      <c r="H52" s="497"/>
      <c r="I52" s="497"/>
      <c r="J52" s="497"/>
      <c r="K52" s="497"/>
      <c r="L52" s="497"/>
      <c r="M52" s="498"/>
      <c r="N52" s="249" t="s">
        <v>122</v>
      </c>
      <c r="O52" s="247" t="s">
        <v>149</v>
      </c>
      <c r="P52" s="510"/>
      <c r="Q52" s="511"/>
      <c r="R52" s="510" t="s">
        <v>160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120</v>
      </c>
      <c r="B53" s="509"/>
      <c r="C53" s="253" t="s">
        <v>177</v>
      </c>
      <c r="D53" s="253" t="s">
        <v>115</v>
      </c>
      <c r="E53" s="250" t="s">
        <v>275</v>
      </c>
      <c r="F53" s="496" t="s">
        <v>296</v>
      </c>
      <c r="G53" s="497"/>
      <c r="H53" s="497"/>
      <c r="I53" s="497"/>
      <c r="J53" s="497"/>
      <c r="K53" s="497"/>
      <c r="L53" s="497"/>
      <c r="M53" s="498"/>
      <c r="N53" s="249" t="s">
        <v>112</v>
      </c>
      <c r="O53" s="247" t="s">
        <v>224</v>
      </c>
      <c r="P53" s="510" t="s">
        <v>115</v>
      </c>
      <c r="Q53" s="511"/>
      <c r="R53" s="510" t="s">
        <v>372</v>
      </c>
      <c r="S53" s="512"/>
      <c r="T53" s="512"/>
      <c r="U53" s="511"/>
      <c r="V53" s="480" t="s">
        <v>139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112</v>
      </c>
      <c r="B54" s="495"/>
      <c r="C54" s="250" t="s">
        <v>224</v>
      </c>
      <c r="D54" s="250" t="s">
        <v>115</v>
      </c>
      <c r="E54" s="250" t="s">
        <v>372</v>
      </c>
      <c r="F54" s="496" t="s">
        <v>381</v>
      </c>
      <c r="G54" s="497"/>
      <c r="H54" s="497"/>
      <c r="I54" s="497"/>
      <c r="J54" s="497"/>
      <c r="K54" s="497"/>
      <c r="L54" s="497"/>
      <c r="M54" s="498"/>
      <c r="N54" s="249" t="s">
        <v>119</v>
      </c>
      <c r="O54" s="247" t="s">
        <v>280</v>
      </c>
      <c r="P54" s="510" t="s">
        <v>385</v>
      </c>
      <c r="Q54" s="511"/>
      <c r="R54" s="510" t="s">
        <v>386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120</v>
      </c>
      <c r="B55" s="509"/>
      <c r="C55" s="253" t="s">
        <v>184</v>
      </c>
      <c r="D55" s="253" t="s">
        <v>285</v>
      </c>
      <c r="E55" s="250" t="s">
        <v>378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249" t="s">
        <v>388</v>
      </c>
      <c r="O55" s="247" t="s">
        <v>224</v>
      </c>
      <c r="P55" s="510" t="s">
        <v>115</v>
      </c>
      <c r="Q55" s="511"/>
      <c r="R55" s="510" t="s">
        <v>387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120</v>
      </c>
      <c r="B56" s="509"/>
      <c r="C56" s="253" t="s">
        <v>277</v>
      </c>
      <c r="D56" s="253" t="s">
        <v>136</v>
      </c>
      <c r="E56" s="250" t="s">
        <v>379</v>
      </c>
      <c r="F56" s="496" t="s">
        <v>382</v>
      </c>
      <c r="G56" s="497"/>
      <c r="H56" s="497"/>
      <c r="I56" s="497"/>
      <c r="J56" s="497"/>
      <c r="K56" s="497"/>
      <c r="L56" s="497"/>
      <c r="M56" s="498"/>
      <c r="N56" s="249" t="s">
        <v>119</v>
      </c>
      <c r="O56" s="247" t="s">
        <v>181</v>
      </c>
      <c r="P56" s="510" t="s">
        <v>390</v>
      </c>
      <c r="Q56" s="511"/>
      <c r="R56" s="510" t="s">
        <v>389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250"/>
      <c r="D57" s="250"/>
      <c r="E57" s="250"/>
      <c r="F57" s="496"/>
      <c r="G57" s="497"/>
      <c r="H57" s="497"/>
      <c r="I57" s="497"/>
      <c r="J57" s="497"/>
      <c r="K57" s="497"/>
      <c r="L57" s="497"/>
      <c r="M57" s="498"/>
      <c r="N57" s="249" t="s">
        <v>119</v>
      </c>
      <c r="O57" s="247" t="s">
        <v>187</v>
      </c>
      <c r="P57" s="510" t="s">
        <v>115</v>
      </c>
      <c r="Q57" s="511"/>
      <c r="R57" s="510" t="s">
        <v>300</v>
      </c>
      <c r="S57" s="512"/>
      <c r="T57" s="512"/>
      <c r="U57" s="511"/>
      <c r="V57" s="480" t="s">
        <v>176</v>
      </c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253"/>
      <c r="D58" s="253"/>
      <c r="E58" s="250"/>
      <c r="F58" s="496"/>
      <c r="G58" s="497"/>
      <c r="H58" s="497"/>
      <c r="I58" s="497"/>
      <c r="J58" s="497"/>
      <c r="K58" s="497"/>
      <c r="L58" s="497"/>
      <c r="M58" s="498"/>
      <c r="N58" s="249" t="s">
        <v>119</v>
      </c>
      <c r="O58" s="247" t="s">
        <v>314</v>
      </c>
      <c r="P58" s="510" t="s">
        <v>392</v>
      </c>
      <c r="Q58" s="511"/>
      <c r="R58" s="495" t="s">
        <v>391</v>
      </c>
      <c r="S58" s="495"/>
      <c r="T58" s="495"/>
      <c r="U58" s="495"/>
      <c r="V58" s="480" t="s">
        <v>176</v>
      </c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53"/>
      <c r="D59" s="253"/>
      <c r="E59" s="250"/>
      <c r="F59" s="496"/>
      <c r="G59" s="497"/>
      <c r="H59" s="497"/>
      <c r="I59" s="497"/>
      <c r="J59" s="497"/>
      <c r="K59" s="497"/>
      <c r="L59" s="497"/>
      <c r="M59" s="498"/>
      <c r="N59" s="249" t="s">
        <v>120</v>
      </c>
      <c r="O59" s="247" t="s">
        <v>277</v>
      </c>
      <c r="P59" s="510" t="s">
        <v>136</v>
      </c>
      <c r="Q59" s="511"/>
      <c r="R59" s="495" t="s">
        <v>379</v>
      </c>
      <c r="S59" s="495"/>
      <c r="T59" s="495"/>
      <c r="U59" s="495"/>
      <c r="V59" s="480" t="s">
        <v>139</v>
      </c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50"/>
      <c r="D60" s="250"/>
      <c r="E60" s="250"/>
      <c r="F60" s="496"/>
      <c r="G60" s="497"/>
      <c r="H60" s="497"/>
      <c r="I60" s="497"/>
      <c r="J60" s="497"/>
      <c r="K60" s="497"/>
      <c r="L60" s="497"/>
      <c r="M60" s="498"/>
      <c r="N60" s="249"/>
      <c r="O60" s="247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51"/>
      <c r="D61" s="252"/>
      <c r="E61" s="252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393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48" t="s">
        <v>2</v>
      </c>
      <c r="D63" s="248" t="s">
        <v>37</v>
      </c>
      <c r="E63" s="248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48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243"/>
      <c r="E64" s="246" t="s">
        <v>128</v>
      </c>
      <c r="F64" s="481" t="s">
        <v>394</v>
      </c>
      <c r="G64" s="482"/>
      <c r="H64" s="482"/>
      <c r="I64" s="482"/>
      <c r="J64" s="483"/>
      <c r="K64" s="469" t="s">
        <v>395</v>
      </c>
      <c r="L64" s="469"/>
      <c r="M64" s="51" t="s">
        <v>396</v>
      </c>
      <c r="N64" s="478" t="s">
        <v>174</v>
      </c>
      <c r="O64" s="478"/>
      <c r="P64" s="479">
        <v>150</v>
      </c>
      <c r="Q64" s="479"/>
      <c r="R64" s="480" t="s">
        <v>397</v>
      </c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119</v>
      </c>
      <c r="D65" s="243"/>
      <c r="E65" s="246" t="s">
        <v>115</v>
      </c>
      <c r="F65" s="481" t="s">
        <v>398</v>
      </c>
      <c r="G65" s="482"/>
      <c r="H65" s="482"/>
      <c r="I65" s="482"/>
      <c r="J65" s="483"/>
      <c r="K65" s="469">
        <v>7301</v>
      </c>
      <c r="L65" s="469"/>
      <c r="M65" s="51" t="s">
        <v>140</v>
      </c>
      <c r="N65" s="478" t="s">
        <v>314</v>
      </c>
      <c r="O65" s="478"/>
      <c r="P65" s="479">
        <v>50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120</v>
      </c>
      <c r="D66" s="243"/>
      <c r="E66" s="246" t="s">
        <v>115</v>
      </c>
      <c r="F66" s="477" t="s">
        <v>315</v>
      </c>
      <c r="G66" s="469"/>
      <c r="H66" s="469"/>
      <c r="I66" s="469"/>
      <c r="J66" s="469"/>
      <c r="K66" s="469" t="s">
        <v>123</v>
      </c>
      <c r="L66" s="469"/>
      <c r="M66" s="51" t="s">
        <v>140</v>
      </c>
      <c r="N66" s="478" t="s">
        <v>280</v>
      </c>
      <c r="O66" s="478"/>
      <c r="P66" s="479">
        <v>200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43"/>
      <c r="E67" s="246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43"/>
      <c r="E68" s="246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43"/>
      <c r="E69" s="246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43"/>
      <c r="E70" s="246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43"/>
      <c r="E71" s="246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43"/>
      <c r="E72" s="246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43"/>
      <c r="E73" s="246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399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45" t="s">
        <v>2</v>
      </c>
      <c r="D75" s="245" t="s">
        <v>37</v>
      </c>
      <c r="E75" s="245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44" t="s">
        <v>112</v>
      </c>
      <c r="D76" s="244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43"/>
      <c r="D77" s="243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43"/>
      <c r="D78" s="243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43"/>
      <c r="D79" s="243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43"/>
      <c r="D80" s="243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43"/>
      <c r="D81" s="243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43"/>
      <c r="D82" s="243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400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7F74-003F-4A65-A094-7FA6A7B6E312}">
  <dimension ref="A1:AF87"/>
  <sheetViews>
    <sheetView view="pageBreakPreview" zoomScale="70" zoomScaleNormal="72" zoomScaleSheetLayoutView="70" workbookViewId="0">
      <selection activeCell="K77" sqref="K77:S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401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56" t="s">
        <v>17</v>
      </c>
      <c r="L5" s="256" t="s">
        <v>18</v>
      </c>
      <c r="M5" s="256" t="s">
        <v>19</v>
      </c>
      <c r="N5" s="2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354</v>
      </c>
      <c r="F6" s="12" t="s">
        <v>127</v>
      </c>
      <c r="G6" s="12">
        <v>1</v>
      </c>
      <c r="H6" s="13">
        <v>24</v>
      </c>
      <c r="I6" s="31">
        <v>8000</v>
      </c>
      <c r="J6" s="14">
        <v>1616</v>
      </c>
      <c r="K6" s="15">
        <f>L6+5942+6006</f>
        <v>13564</v>
      </c>
      <c r="L6" s="15">
        <v>1616</v>
      </c>
      <c r="M6" s="15">
        <f t="shared" ref="M6:M21" si="0">L6-N6</f>
        <v>1616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8</v>
      </c>
      <c r="Q6" s="40">
        <f t="shared" ref="Q6:Q21" si="3">SUM(R6:AA6)</f>
        <v>16</v>
      </c>
      <c r="R6" s="7"/>
      <c r="S6" s="6"/>
      <c r="T6" s="16"/>
      <c r="U6" s="16"/>
      <c r="V6" s="17"/>
      <c r="W6" s="5">
        <v>16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0.33333333333333331</v>
      </c>
      <c r="AD6" s="10">
        <f t="shared" ref="AD6:AD21" si="6">AC6*AB6*(1-O6)</f>
        <v>0.33333333333333331</v>
      </c>
      <c r="AE6" s="36">
        <f t="shared" ref="AE6:AE21" si="7">$AD$22</f>
        <v>0.4453125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0.4453125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24624</v>
      </c>
      <c r="K8" s="15">
        <f>L8+8404+12360+9142+12426+5790+11544+12480+12502+12376+12380+22896+24720+24328+24256+11504+24084+22712+24032+23532+20768+23268+23880+22096+24340+10412+14832+23872+25696+24068+24616+24584+24152+22024+23336+22288</f>
        <v>690324</v>
      </c>
      <c r="L8" s="15">
        <f>3202*4+2954*4</f>
        <v>24624</v>
      </c>
      <c r="M8" s="15">
        <f t="shared" si="0"/>
        <v>24624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0.4453125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390</v>
      </c>
      <c r="E9" s="53" t="s">
        <v>389</v>
      </c>
      <c r="F9" s="30" t="s">
        <v>402</v>
      </c>
      <c r="G9" s="33">
        <v>12</v>
      </c>
      <c r="H9" s="35">
        <v>24</v>
      </c>
      <c r="I9" s="7">
        <v>150000</v>
      </c>
      <c r="J9" s="14">
        <v>66216</v>
      </c>
      <c r="K9" s="15">
        <f>L9</f>
        <v>66216</v>
      </c>
      <c r="L9" s="15">
        <f>2194*12+3324*12</f>
        <v>66216</v>
      </c>
      <c r="M9" s="15">
        <f t="shared" si="0"/>
        <v>66216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/>
      <c r="T9" s="16">
        <v>3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0.4453125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24928</v>
      </c>
      <c r="K10" s="15">
        <f>L10+19272+24844+16004+13948+24828+23236+25072+24900+25224+24840+25892+24064+24888+25144+24944+18428+25256+23464</f>
        <v>439176</v>
      </c>
      <c r="L10" s="15">
        <f>3250*4+2982*4</f>
        <v>24928</v>
      </c>
      <c r="M10" s="15">
        <f t="shared" si="0"/>
        <v>24928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0.4453125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385</v>
      </c>
      <c r="E11" s="53">
        <v>3159016</v>
      </c>
      <c r="F11" s="30" t="s">
        <v>147</v>
      </c>
      <c r="G11" s="33">
        <v>4</v>
      </c>
      <c r="H11" s="35">
        <v>24</v>
      </c>
      <c r="I11" s="7">
        <v>2000</v>
      </c>
      <c r="J11" s="14">
        <v>20700</v>
      </c>
      <c r="K11" s="15">
        <f>L11</f>
        <v>20700</v>
      </c>
      <c r="L11" s="15">
        <f>2201*4+2974*4</f>
        <v>20700</v>
      </c>
      <c r="M11" s="15">
        <f t="shared" si="0"/>
        <v>20700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7"/>
        <v>0.4453125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136</v>
      </c>
      <c r="E12" s="53" t="s">
        <v>379</v>
      </c>
      <c r="F12" s="30" t="s">
        <v>123</v>
      </c>
      <c r="G12" s="12">
        <v>2</v>
      </c>
      <c r="H12" s="13">
        <v>28</v>
      </c>
      <c r="I12" s="31">
        <v>10000</v>
      </c>
      <c r="J12" s="5">
        <v>5356</v>
      </c>
      <c r="K12" s="15">
        <f>L12+6526</f>
        <v>11882</v>
      </c>
      <c r="L12" s="15">
        <f>2678*2</f>
        <v>5356</v>
      </c>
      <c r="M12" s="15">
        <f t="shared" si="0"/>
        <v>5356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/>
      <c r="T12" s="16">
        <v>10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9"/>
        <v>0.58333333333333337</v>
      </c>
      <c r="AE12" s="36">
        <f t="shared" si="7"/>
        <v>0.4453125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24560</v>
      </c>
      <c r="K13" s="15">
        <f>L13+14284+8352+12576+8310+15524+17860+22424+23088+2420+23364+22844+15980+12148+8056+16415+23304+22652+18028</f>
        <v>312189</v>
      </c>
      <c r="L13" s="15">
        <f>2907*4+3233*4</f>
        <v>24560</v>
      </c>
      <c r="M13" s="15">
        <f t="shared" si="0"/>
        <v>24560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0.4453125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372</v>
      </c>
      <c r="F14" s="30" t="s">
        <v>377</v>
      </c>
      <c r="G14" s="33">
        <v>1</v>
      </c>
      <c r="H14" s="35">
        <v>60</v>
      </c>
      <c r="I14" s="7">
        <v>300</v>
      </c>
      <c r="J14" s="5">
        <v>107</v>
      </c>
      <c r="K14" s="15">
        <f>L14+100</f>
        <v>207</v>
      </c>
      <c r="L14" s="15">
        <v>107</v>
      </c>
      <c r="M14" s="15">
        <f t="shared" si="0"/>
        <v>107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9"/>
        <v>0.16666666666666666</v>
      </c>
      <c r="AE14" s="36">
        <f t="shared" si="7"/>
        <v>0.4453125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0.4453125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0.4453125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0.4453125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300</v>
      </c>
      <c r="F18" s="30" t="s">
        <v>118</v>
      </c>
      <c r="G18" s="33">
        <v>1</v>
      </c>
      <c r="H18" s="35">
        <v>24</v>
      </c>
      <c r="I18" s="7">
        <v>13000</v>
      </c>
      <c r="J18" s="14">
        <v>425</v>
      </c>
      <c r="K18" s="15">
        <f>L18+2656+4803+5579+260+425</f>
        <v>13723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0.4453125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392</v>
      </c>
      <c r="E19" s="53">
        <v>3107002</v>
      </c>
      <c r="F19" s="30" t="s">
        <v>293</v>
      </c>
      <c r="G19" s="33">
        <v>1</v>
      </c>
      <c r="H19" s="35">
        <v>24</v>
      </c>
      <c r="I19" s="7">
        <v>8500</v>
      </c>
      <c r="J19" s="14">
        <v>1050</v>
      </c>
      <c r="K19" s="15">
        <f>L19</f>
        <v>1050</v>
      </c>
      <c r="L19" s="15">
        <f>1050</f>
        <v>1050</v>
      </c>
      <c r="M19" s="15">
        <f t="shared" si="0"/>
        <v>1050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0.4453125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136</v>
      </c>
      <c r="E20" s="53" t="s">
        <v>379</v>
      </c>
      <c r="F20" s="30" t="s">
        <v>123</v>
      </c>
      <c r="G20" s="12">
        <v>2</v>
      </c>
      <c r="H20" s="13">
        <v>28</v>
      </c>
      <c r="I20" s="31">
        <v>10000</v>
      </c>
      <c r="J20" s="5">
        <v>6526</v>
      </c>
      <c r="K20" s="15">
        <f>L20+6526</f>
        <v>6526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0.4453125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68476</v>
      </c>
      <c r="K21" s="15">
        <f>L21+17656+21428+32268+13436+27116+28000+43600+66580+29616</f>
        <v>348176</v>
      </c>
      <c r="L21" s="15">
        <f>8594*4+8525*4</f>
        <v>68476</v>
      </c>
      <c r="M21" s="15">
        <f t="shared" si="0"/>
        <v>68476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0.4453125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2534300</v>
      </c>
      <c r="J22" s="19">
        <f t="shared" si="10"/>
        <v>269906</v>
      </c>
      <c r="K22" s="20">
        <f t="shared" si="10"/>
        <v>1969779</v>
      </c>
      <c r="L22" s="21">
        <f t="shared" si="10"/>
        <v>237633</v>
      </c>
      <c r="M22" s="20">
        <f t="shared" si="10"/>
        <v>237633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171</v>
      </c>
      <c r="Q22" s="43">
        <f t="shared" si="11"/>
        <v>209</v>
      </c>
      <c r="R22" s="23">
        <f t="shared" si="11"/>
        <v>48</v>
      </c>
      <c r="S22" s="24">
        <f t="shared" si="11"/>
        <v>40</v>
      </c>
      <c r="T22" s="24">
        <f t="shared" si="11"/>
        <v>15</v>
      </c>
      <c r="U22" s="24">
        <f t="shared" si="11"/>
        <v>0</v>
      </c>
      <c r="V22" s="25">
        <f t="shared" si="11"/>
        <v>0</v>
      </c>
      <c r="W22" s="26">
        <f t="shared" si="11"/>
        <v>82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0.4453125</v>
      </c>
      <c r="AD22" s="4">
        <f>AVERAGE(AD6:AD21)</f>
        <v>0.4453125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403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406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57" t="s">
        <v>46</v>
      </c>
      <c r="D51" s="257" t="s">
        <v>47</v>
      </c>
      <c r="E51" s="257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57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494" t="s">
        <v>119</v>
      </c>
      <c r="B52" s="495"/>
      <c r="C52" s="260" t="s">
        <v>187</v>
      </c>
      <c r="D52" s="260" t="s">
        <v>115</v>
      </c>
      <c r="E52" s="260" t="s">
        <v>300</v>
      </c>
      <c r="F52" s="496" t="s">
        <v>404</v>
      </c>
      <c r="G52" s="497"/>
      <c r="H52" s="497"/>
      <c r="I52" s="497"/>
      <c r="J52" s="497"/>
      <c r="K52" s="497"/>
      <c r="L52" s="497"/>
      <c r="M52" s="498"/>
      <c r="N52" s="259" t="s">
        <v>120</v>
      </c>
      <c r="O52" s="265" t="s">
        <v>280</v>
      </c>
      <c r="P52" s="510" t="s">
        <v>115</v>
      </c>
      <c r="Q52" s="511"/>
      <c r="R52" s="495" t="s">
        <v>407</v>
      </c>
      <c r="S52" s="495"/>
      <c r="T52" s="495"/>
      <c r="U52" s="495"/>
      <c r="V52" s="480" t="s">
        <v>180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112</v>
      </c>
      <c r="B53" s="495"/>
      <c r="C53" s="260" t="s">
        <v>224</v>
      </c>
      <c r="D53" s="260" t="s">
        <v>115</v>
      </c>
      <c r="E53" s="260" t="s">
        <v>372</v>
      </c>
      <c r="F53" s="496" t="s">
        <v>405</v>
      </c>
      <c r="G53" s="497"/>
      <c r="H53" s="497"/>
      <c r="I53" s="497"/>
      <c r="J53" s="497"/>
      <c r="K53" s="497"/>
      <c r="L53" s="497"/>
      <c r="M53" s="498"/>
      <c r="N53" s="259" t="s">
        <v>388</v>
      </c>
      <c r="O53" s="265" t="s">
        <v>224</v>
      </c>
      <c r="P53" s="510" t="s">
        <v>115</v>
      </c>
      <c r="Q53" s="511"/>
      <c r="R53" s="510" t="s">
        <v>387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120</v>
      </c>
      <c r="B54" s="509"/>
      <c r="C54" s="258" t="s">
        <v>149</v>
      </c>
      <c r="D54" s="258" t="s">
        <v>136</v>
      </c>
      <c r="E54" s="260" t="s">
        <v>379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259" t="s">
        <v>120</v>
      </c>
      <c r="O54" s="265" t="s">
        <v>149</v>
      </c>
      <c r="P54" s="510" t="s">
        <v>137</v>
      </c>
      <c r="Q54" s="511"/>
      <c r="R54" s="495" t="s">
        <v>408</v>
      </c>
      <c r="S54" s="495"/>
      <c r="T54" s="495"/>
      <c r="U54" s="495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258" t="s">
        <v>314</v>
      </c>
      <c r="D55" s="258" t="s">
        <v>392</v>
      </c>
      <c r="E55" s="260" t="s">
        <v>391</v>
      </c>
      <c r="F55" s="496" t="s">
        <v>176</v>
      </c>
      <c r="G55" s="497"/>
      <c r="H55" s="497"/>
      <c r="I55" s="497"/>
      <c r="J55" s="497"/>
      <c r="K55" s="497"/>
      <c r="L55" s="497"/>
      <c r="M55" s="498"/>
      <c r="N55" s="259" t="s">
        <v>119</v>
      </c>
      <c r="O55" s="265" t="s">
        <v>187</v>
      </c>
      <c r="P55" s="510" t="s">
        <v>115</v>
      </c>
      <c r="Q55" s="511"/>
      <c r="R55" s="510" t="s">
        <v>300</v>
      </c>
      <c r="S55" s="512"/>
      <c r="T55" s="512"/>
      <c r="U55" s="511"/>
      <c r="V55" s="480" t="s">
        <v>176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119</v>
      </c>
      <c r="B56" s="509"/>
      <c r="C56" s="258" t="s">
        <v>181</v>
      </c>
      <c r="D56" s="258" t="s">
        <v>390</v>
      </c>
      <c r="E56" s="260" t="s">
        <v>389</v>
      </c>
      <c r="F56" s="496" t="s">
        <v>180</v>
      </c>
      <c r="G56" s="497"/>
      <c r="H56" s="497"/>
      <c r="I56" s="497"/>
      <c r="J56" s="497"/>
      <c r="K56" s="497"/>
      <c r="L56" s="497"/>
      <c r="M56" s="498"/>
      <c r="N56" s="259" t="s">
        <v>112</v>
      </c>
      <c r="O56" s="265" t="s">
        <v>200</v>
      </c>
      <c r="P56" s="510" t="s">
        <v>175</v>
      </c>
      <c r="Q56" s="511"/>
      <c r="R56" s="510" t="s">
        <v>409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119</v>
      </c>
      <c r="B57" s="495"/>
      <c r="C57" s="260" t="s">
        <v>280</v>
      </c>
      <c r="D57" s="260" t="s">
        <v>385</v>
      </c>
      <c r="E57" s="260" t="s">
        <v>386</v>
      </c>
      <c r="F57" s="496" t="s">
        <v>180</v>
      </c>
      <c r="G57" s="497"/>
      <c r="H57" s="497"/>
      <c r="I57" s="497"/>
      <c r="J57" s="497"/>
      <c r="K57" s="497"/>
      <c r="L57" s="497"/>
      <c r="M57" s="498"/>
      <c r="N57" s="259"/>
      <c r="O57" s="265"/>
      <c r="P57" s="510"/>
      <c r="Q57" s="511"/>
      <c r="R57" s="510"/>
      <c r="S57" s="512"/>
      <c r="T57" s="512"/>
      <c r="U57" s="511"/>
      <c r="V57" s="480"/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508"/>
      <c r="B58" s="509"/>
      <c r="C58" s="258"/>
      <c r="D58" s="258"/>
      <c r="E58" s="260"/>
      <c r="F58" s="496"/>
      <c r="G58" s="497"/>
      <c r="H58" s="497"/>
      <c r="I58" s="497"/>
      <c r="J58" s="497"/>
      <c r="K58" s="497"/>
      <c r="L58" s="497"/>
      <c r="M58" s="498"/>
      <c r="N58" s="259"/>
      <c r="O58" s="265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58"/>
      <c r="D59" s="258"/>
      <c r="E59" s="260"/>
      <c r="F59" s="496"/>
      <c r="G59" s="497"/>
      <c r="H59" s="497"/>
      <c r="I59" s="497"/>
      <c r="J59" s="497"/>
      <c r="K59" s="497"/>
      <c r="L59" s="497"/>
      <c r="M59" s="498"/>
      <c r="N59" s="259"/>
      <c r="O59" s="265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60"/>
      <c r="D60" s="260"/>
      <c r="E60" s="260"/>
      <c r="F60" s="496"/>
      <c r="G60" s="497"/>
      <c r="H60" s="497"/>
      <c r="I60" s="497"/>
      <c r="J60" s="497"/>
      <c r="K60" s="497"/>
      <c r="L60" s="497"/>
      <c r="M60" s="498"/>
      <c r="N60" s="259"/>
      <c r="O60" s="265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61"/>
      <c r="D61" s="262"/>
      <c r="E61" s="262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410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63" t="s">
        <v>2</v>
      </c>
      <c r="D63" s="263" t="s">
        <v>37</v>
      </c>
      <c r="E63" s="263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63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267"/>
      <c r="E64" s="264" t="s">
        <v>115</v>
      </c>
      <c r="F64" s="481" t="s">
        <v>300</v>
      </c>
      <c r="G64" s="482"/>
      <c r="H64" s="482"/>
      <c r="I64" s="482"/>
      <c r="J64" s="483"/>
      <c r="K64" s="469" t="s">
        <v>118</v>
      </c>
      <c r="L64" s="469"/>
      <c r="M64" s="51" t="s">
        <v>140</v>
      </c>
      <c r="N64" s="478" t="s">
        <v>187</v>
      </c>
      <c r="O64" s="478"/>
      <c r="P64" s="479">
        <v>100</v>
      </c>
      <c r="Q64" s="479"/>
      <c r="R64" s="480" t="s">
        <v>411</v>
      </c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119</v>
      </c>
      <c r="D65" s="267"/>
      <c r="E65" s="264" t="s">
        <v>392</v>
      </c>
      <c r="F65" s="481">
        <v>3107002</v>
      </c>
      <c r="G65" s="482"/>
      <c r="H65" s="482"/>
      <c r="I65" s="482"/>
      <c r="J65" s="483"/>
      <c r="K65" s="469" t="s">
        <v>293</v>
      </c>
      <c r="L65" s="469"/>
      <c r="M65" s="51" t="s">
        <v>313</v>
      </c>
      <c r="N65" s="478" t="s">
        <v>314</v>
      </c>
      <c r="O65" s="478"/>
      <c r="P65" s="479">
        <v>50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267"/>
      <c r="E66" s="264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67"/>
      <c r="E67" s="264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67"/>
      <c r="E68" s="264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67"/>
      <c r="E69" s="264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67"/>
      <c r="E70" s="264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67"/>
      <c r="E71" s="264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67"/>
      <c r="E72" s="264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67"/>
      <c r="E73" s="264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412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66" t="s">
        <v>2</v>
      </c>
      <c r="D75" s="266" t="s">
        <v>37</v>
      </c>
      <c r="E75" s="266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68" t="s">
        <v>112</v>
      </c>
      <c r="D76" s="268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67"/>
      <c r="D77" s="267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67"/>
      <c r="D78" s="267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67"/>
      <c r="D79" s="267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67"/>
      <c r="D80" s="267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67"/>
      <c r="D81" s="267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67"/>
      <c r="D82" s="267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413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6B84-E20E-40D0-8C1A-A011539ED76C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414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81" t="s">
        <v>17</v>
      </c>
      <c r="L5" s="281" t="s">
        <v>18</v>
      </c>
      <c r="M5" s="281" t="s">
        <v>19</v>
      </c>
      <c r="N5" s="2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169</v>
      </c>
      <c r="E6" s="53" t="s">
        <v>415</v>
      </c>
      <c r="F6" s="12" t="s">
        <v>127</v>
      </c>
      <c r="G6" s="12">
        <v>1</v>
      </c>
      <c r="H6" s="13">
        <v>24</v>
      </c>
      <c r="I6" s="31">
        <v>1000</v>
      </c>
      <c r="J6" s="14">
        <v>2725</v>
      </c>
      <c r="K6" s="15">
        <f>L6</f>
        <v>2725</v>
      </c>
      <c r="L6" s="15">
        <f>2670+55</f>
        <v>2725</v>
      </c>
      <c r="M6" s="15">
        <f t="shared" ref="M6:M22" si="0">L6-N6</f>
        <v>2725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14</v>
      </c>
      <c r="Q6" s="40">
        <f t="shared" ref="Q6:Q22" si="3">SUM(R6:AA6)</f>
        <v>10</v>
      </c>
      <c r="R6" s="7"/>
      <c r="S6" s="6"/>
      <c r="T6" s="16"/>
      <c r="U6" s="16"/>
      <c r="V6" s="17"/>
      <c r="W6" s="5">
        <v>10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0.58333333333333337</v>
      </c>
      <c r="AD6" s="10">
        <f t="shared" ref="AD6:AD22" si="6">AC6*AB6*(1-O6)</f>
        <v>0.58333333333333337</v>
      </c>
      <c r="AE6" s="36">
        <f t="shared" ref="AE6:AE22" si="7">$AD$23</f>
        <v>0.51470588235294112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0.51470588235294112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24704</v>
      </c>
      <c r="K8" s="15">
        <f>L8+8404+12360+9142+12426+5790+11544+12480+12502+12376+12380+22896+24720+24328+24256+11504+24084+22712+24032+23532+20768+23268+23880+22096+24340+10412+14832+23872+25696+24068+24616+24584+24152+22024+23336+22288+24624</f>
        <v>715028</v>
      </c>
      <c r="L8" s="15">
        <f>3199*4+2977*4</f>
        <v>24704</v>
      </c>
      <c r="M8" s="15">
        <f t="shared" si="0"/>
        <v>24704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0.51470588235294112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390</v>
      </c>
      <c r="E9" s="53" t="s">
        <v>389</v>
      </c>
      <c r="F9" s="30" t="s">
        <v>402</v>
      </c>
      <c r="G9" s="33">
        <v>12</v>
      </c>
      <c r="H9" s="35">
        <v>24</v>
      </c>
      <c r="I9" s="7">
        <v>150000</v>
      </c>
      <c r="J9" s="14">
        <v>74748</v>
      </c>
      <c r="K9" s="15">
        <f>L9+66216</f>
        <v>140964</v>
      </c>
      <c r="L9" s="15">
        <f>2931*12+3298*12</f>
        <v>74748</v>
      </c>
      <c r="M9" s="15">
        <f t="shared" si="0"/>
        <v>74748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0.51470588235294112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25056</v>
      </c>
      <c r="K10" s="15">
        <f>L10+19272+24844+16004+13948+24828+23236+25072+24900+25224+24840+25892+24064+24888+25144+24944+18428+25256+23464+24928</f>
        <v>464232</v>
      </c>
      <c r="L10" s="15">
        <f>3233*4+3031*4</f>
        <v>25056</v>
      </c>
      <c r="M10" s="15">
        <f t="shared" si="0"/>
        <v>25056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0.51470588235294112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407</v>
      </c>
      <c r="F11" s="30" t="s">
        <v>123</v>
      </c>
      <c r="G11" s="33">
        <v>2</v>
      </c>
      <c r="H11" s="35">
        <v>24</v>
      </c>
      <c r="I11" s="7">
        <v>10000</v>
      </c>
      <c r="J11" s="14">
        <v>10112</v>
      </c>
      <c r="K11" s="15">
        <f>L11</f>
        <v>10112</v>
      </c>
      <c r="L11" s="15">
        <f>2596*2+2460*2</f>
        <v>10112</v>
      </c>
      <c r="M11" s="15">
        <f t="shared" si="0"/>
        <v>10112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ref="AD11:AD15" si="9">AC11*AB11*(1-O11)</f>
        <v>0.95833333333333337</v>
      </c>
      <c r="AE11" s="36">
        <f t="shared" si="7"/>
        <v>0.51470588235294112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137</v>
      </c>
      <c r="E12" s="53" t="s">
        <v>408</v>
      </c>
      <c r="F12" s="30" t="s">
        <v>123</v>
      </c>
      <c r="G12" s="12">
        <v>2</v>
      </c>
      <c r="H12" s="13">
        <v>28</v>
      </c>
      <c r="I12" s="31">
        <v>10000</v>
      </c>
      <c r="J12" s="5">
        <v>10408</v>
      </c>
      <c r="K12" s="15">
        <f>L12</f>
        <v>10408</v>
      </c>
      <c r="L12" s="15">
        <f>2495*2+2709*2</f>
        <v>10408</v>
      </c>
      <c r="M12" s="15">
        <f t="shared" si="0"/>
        <v>10408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9"/>
        <v>0.95833333333333337</v>
      </c>
      <c r="AE12" s="36">
        <f t="shared" si="7"/>
        <v>0.51470588235294112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16004</v>
      </c>
      <c r="K13" s="15">
        <f>L13+14284+8352+12576+8310+15524+17860+22424+23088+2420+23364+22844+15980+12148+8056+16415+23304+22652+18028+24560</f>
        <v>328193</v>
      </c>
      <c r="L13" s="15">
        <f>877*4+3124*4</f>
        <v>16004</v>
      </c>
      <c r="M13" s="15">
        <f t="shared" si="0"/>
        <v>16004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/>
      <c r="T13" s="16">
        <v>7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>AC13*AB13*(1-O13)</f>
        <v>0.70833333333333337</v>
      </c>
      <c r="AE13" s="36">
        <f t="shared" si="7"/>
        <v>0.51470588235294112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416</v>
      </c>
      <c r="F14" s="30" t="s">
        <v>148</v>
      </c>
      <c r="G14" s="33">
        <v>1</v>
      </c>
      <c r="H14" s="35">
        <v>60</v>
      </c>
      <c r="I14" s="7">
        <v>100</v>
      </c>
      <c r="J14" s="5">
        <v>133</v>
      </c>
      <c r="K14" s="15">
        <f>L14</f>
        <v>133</v>
      </c>
      <c r="L14" s="15">
        <v>133</v>
      </c>
      <c r="M14" s="15">
        <f t="shared" ref="M14" si="10">L14-N14</f>
        <v>133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3</v>
      </c>
      <c r="Q14" s="40">
        <f t="shared" ref="Q14" si="13">SUM(R14:AA14)</f>
        <v>21</v>
      </c>
      <c r="R14" s="7"/>
      <c r="S14" s="6"/>
      <c r="T14" s="16"/>
      <c r="U14" s="16"/>
      <c r="V14" s="17"/>
      <c r="W14" s="5">
        <v>21</v>
      </c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0.125</v>
      </c>
      <c r="AD14" s="10">
        <f t="shared" ref="AD14" si="16">AC14*AB14*(1-O14)</f>
        <v>0.125</v>
      </c>
      <c r="AE14" s="36">
        <f t="shared" si="7"/>
        <v>0.51470588235294112</v>
      </c>
      <c r="AF14" s="84">
        <f t="shared" ref="AF14" si="17">A14</f>
        <v>9</v>
      </c>
    </row>
    <row r="15" spans="1:32" ht="27" customHeight="1">
      <c r="A15" s="106">
        <v>9</v>
      </c>
      <c r="B15" s="11" t="s">
        <v>57</v>
      </c>
      <c r="C15" s="34" t="s">
        <v>388</v>
      </c>
      <c r="D15" s="52" t="s">
        <v>115</v>
      </c>
      <c r="E15" s="53" t="s">
        <v>387</v>
      </c>
      <c r="F15" s="30" t="s">
        <v>148</v>
      </c>
      <c r="G15" s="33">
        <v>1</v>
      </c>
      <c r="H15" s="35">
        <v>60</v>
      </c>
      <c r="I15" s="7">
        <v>100</v>
      </c>
      <c r="J15" s="5">
        <v>139</v>
      </c>
      <c r="K15" s="15">
        <f>L15</f>
        <v>139</v>
      </c>
      <c r="L15" s="15">
        <v>139</v>
      </c>
      <c r="M15" s="15">
        <f t="shared" si="0"/>
        <v>139</v>
      </c>
      <c r="N15" s="15">
        <v>0</v>
      </c>
      <c r="O15" s="58">
        <f t="shared" si="1"/>
        <v>0</v>
      </c>
      <c r="P15" s="39">
        <f t="shared" si="2"/>
        <v>3</v>
      </c>
      <c r="Q15" s="40">
        <f t="shared" si="3"/>
        <v>21</v>
      </c>
      <c r="R15" s="7"/>
      <c r="S15" s="6"/>
      <c r="T15" s="16"/>
      <c r="U15" s="16"/>
      <c r="V15" s="17"/>
      <c r="W15" s="5">
        <v>21</v>
      </c>
      <c r="X15" s="16"/>
      <c r="Y15" s="16"/>
      <c r="Z15" s="16"/>
      <c r="AA15" s="18"/>
      <c r="AB15" s="8">
        <f t="shared" si="4"/>
        <v>1</v>
      </c>
      <c r="AC15" s="9">
        <f t="shared" si="5"/>
        <v>0.125</v>
      </c>
      <c r="AD15" s="10">
        <f t="shared" si="9"/>
        <v>0.125</v>
      </c>
      <c r="AE15" s="36">
        <f t="shared" si="7"/>
        <v>0.51470588235294112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357</v>
      </c>
      <c r="D16" s="52" t="s">
        <v>359</v>
      </c>
      <c r="E16" s="53" t="s">
        <v>367</v>
      </c>
      <c r="F16" s="12" t="s">
        <v>368</v>
      </c>
      <c r="G16" s="12">
        <v>4</v>
      </c>
      <c r="H16" s="13">
        <v>24</v>
      </c>
      <c r="I16" s="31">
        <v>10000</v>
      </c>
      <c r="J16" s="14">
        <v>15572</v>
      </c>
      <c r="K16" s="15">
        <f>L16+20724+15572</f>
        <v>36296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0.51470588235294112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119</v>
      </c>
      <c r="D17" s="52" t="s">
        <v>145</v>
      </c>
      <c r="E17" s="53" t="s">
        <v>146</v>
      </c>
      <c r="F17" s="30" t="s">
        <v>147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0.51470588235294112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285</v>
      </c>
      <c r="E18" s="53" t="s">
        <v>378</v>
      </c>
      <c r="F18" s="30" t="s">
        <v>287</v>
      </c>
      <c r="G18" s="12">
        <v>2</v>
      </c>
      <c r="H18" s="13">
        <v>24</v>
      </c>
      <c r="I18" s="7">
        <v>10000</v>
      </c>
      <c r="J18" s="14">
        <v>7654</v>
      </c>
      <c r="K18" s="15">
        <f>L18+7654</f>
        <v>7654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0.51470588235294112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119</v>
      </c>
      <c r="D19" s="52" t="s">
        <v>115</v>
      </c>
      <c r="E19" s="53" t="s">
        <v>300</v>
      </c>
      <c r="F19" s="30" t="s">
        <v>118</v>
      </c>
      <c r="G19" s="33">
        <v>1</v>
      </c>
      <c r="H19" s="35">
        <v>24</v>
      </c>
      <c r="I19" s="7">
        <v>13000</v>
      </c>
      <c r="J19" s="14">
        <v>1722</v>
      </c>
      <c r="K19" s="15">
        <f>L19</f>
        <v>1722</v>
      </c>
      <c r="L19" s="15">
        <v>1722</v>
      </c>
      <c r="M19" s="15">
        <f t="shared" si="0"/>
        <v>1722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>
        <v>13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7"/>
        <v>0.51470588235294112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417</v>
      </c>
      <c r="E20" s="53" t="s">
        <v>418</v>
      </c>
      <c r="F20" s="30" t="s">
        <v>293</v>
      </c>
      <c r="G20" s="33">
        <v>2</v>
      </c>
      <c r="H20" s="35">
        <v>24</v>
      </c>
      <c r="I20" s="7">
        <v>5000</v>
      </c>
      <c r="J20" s="14">
        <v>6402</v>
      </c>
      <c r="K20" s="15">
        <f>L20</f>
        <v>6402</v>
      </c>
      <c r="L20" s="15">
        <f>1660*2+1541*2</f>
        <v>6402</v>
      </c>
      <c r="M20" s="15">
        <f t="shared" si="0"/>
        <v>6402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/>
      <c r="T20" s="16"/>
      <c r="U20" s="16"/>
      <c r="V20" s="17"/>
      <c r="W20" s="5">
        <v>4</v>
      </c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0.51470588235294112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136</v>
      </c>
      <c r="E21" s="53" t="s">
        <v>379</v>
      </c>
      <c r="F21" s="30" t="s">
        <v>123</v>
      </c>
      <c r="G21" s="12">
        <v>2</v>
      </c>
      <c r="H21" s="13">
        <v>28</v>
      </c>
      <c r="I21" s="31">
        <v>10000</v>
      </c>
      <c r="J21" s="5">
        <v>6526</v>
      </c>
      <c r="K21" s="15">
        <f>L21+6526</f>
        <v>6526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>
        <v>24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0.51470588235294112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156</v>
      </c>
      <c r="F22" s="12" t="s">
        <v>114</v>
      </c>
      <c r="G22" s="12">
        <v>4</v>
      </c>
      <c r="H22" s="35">
        <v>20</v>
      </c>
      <c r="I22" s="7">
        <v>500000</v>
      </c>
      <c r="J22" s="14">
        <v>71048</v>
      </c>
      <c r="K22" s="15">
        <f>L22+17656+21428+32268+13436+27116+28000+43600+66580+29616+68476</f>
        <v>419224</v>
      </c>
      <c r="L22" s="15">
        <f>9237*4+8525*4</f>
        <v>71048</v>
      </c>
      <c r="M22" s="15">
        <f t="shared" si="0"/>
        <v>71048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0.51470588235294112</v>
      </c>
      <c r="AF22" s="84">
        <f t="shared" si="8"/>
        <v>16</v>
      </c>
    </row>
    <row r="23" spans="1:32" ht="31.5" customHeight="1" thickBot="1">
      <c r="A23" s="515" t="s">
        <v>34</v>
      </c>
      <c r="B23" s="516"/>
      <c r="C23" s="516"/>
      <c r="D23" s="516"/>
      <c r="E23" s="516"/>
      <c r="F23" s="516"/>
      <c r="G23" s="516"/>
      <c r="H23" s="517"/>
      <c r="I23" s="22">
        <f t="shared" ref="I23:N23" si="18">SUM(I6:I22)</f>
        <v>2531700</v>
      </c>
      <c r="J23" s="19">
        <f t="shared" si="18"/>
        <v>275049</v>
      </c>
      <c r="K23" s="20">
        <f t="shared" si="18"/>
        <v>2151854</v>
      </c>
      <c r="L23" s="21">
        <f t="shared" si="18"/>
        <v>243201</v>
      </c>
      <c r="M23" s="20">
        <f t="shared" si="18"/>
        <v>243201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210</v>
      </c>
      <c r="Q23" s="43">
        <f t="shared" si="19"/>
        <v>198</v>
      </c>
      <c r="R23" s="23">
        <f t="shared" si="19"/>
        <v>48</v>
      </c>
      <c r="S23" s="24">
        <f t="shared" si="19"/>
        <v>13</v>
      </c>
      <c r="T23" s="24">
        <f t="shared" si="19"/>
        <v>9</v>
      </c>
      <c r="U23" s="24">
        <f t="shared" si="19"/>
        <v>0</v>
      </c>
      <c r="V23" s="25">
        <f t="shared" si="19"/>
        <v>0</v>
      </c>
      <c r="W23" s="26">
        <f t="shared" si="19"/>
        <v>104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0.70588235294117652</v>
      </c>
      <c r="AC23" s="4">
        <f>AVERAGE(AC6:AC22)</f>
        <v>0.51470588235294112</v>
      </c>
      <c r="AD23" s="4">
        <f>AVERAGE(AD6:AD22)</f>
        <v>0.51470588235294112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18" t="s">
        <v>45</v>
      </c>
      <c r="B50" s="518"/>
      <c r="C50" s="518"/>
      <c r="D50" s="518"/>
      <c r="E50" s="51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19" t="s">
        <v>419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  <c r="M51" s="521"/>
      <c r="N51" s="522" t="s">
        <v>421</v>
      </c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23"/>
      <c r="AC51" s="523"/>
      <c r="AD51" s="524"/>
    </row>
    <row r="52" spans="1:32" ht="27" customHeight="1">
      <c r="A52" s="525" t="s">
        <v>2</v>
      </c>
      <c r="B52" s="526"/>
      <c r="C52" s="280" t="s">
        <v>46</v>
      </c>
      <c r="D52" s="280" t="s">
        <v>47</v>
      </c>
      <c r="E52" s="280" t="s">
        <v>107</v>
      </c>
      <c r="F52" s="527" t="s">
        <v>106</v>
      </c>
      <c r="G52" s="528"/>
      <c r="H52" s="528"/>
      <c r="I52" s="528"/>
      <c r="J52" s="528"/>
      <c r="K52" s="528"/>
      <c r="L52" s="528"/>
      <c r="M52" s="529"/>
      <c r="N52" s="67" t="s">
        <v>110</v>
      </c>
      <c r="O52" s="280" t="s">
        <v>46</v>
      </c>
      <c r="P52" s="527" t="s">
        <v>47</v>
      </c>
      <c r="Q52" s="530"/>
      <c r="R52" s="527" t="s">
        <v>38</v>
      </c>
      <c r="S52" s="528"/>
      <c r="T52" s="528"/>
      <c r="U52" s="530"/>
      <c r="V52" s="527" t="s">
        <v>48</v>
      </c>
      <c r="W52" s="528"/>
      <c r="X52" s="528"/>
      <c r="Y52" s="528"/>
      <c r="Z52" s="528"/>
      <c r="AA52" s="528"/>
      <c r="AB52" s="528"/>
      <c r="AC52" s="528"/>
      <c r="AD52" s="529"/>
    </row>
    <row r="53" spans="1:32" ht="27" customHeight="1">
      <c r="A53" s="494" t="s">
        <v>119</v>
      </c>
      <c r="B53" s="495"/>
      <c r="C53" s="276" t="s">
        <v>187</v>
      </c>
      <c r="D53" s="276" t="s">
        <v>115</v>
      </c>
      <c r="E53" s="276" t="s">
        <v>300</v>
      </c>
      <c r="F53" s="496" t="s">
        <v>420</v>
      </c>
      <c r="G53" s="497"/>
      <c r="H53" s="497"/>
      <c r="I53" s="497"/>
      <c r="J53" s="497"/>
      <c r="K53" s="497"/>
      <c r="L53" s="497"/>
      <c r="M53" s="498"/>
      <c r="N53" s="275" t="s">
        <v>112</v>
      </c>
      <c r="O53" s="273" t="s">
        <v>200</v>
      </c>
      <c r="P53" s="510" t="s">
        <v>175</v>
      </c>
      <c r="Q53" s="511"/>
      <c r="R53" s="495" t="s">
        <v>422</v>
      </c>
      <c r="S53" s="495"/>
      <c r="T53" s="495"/>
      <c r="U53" s="495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112</v>
      </c>
      <c r="B54" s="495"/>
      <c r="C54" s="276" t="s">
        <v>224</v>
      </c>
      <c r="D54" s="276" t="s">
        <v>115</v>
      </c>
      <c r="E54" s="276" t="s">
        <v>416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275" t="s">
        <v>119</v>
      </c>
      <c r="O54" s="273" t="s">
        <v>181</v>
      </c>
      <c r="P54" s="510" t="s">
        <v>390</v>
      </c>
      <c r="Q54" s="511"/>
      <c r="R54" s="510" t="s">
        <v>423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120</v>
      </c>
      <c r="B55" s="509"/>
      <c r="C55" s="279" t="s">
        <v>149</v>
      </c>
      <c r="D55" s="279" t="s">
        <v>137</v>
      </c>
      <c r="E55" s="276" t="s">
        <v>408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275" t="s">
        <v>112</v>
      </c>
      <c r="O55" s="273" t="s">
        <v>280</v>
      </c>
      <c r="P55" s="510" t="s">
        <v>424</v>
      </c>
      <c r="Q55" s="511"/>
      <c r="R55" s="495" t="s">
        <v>425</v>
      </c>
      <c r="S55" s="495"/>
      <c r="T55" s="495"/>
      <c r="U55" s="495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120</v>
      </c>
      <c r="B56" s="509"/>
      <c r="C56" s="279" t="s">
        <v>280</v>
      </c>
      <c r="D56" s="279" t="s">
        <v>115</v>
      </c>
      <c r="E56" s="276" t="s">
        <v>407</v>
      </c>
      <c r="F56" s="496" t="s">
        <v>180</v>
      </c>
      <c r="G56" s="497"/>
      <c r="H56" s="497"/>
      <c r="I56" s="497"/>
      <c r="J56" s="497"/>
      <c r="K56" s="497"/>
      <c r="L56" s="497"/>
      <c r="M56" s="498"/>
      <c r="N56" s="275" t="s">
        <v>119</v>
      </c>
      <c r="O56" s="273" t="s">
        <v>187</v>
      </c>
      <c r="P56" s="510" t="s">
        <v>115</v>
      </c>
      <c r="Q56" s="511"/>
      <c r="R56" s="510" t="s">
        <v>300</v>
      </c>
      <c r="S56" s="512"/>
      <c r="T56" s="512"/>
      <c r="U56" s="511"/>
      <c r="V56" s="480" t="s">
        <v>176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508" t="s">
        <v>120</v>
      </c>
      <c r="B57" s="509"/>
      <c r="C57" s="279" t="s">
        <v>177</v>
      </c>
      <c r="D57" s="279" t="s">
        <v>115</v>
      </c>
      <c r="E57" s="276" t="s">
        <v>142</v>
      </c>
      <c r="F57" s="496" t="s">
        <v>276</v>
      </c>
      <c r="G57" s="497"/>
      <c r="H57" s="497"/>
      <c r="I57" s="497"/>
      <c r="J57" s="497"/>
      <c r="K57" s="497"/>
      <c r="L57" s="497"/>
      <c r="M57" s="498"/>
      <c r="N57" s="275" t="s">
        <v>120</v>
      </c>
      <c r="O57" s="273" t="s">
        <v>149</v>
      </c>
      <c r="P57" s="510" t="s">
        <v>115</v>
      </c>
      <c r="Q57" s="511"/>
      <c r="R57" s="510" t="s">
        <v>232</v>
      </c>
      <c r="S57" s="512"/>
      <c r="T57" s="512"/>
      <c r="U57" s="511"/>
      <c r="V57" s="480" t="s">
        <v>180</v>
      </c>
      <c r="W57" s="480"/>
      <c r="X57" s="480"/>
      <c r="Y57" s="480"/>
      <c r="Z57" s="480"/>
      <c r="AA57" s="480"/>
      <c r="AB57" s="480"/>
      <c r="AC57" s="480"/>
      <c r="AD57" s="499"/>
    </row>
    <row r="58" spans="1:32" ht="27" customHeight="1">
      <c r="A58" s="494" t="s">
        <v>388</v>
      </c>
      <c r="B58" s="495"/>
      <c r="C58" s="276" t="s">
        <v>224</v>
      </c>
      <c r="D58" s="276" t="s">
        <v>115</v>
      </c>
      <c r="E58" s="276" t="s">
        <v>387</v>
      </c>
      <c r="F58" s="496" t="s">
        <v>180</v>
      </c>
      <c r="G58" s="497"/>
      <c r="H58" s="497"/>
      <c r="I58" s="497"/>
      <c r="J58" s="497"/>
      <c r="K58" s="497"/>
      <c r="L58" s="497"/>
      <c r="M58" s="498"/>
      <c r="N58" s="275" t="s">
        <v>112</v>
      </c>
      <c r="O58" s="273" t="s">
        <v>314</v>
      </c>
      <c r="P58" s="510" t="s">
        <v>136</v>
      </c>
      <c r="Q58" s="511"/>
      <c r="R58" s="510" t="s">
        <v>426</v>
      </c>
      <c r="S58" s="512"/>
      <c r="T58" s="512"/>
      <c r="U58" s="511"/>
      <c r="V58" s="480" t="s">
        <v>180</v>
      </c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79"/>
      <c r="D59" s="279"/>
      <c r="E59" s="276"/>
      <c r="F59" s="496"/>
      <c r="G59" s="497"/>
      <c r="H59" s="497"/>
      <c r="I59" s="497"/>
      <c r="J59" s="497"/>
      <c r="K59" s="497"/>
      <c r="L59" s="497"/>
      <c r="M59" s="498"/>
      <c r="N59" s="275"/>
      <c r="O59" s="273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508"/>
      <c r="B60" s="509"/>
      <c r="C60" s="279"/>
      <c r="D60" s="279"/>
      <c r="E60" s="276"/>
      <c r="F60" s="496"/>
      <c r="G60" s="497"/>
      <c r="H60" s="497"/>
      <c r="I60" s="497"/>
      <c r="J60" s="497"/>
      <c r="K60" s="497"/>
      <c r="L60" s="497"/>
      <c r="M60" s="498"/>
      <c r="N60" s="275"/>
      <c r="O60" s="273"/>
      <c r="P60" s="510"/>
      <c r="Q60" s="511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</row>
    <row r="61" spans="1:32" ht="27" customHeight="1">
      <c r="A61" s="494"/>
      <c r="B61" s="495"/>
      <c r="C61" s="276"/>
      <c r="D61" s="276"/>
      <c r="E61" s="276"/>
      <c r="F61" s="496"/>
      <c r="G61" s="497"/>
      <c r="H61" s="497"/>
      <c r="I61" s="497"/>
      <c r="J61" s="497"/>
      <c r="K61" s="497"/>
      <c r="L61" s="497"/>
      <c r="M61" s="498"/>
      <c r="N61" s="275"/>
      <c r="O61" s="273"/>
      <c r="P61" s="495"/>
      <c r="Q61" s="495"/>
      <c r="R61" s="495"/>
      <c r="S61" s="495"/>
      <c r="T61" s="495"/>
      <c r="U61" s="495"/>
      <c r="V61" s="480"/>
      <c r="W61" s="480"/>
      <c r="X61" s="480"/>
      <c r="Y61" s="480"/>
      <c r="Z61" s="480"/>
      <c r="AA61" s="480"/>
      <c r="AB61" s="480"/>
      <c r="AC61" s="480"/>
      <c r="AD61" s="499"/>
      <c r="AF61" s="84">
        <f>8*3000</f>
        <v>24000</v>
      </c>
    </row>
    <row r="62" spans="1:32" ht="27" customHeight="1" thickBot="1">
      <c r="A62" s="500"/>
      <c r="B62" s="501"/>
      <c r="C62" s="277"/>
      <c r="D62" s="278"/>
      <c r="E62" s="278"/>
      <c r="F62" s="502"/>
      <c r="G62" s="503"/>
      <c r="H62" s="503"/>
      <c r="I62" s="503"/>
      <c r="J62" s="503"/>
      <c r="K62" s="503"/>
      <c r="L62" s="503"/>
      <c r="M62" s="504"/>
      <c r="N62" s="112"/>
      <c r="O62" s="103"/>
      <c r="P62" s="505"/>
      <c r="Q62" s="505"/>
      <c r="R62" s="505"/>
      <c r="S62" s="505"/>
      <c r="T62" s="505"/>
      <c r="U62" s="505"/>
      <c r="V62" s="506"/>
      <c r="W62" s="506"/>
      <c r="X62" s="506"/>
      <c r="Y62" s="506"/>
      <c r="Z62" s="506"/>
      <c r="AA62" s="506"/>
      <c r="AB62" s="506"/>
      <c r="AC62" s="506"/>
      <c r="AD62" s="507"/>
      <c r="AF62" s="84">
        <f>16*3000</f>
        <v>48000</v>
      </c>
    </row>
    <row r="63" spans="1:32" ht="27.75" thickBot="1">
      <c r="A63" s="492" t="s">
        <v>427</v>
      </c>
      <c r="B63" s="492"/>
      <c r="C63" s="492"/>
      <c r="D63" s="492"/>
      <c r="E63" s="49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3" t="s">
        <v>111</v>
      </c>
      <c r="B64" s="487"/>
      <c r="C64" s="274" t="s">
        <v>2</v>
      </c>
      <c r="D64" s="274" t="s">
        <v>37</v>
      </c>
      <c r="E64" s="274" t="s">
        <v>3</v>
      </c>
      <c r="F64" s="487" t="s">
        <v>109</v>
      </c>
      <c r="G64" s="487"/>
      <c r="H64" s="487"/>
      <c r="I64" s="487"/>
      <c r="J64" s="487"/>
      <c r="K64" s="487" t="s">
        <v>39</v>
      </c>
      <c r="L64" s="487"/>
      <c r="M64" s="274" t="s">
        <v>40</v>
      </c>
      <c r="N64" s="487" t="s">
        <v>41</v>
      </c>
      <c r="O64" s="487"/>
      <c r="P64" s="484" t="s">
        <v>42</v>
      </c>
      <c r="Q64" s="486"/>
      <c r="R64" s="484" t="s">
        <v>43</v>
      </c>
      <c r="S64" s="485"/>
      <c r="T64" s="485"/>
      <c r="U64" s="485"/>
      <c r="V64" s="485"/>
      <c r="W64" s="485"/>
      <c r="X64" s="485"/>
      <c r="Y64" s="485"/>
      <c r="Z64" s="485"/>
      <c r="AA64" s="486"/>
      <c r="AB64" s="487" t="s">
        <v>44</v>
      </c>
      <c r="AC64" s="487"/>
      <c r="AD64" s="488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119</v>
      </c>
      <c r="D65" s="269"/>
      <c r="E65" s="272" t="s">
        <v>115</v>
      </c>
      <c r="F65" s="481" t="s">
        <v>300</v>
      </c>
      <c r="G65" s="482"/>
      <c r="H65" s="482"/>
      <c r="I65" s="482"/>
      <c r="J65" s="483"/>
      <c r="K65" s="469" t="s">
        <v>118</v>
      </c>
      <c r="L65" s="469"/>
      <c r="M65" s="51" t="s">
        <v>140</v>
      </c>
      <c r="N65" s="478" t="s">
        <v>187</v>
      </c>
      <c r="O65" s="478"/>
      <c r="P65" s="479">
        <v>100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89"/>
      <c r="AC65" s="490"/>
      <c r="AD65" s="491"/>
      <c r="AF65" s="50"/>
    </row>
    <row r="66" spans="1:32" ht="25.5" customHeight="1">
      <c r="A66" s="475">
        <v>2</v>
      </c>
      <c r="B66" s="476"/>
      <c r="C66" s="105" t="s">
        <v>112</v>
      </c>
      <c r="D66" s="269"/>
      <c r="E66" s="272" t="s">
        <v>115</v>
      </c>
      <c r="F66" s="481" t="s">
        <v>428</v>
      </c>
      <c r="G66" s="482"/>
      <c r="H66" s="482"/>
      <c r="I66" s="482"/>
      <c r="J66" s="483"/>
      <c r="K66" s="469" t="s">
        <v>127</v>
      </c>
      <c r="L66" s="469"/>
      <c r="M66" s="51" t="s">
        <v>429</v>
      </c>
      <c r="N66" s="478" t="s">
        <v>314</v>
      </c>
      <c r="O66" s="478"/>
      <c r="P66" s="479">
        <v>50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3</v>
      </c>
      <c r="B67" s="476"/>
      <c r="C67" s="105" t="s">
        <v>120</v>
      </c>
      <c r="D67" s="269"/>
      <c r="E67" s="272" t="s">
        <v>285</v>
      </c>
      <c r="F67" s="477" t="s">
        <v>430</v>
      </c>
      <c r="G67" s="469"/>
      <c r="H67" s="469"/>
      <c r="I67" s="469"/>
      <c r="J67" s="469"/>
      <c r="K67" s="469" t="s">
        <v>287</v>
      </c>
      <c r="L67" s="469"/>
      <c r="M67" s="51" t="s">
        <v>431</v>
      </c>
      <c r="N67" s="478" t="s">
        <v>184</v>
      </c>
      <c r="O67" s="478"/>
      <c r="P67" s="479">
        <v>200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4</v>
      </c>
      <c r="B68" s="476"/>
      <c r="C68" s="105" t="s">
        <v>112</v>
      </c>
      <c r="D68" s="269"/>
      <c r="E68" s="272" t="s">
        <v>115</v>
      </c>
      <c r="F68" s="481" t="s">
        <v>416</v>
      </c>
      <c r="G68" s="482"/>
      <c r="H68" s="482"/>
      <c r="I68" s="482"/>
      <c r="J68" s="483"/>
      <c r="K68" s="469" t="s">
        <v>432</v>
      </c>
      <c r="L68" s="469"/>
      <c r="M68" s="51" t="s">
        <v>429</v>
      </c>
      <c r="N68" s="478" t="s">
        <v>224</v>
      </c>
      <c r="O68" s="478"/>
      <c r="P68" s="479">
        <v>50</v>
      </c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5</v>
      </c>
      <c r="B69" s="476"/>
      <c r="C69" s="105"/>
      <c r="D69" s="269"/>
      <c r="E69" s="272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6</v>
      </c>
      <c r="B70" s="476"/>
      <c r="C70" s="105"/>
      <c r="D70" s="269"/>
      <c r="E70" s="272"/>
      <c r="F70" s="481"/>
      <c r="G70" s="482"/>
      <c r="H70" s="482"/>
      <c r="I70" s="482"/>
      <c r="J70" s="483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7</v>
      </c>
      <c r="B71" s="476"/>
      <c r="C71" s="105"/>
      <c r="D71" s="269"/>
      <c r="E71" s="272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8</v>
      </c>
      <c r="B72" s="476"/>
      <c r="C72" s="105"/>
      <c r="D72" s="269"/>
      <c r="E72" s="272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9</v>
      </c>
      <c r="B73" s="476"/>
      <c r="C73" s="105"/>
      <c r="D73" s="269"/>
      <c r="E73" s="272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5.5" customHeight="1">
      <c r="A74" s="475">
        <v>10</v>
      </c>
      <c r="B74" s="476"/>
      <c r="C74" s="105"/>
      <c r="D74" s="269"/>
      <c r="E74" s="272"/>
      <c r="F74" s="477"/>
      <c r="G74" s="469"/>
      <c r="H74" s="469"/>
      <c r="I74" s="469"/>
      <c r="J74" s="469"/>
      <c r="K74" s="469"/>
      <c r="L74" s="469"/>
      <c r="M74" s="51"/>
      <c r="N74" s="478"/>
      <c r="O74" s="478"/>
      <c r="P74" s="479"/>
      <c r="Q74" s="479"/>
      <c r="R74" s="480"/>
      <c r="S74" s="480"/>
      <c r="T74" s="480"/>
      <c r="U74" s="480"/>
      <c r="V74" s="480"/>
      <c r="W74" s="480"/>
      <c r="X74" s="480"/>
      <c r="Y74" s="480"/>
      <c r="Z74" s="480"/>
      <c r="AA74" s="480"/>
      <c r="AB74" s="469"/>
      <c r="AC74" s="469"/>
      <c r="AD74" s="470"/>
      <c r="AF74" s="50"/>
    </row>
    <row r="75" spans="1:32" ht="26.25" customHeight="1" thickBot="1">
      <c r="A75" s="449" t="s">
        <v>433</v>
      </c>
      <c r="B75" s="449"/>
      <c r="C75" s="449"/>
      <c r="D75" s="449"/>
      <c r="E75" s="44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0" t="s">
        <v>111</v>
      </c>
      <c r="B76" s="451"/>
      <c r="C76" s="271" t="s">
        <v>2</v>
      </c>
      <c r="D76" s="271" t="s">
        <v>37</v>
      </c>
      <c r="E76" s="271" t="s">
        <v>150</v>
      </c>
      <c r="F76" s="451" t="s">
        <v>38</v>
      </c>
      <c r="G76" s="451"/>
      <c r="H76" s="451"/>
      <c r="I76" s="451"/>
      <c r="J76" s="451"/>
      <c r="K76" s="471" t="s">
        <v>58</v>
      </c>
      <c r="L76" s="472"/>
      <c r="M76" s="472"/>
      <c r="N76" s="472"/>
      <c r="O76" s="472"/>
      <c r="P76" s="472"/>
      <c r="Q76" s="472"/>
      <c r="R76" s="472"/>
      <c r="S76" s="473"/>
      <c r="T76" s="451" t="s">
        <v>49</v>
      </c>
      <c r="U76" s="451"/>
      <c r="V76" s="471" t="s">
        <v>50</v>
      </c>
      <c r="W76" s="473"/>
      <c r="X76" s="472" t="s">
        <v>51</v>
      </c>
      <c r="Y76" s="472"/>
      <c r="Z76" s="472"/>
      <c r="AA76" s="472"/>
      <c r="AB76" s="472"/>
      <c r="AC76" s="472"/>
      <c r="AD76" s="474"/>
      <c r="AF76" s="50"/>
    </row>
    <row r="77" spans="1:32" ht="33.75" customHeight="1">
      <c r="A77" s="443">
        <v>1</v>
      </c>
      <c r="B77" s="444"/>
      <c r="C77" s="270" t="s">
        <v>112</v>
      </c>
      <c r="D77" s="270"/>
      <c r="E77" s="65" t="s">
        <v>117</v>
      </c>
      <c r="F77" s="458" t="s">
        <v>116</v>
      </c>
      <c r="G77" s="459"/>
      <c r="H77" s="459"/>
      <c r="I77" s="459"/>
      <c r="J77" s="460"/>
      <c r="K77" s="461" t="s">
        <v>121</v>
      </c>
      <c r="L77" s="462"/>
      <c r="M77" s="462"/>
      <c r="N77" s="462"/>
      <c r="O77" s="462"/>
      <c r="P77" s="462"/>
      <c r="Q77" s="462"/>
      <c r="R77" s="462"/>
      <c r="S77" s="463"/>
      <c r="T77" s="464">
        <v>43675</v>
      </c>
      <c r="U77" s="465"/>
      <c r="V77" s="466"/>
      <c r="W77" s="466"/>
      <c r="X77" s="467"/>
      <c r="Y77" s="467"/>
      <c r="Z77" s="467"/>
      <c r="AA77" s="467"/>
      <c r="AB77" s="467"/>
      <c r="AC77" s="467"/>
      <c r="AD77" s="468"/>
      <c r="AF77" s="50"/>
    </row>
    <row r="78" spans="1:32" ht="30" customHeight="1">
      <c r="A78" s="436">
        <f>A77+1</f>
        <v>2</v>
      </c>
      <c r="B78" s="437"/>
      <c r="C78" s="269"/>
      <c r="D78" s="269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ref="A79:A83" si="20">A78+1</f>
        <v>3</v>
      </c>
      <c r="B79" s="437"/>
      <c r="C79" s="269"/>
      <c r="D79" s="269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20"/>
        <v>4</v>
      </c>
      <c r="B80" s="437"/>
      <c r="C80" s="269"/>
      <c r="D80" s="269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20"/>
        <v>5</v>
      </c>
      <c r="B81" s="437"/>
      <c r="C81" s="269"/>
      <c r="D81" s="269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20"/>
        <v>6</v>
      </c>
      <c r="B82" s="437"/>
      <c r="C82" s="269"/>
      <c r="D82" s="269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0" customHeight="1">
      <c r="A83" s="436">
        <f t="shared" si="20"/>
        <v>7</v>
      </c>
      <c r="B83" s="437"/>
      <c r="C83" s="269"/>
      <c r="D83" s="269"/>
      <c r="E83" s="32"/>
      <c r="F83" s="437"/>
      <c r="G83" s="437"/>
      <c r="H83" s="437"/>
      <c r="I83" s="437"/>
      <c r="J83" s="437"/>
      <c r="K83" s="452"/>
      <c r="L83" s="453"/>
      <c r="M83" s="453"/>
      <c r="N83" s="453"/>
      <c r="O83" s="453"/>
      <c r="P83" s="453"/>
      <c r="Q83" s="453"/>
      <c r="R83" s="453"/>
      <c r="S83" s="454"/>
      <c r="T83" s="455"/>
      <c r="U83" s="455"/>
      <c r="V83" s="455"/>
      <c r="W83" s="455"/>
      <c r="X83" s="456"/>
      <c r="Y83" s="456"/>
      <c r="Z83" s="456"/>
      <c r="AA83" s="456"/>
      <c r="AB83" s="456"/>
      <c r="AC83" s="456"/>
      <c r="AD83" s="457"/>
      <c r="AF83" s="50"/>
    </row>
    <row r="84" spans="1:32" ht="36" thickBot="1">
      <c r="A84" s="449" t="s">
        <v>434</v>
      </c>
      <c r="B84" s="449"/>
      <c r="C84" s="449"/>
      <c r="D84" s="449"/>
      <c r="E84" s="44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0" t="s">
        <v>111</v>
      </c>
      <c r="B85" s="451"/>
      <c r="C85" s="441" t="s">
        <v>52</v>
      </c>
      <c r="D85" s="441"/>
      <c r="E85" s="441" t="s">
        <v>53</v>
      </c>
      <c r="F85" s="441"/>
      <c r="G85" s="441"/>
      <c r="H85" s="441"/>
      <c r="I85" s="441"/>
      <c r="J85" s="441"/>
      <c r="K85" s="441" t="s">
        <v>54</v>
      </c>
      <c r="L85" s="441"/>
      <c r="M85" s="441"/>
      <c r="N85" s="441"/>
      <c r="O85" s="441"/>
      <c r="P85" s="441"/>
      <c r="Q85" s="441"/>
      <c r="R85" s="441"/>
      <c r="S85" s="441"/>
      <c r="T85" s="441" t="s">
        <v>55</v>
      </c>
      <c r="U85" s="441"/>
      <c r="V85" s="441" t="s">
        <v>56</v>
      </c>
      <c r="W85" s="441"/>
      <c r="X85" s="441"/>
      <c r="Y85" s="441" t="s">
        <v>51</v>
      </c>
      <c r="Z85" s="441"/>
      <c r="AA85" s="441"/>
      <c r="AB85" s="441"/>
      <c r="AC85" s="441"/>
      <c r="AD85" s="442"/>
      <c r="AF85" s="50"/>
    </row>
    <row r="86" spans="1:32" ht="30.75" customHeight="1">
      <c r="A86" s="443">
        <v>1</v>
      </c>
      <c r="B86" s="444"/>
      <c r="C86" s="445">
        <v>11</v>
      </c>
      <c r="D86" s="445"/>
      <c r="E86" s="445" t="s">
        <v>151</v>
      </c>
      <c r="F86" s="445"/>
      <c r="G86" s="445"/>
      <c r="H86" s="445"/>
      <c r="I86" s="445"/>
      <c r="J86" s="445"/>
      <c r="K86" s="445" t="s">
        <v>153</v>
      </c>
      <c r="L86" s="445"/>
      <c r="M86" s="445"/>
      <c r="N86" s="445"/>
      <c r="O86" s="445"/>
      <c r="P86" s="445"/>
      <c r="Q86" s="445"/>
      <c r="R86" s="445"/>
      <c r="S86" s="445"/>
      <c r="T86" s="445" t="s">
        <v>152</v>
      </c>
      <c r="U86" s="445"/>
      <c r="V86" s="446"/>
      <c r="W86" s="446"/>
      <c r="X86" s="446"/>
      <c r="Y86" s="447" t="s">
        <v>154</v>
      </c>
      <c r="Z86" s="447"/>
      <c r="AA86" s="447"/>
      <c r="AB86" s="447"/>
      <c r="AC86" s="447"/>
      <c r="AD86" s="448"/>
      <c r="AF86" s="50"/>
    </row>
    <row r="87" spans="1:32" ht="30.75" customHeight="1">
      <c r="A87" s="436">
        <v>2</v>
      </c>
      <c r="B87" s="437"/>
      <c r="C87" s="438"/>
      <c r="D87" s="438"/>
      <c r="E87" s="438"/>
      <c r="F87" s="438"/>
      <c r="G87" s="438"/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438"/>
      <c r="T87" s="439"/>
      <c r="U87" s="439"/>
      <c r="V87" s="440"/>
      <c r="W87" s="440"/>
      <c r="X87" s="440"/>
      <c r="Y87" s="429"/>
      <c r="Z87" s="429"/>
      <c r="AA87" s="429"/>
      <c r="AB87" s="429"/>
      <c r="AC87" s="429"/>
      <c r="AD87" s="430"/>
      <c r="AF87" s="50"/>
    </row>
    <row r="88" spans="1:32" ht="30.75" customHeight="1" thickBot="1">
      <c r="A88" s="431">
        <v>3</v>
      </c>
      <c r="B88" s="432"/>
      <c r="C88" s="433"/>
      <c r="D88" s="433"/>
      <c r="E88" s="433"/>
      <c r="F88" s="433"/>
      <c r="G88" s="433"/>
      <c r="H88" s="433"/>
      <c r="I88" s="433"/>
      <c r="J88" s="433"/>
      <c r="K88" s="433"/>
      <c r="L88" s="433"/>
      <c r="M88" s="433"/>
      <c r="N88" s="433"/>
      <c r="O88" s="433"/>
      <c r="P88" s="433"/>
      <c r="Q88" s="433"/>
      <c r="R88" s="433"/>
      <c r="S88" s="433"/>
      <c r="T88" s="433"/>
      <c r="U88" s="433"/>
      <c r="V88" s="433"/>
      <c r="W88" s="433"/>
      <c r="X88" s="433"/>
      <c r="Y88" s="434"/>
      <c r="Z88" s="434"/>
      <c r="AA88" s="434"/>
      <c r="AB88" s="434"/>
      <c r="AC88" s="434"/>
      <c r="AD88" s="435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FF1E-DBD0-495A-A952-50798A8CD147}">
  <dimension ref="A1:AF87"/>
  <sheetViews>
    <sheetView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435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82" t="s">
        <v>17</v>
      </c>
      <c r="L5" s="282" t="s">
        <v>18</v>
      </c>
      <c r="M5" s="282" t="s">
        <v>19</v>
      </c>
      <c r="N5" s="2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169</v>
      </c>
      <c r="E6" s="53" t="s">
        <v>436</v>
      </c>
      <c r="F6" s="12" t="s">
        <v>127</v>
      </c>
      <c r="G6" s="12">
        <v>1</v>
      </c>
      <c r="H6" s="13">
        <v>24</v>
      </c>
      <c r="I6" s="31">
        <v>1000</v>
      </c>
      <c r="J6" s="14">
        <v>1408</v>
      </c>
      <c r="K6" s="15">
        <f>L6</f>
        <v>1408</v>
      </c>
      <c r="L6" s="15">
        <v>1408</v>
      </c>
      <c r="M6" s="15">
        <f t="shared" ref="M6:M21" si="0">L6-N6</f>
        <v>1408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7</v>
      </c>
      <c r="Q6" s="40">
        <f t="shared" ref="Q6:Q21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0.29166666666666669</v>
      </c>
      <c r="AD6" s="10">
        <f t="shared" ref="AD6:AD21" si="6">AC6*AB6*(1-O6)</f>
        <v>0.29166666666666669</v>
      </c>
      <c r="AE6" s="36">
        <f t="shared" ref="AE6:AE21" si="7">$AD$22</f>
        <v>0.48437499999999994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0.48437499999999994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720000</v>
      </c>
      <c r="J8" s="14">
        <v>24604</v>
      </c>
      <c r="K8" s="15">
        <f>L8+8404+12360+9142+12426+5790+11544+12480+12502+12376+12380+22896+24720+24328+24256+11504+24084+22712+24032+23532+20768+23268+23880+22096+24340+10412+14832+23872+25696+24068+24616+24584+24152+22024+23336+22288+24624+24704</f>
        <v>739632</v>
      </c>
      <c r="L8" s="15">
        <f>3172*4+2979*4</f>
        <v>24604</v>
      </c>
      <c r="M8" s="15">
        <f t="shared" si="0"/>
        <v>24604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0.48437499999999994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390</v>
      </c>
      <c r="E9" s="53" t="s">
        <v>423</v>
      </c>
      <c r="F9" s="30" t="s">
        <v>402</v>
      </c>
      <c r="G9" s="33">
        <v>12</v>
      </c>
      <c r="H9" s="35">
        <v>24</v>
      </c>
      <c r="I9" s="7">
        <v>150000</v>
      </c>
      <c r="J9" s="14">
        <v>61176</v>
      </c>
      <c r="K9" s="15">
        <f>L9</f>
        <v>61176</v>
      </c>
      <c r="L9" s="15">
        <f>2819*12+2279*12</f>
        <v>61176</v>
      </c>
      <c r="M9" s="15">
        <f t="shared" si="0"/>
        <v>61176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/>
      <c r="T9" s="16">
        <v>2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0.48437499999999994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25016</v>
      </c>
      <c r="K10" s="15">
        <f>L10+19272+24844+16004+13948+24828+23236+25072+24900+25224+24840+25892+24064+24888+25144+24944+18428+25256+23464+24928+25056</f>
        <v>489248</v>
      </c>
      <c r="L10" s="15">
        <f>3022*4+3232*4</f>
        <v>25016</v>
      </c>
      <c r="M10" s="15">
        <f t="shared" si="0"/>
        <v>25016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0.48437499999999994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424</v>
      </c>
      <c r="E11" s="53" t="s">
        <v>425</v>
      </c>
      <c r="F11" s="30" t="s">
        <v>155</v>
      </c>
      <c r="G11" s="33" t="s">
        <v>437</v>
      </c>
      <c r="H11" s="35">
        <v>24</v>
      </c>
      <c r="I11" s="7">
        <v>2000</v>
      </c>
      <c r="J11" s="14">
        <v>5810</v>
      </c>
      <c r="K11" s="15">
        <f>L11</f>
        <v>5810</v>
      </c>
      <c r="L11" s="15">
        <f>2628+3182</f>
        <v>5810</v>
      </c>
      <c r="M11" s="15">
        <f t="shared" si="0"/>
        <v>5810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ref="AD11:AD14" si="9">AC11*AB11*(1-O11)</f>
        <v>0.95833333333333337</v>
      </c>
      <c r="AE11" s="36">
        <f t="shared" si="7"/>
        <v>0.48437499999999994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24356</v>
      </c>
      <c r="K12" s="15">
        <f>L12</f>
        <v>24356</v>
      </c>
      <c r="L12" s="15">
        <f>2636*4+3453*4</f>
        <v>24356</v>
      </c>
      <c r="M12" s="15">
        <f t="shared" si="0"/>
        <v>24356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9"/>
        <v>0.95833333333333337</v>
      </c>
      <c r="AE12" s="36">
        <f t="shared" si="7"/>
        <v>0.48437499999999994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23972</v>
      </c>
      <c r="K13" s="15">
        <f>L13+14284+8352+12576+8310+15524+17860+22424+23088+2420+23364+22844+15980+12148+8056+16415+23304+22652+18028+24560+16004</f>
        <v>352165</v>
      </c>
      <c r="L13" s="15">
        <f>2533*4+3460*4</f>
        <v>23972</v>
      </c>
      <c r="M13" s="15">
        <f t="shared" si="0"/>
        <v>23972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0.48437499999999994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388</v>
      </c>
      <c r="D14" s="52" t="s">
        <v>115</v>
      </c>
      <c r="E14" s="53" t="s">
        <v>387</v>
      </c>
      <c r="F14" s="30" t="s">
        <v>148</v>
      </c>
      <c r="G14" s="33">
        <v>1</v>
      </c>
      <c r="H14" s="35">
        <v>60</v>
      </c>
      <c r="I14" s="7">
        <v>100</v>
      </c>
      <c r="J14" s="5">
        <v>139</v>
      </c>
      <c r="K14" s="15">
        <f>L14+139</f>
        <v>139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0.48437499999999994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0.48437499999999994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0.48437499999999994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0.48437499999999994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300</v>
      </c>
      <c r="F18" s="30" t="s">
        <v>118</v>
      </c>
      <c r="G18" s="33">
        <v>1</v>
      </c>
      <c r="H18" s="35">
        <v>24</v>
      </c>
      <c r="I18" s="7">
        <v>13000</v>
      </c>
      <c r="J18" s="14">
        <v>3090</v>
      </c>
      <c r="K18" s="15">
        <f>L18</f>
        <v>3090</v>
      </c>
      <c r="L18" s="15">
        <f>1890+1200</f>
        <v>3090</v>
      </c>
      <c r="M18" s="15">
        <f t="shared" si="0"/>
        <v>3090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0.48437499999999994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136</v>
      </c>
      <c r="E19" s="53" t="s">
        <v>426</v>
      </c>
      <c r="F19" s="30" t="s">
        <v>243</v>
      </c>
      <c r="G19" s="33">
        <v>1</v>
      </c>
      <c r="H19" s="35">
        <v>24</v>
      </c>
      <c r="I19" s="7">
        <v>2000</v>
      </c>
      <c r="J19" s="14">
        <v>1504</v>
      </c>
      <c r="K19" s="15">
        <f>L19</f>
        <v>1504</v>
      </c>
      <c r="L19" s="15">
        <f>330+1174</f>
        <v>1504</v>
      </c>
      <c r="M19" s="15">
        <f t="shared" si="0"/>
        <v>1504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>
        <v>16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0.48437499999999994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136</v>
      </c>
      <c r="E20" s="53" t="s">
        <v>379</v>
      </c>
      <c r="F20" s="30" t="s">
        <v>123</v>
      </c>
      <c r="G20" s="12">
        <v>2</v>
      </c>
      <c r="H20" s="13">
        <v>28</v>
      </c>
      <c r="I20" s="31">
        <v>10000</v>
      </c>
      <c r="J20" s="5">
        <v>6526</v>
      </c>
      <c r="K20" s="15">
        <f>L20+6526</f>
        <v>6526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0.48437499999999994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38268</v>
      </c>
      <c r="K21" s="15">
        <f>L21+17656+21428+32268+13436+27116+28000+43600+66580+29616+68476+71048</f>
        <v>457492</v>
      </c>
      <c r="L21" s="15">
        <f>9567*4</f>
        <v>38268</v>
      </c>
      <c r="M21" s="15">
        <f t="shared" si="0"/>
        <v>38268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0.48437499999999994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2910600</v>
      </c>
      <c r="J22" s="19">
        <f t="shared" si="10"/>
        <v>241191</v>
      </c>
      <c r="K22" s="20">
        <f t="shared" si="10"/>
        <v>2188592</v>
      </c>
      <c r="L22" s="21">
        <f t="shared" si="10"/>
        <v>209204</v>
      </c>
      <c r="M22" s="20">
        <f t="shared" si="10"/>
        <v>209204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186</v>
      </c>
      <c r="Q22" s="43">
        <f t="shared" si="11"/>
        <v>198</v>
      </c>
      <c r="R22" s="23">
        <f t="shared" si="11"/>
        <v>48</v>
      </c>
      <c r="S22" s="24">
        <f t="shared" si="11"/>
        <v>23</v>
      </c>
      <c r="T22" s="24">
        <f t="shared" si="11"/>
        <v>4</v>
      </c>
      <c r="U22" s="24">
        <f t="shared" si="11"/>
        <v>0</v>
      </c>
      <c r="V22" s="25">
        <f t="shared" si="11"/>
        <v>10</v>
      </c>
      <c r="W22" s="26">
        <f t="shared" si="11"/>
        <v>65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0.625</v>
      </c>
      <c r="AC22" s="4">
        <f>AVERAGE(AC6:AC21)</f>
        <v>0.48437499999999994</v>
      </c>
      <c r="AD22" s="4">
        <f>AVERAGE(AD6:AD21)</f>
        <v>0.48437499999999994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438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440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83" t="s">
        <v>46</v>
      </c>
      <c r="D51" s="283" t="s">
        <v>47</v>
      </c>
      <c r="E51" s="283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83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494" t="s">
        <v>119</v>
      </c>
      <c r="B52" s="495"/>
      <c r="C52" s="286" t="s">
        <v>187</v>
      </c>
      <c r="D52" s="286" t="s">
        <v>115</v>
      </c>
      <c r="E52" s="286" t="s">
        <v>300</v>
      </c>
      <c r="F52" s="496" t="s">
        <v>176</v>
      </c>
      <c r="G52" s="497"/>
      <c r="H52" s="497"/>
      <c r="I52" s="497"/>
      <c r="J52" s="497"/>
      <c r="K52" s="497"/>
      <c r="L52" s="497"/>
      <c r="M52" s="498"/>
      <c r="N52" s="285" t="s">
        <v>112</v>
      </c>
      <c r="O52" s="291" t="s">
        <v>314</v>
      </c>
      <c r="P52" s="510" t="s">
        <v>136</v>
      </c>
      <c r="Q52" s="511"/>
      <c r="R52" s="510" t="s">
        <v>426</v>
      </c>
      <c r="S52" s="512"/>
      <c r="T52" s="512"/>
      <c r="U52" s="511"/>
      <c r="V52" s="496" t="s">
        <v>139</v>
      </c>
      <c r="W52" s="497"/>
      <c r="X52" s="497"/>
      <c r="Y52" s="497"/>
      <c r="Z52" s="497"/>
      <c r="AA52" s="497"/>
      <c r="AB52" s="497"/>
      <c r="AC52" s="497"/>
      <c r="AD52" s="498"/>
    </row>
    <row r="53" spans="1:32" ht="27" customHeight="1">
      <c r="A53" s="494" t="s">
        <v>112</v>
      </c>
      <c r="B53" s="495"/>
      <c r="C53" s="286" t="s">
        <v>200</v>
      </c>
      <c r="D53" s="286" t="s">
        <v>169</v>
      </c>
      <c r="E53" s="286" t="s">
        <v>422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285"/>
      <c r="O53" s="291"/>
      <c r="P53" s="510"/>
      <c r="Q53" s="511"/>
      <c r="R53" s="510"/>
      <c r="S53" s="512"/>
      <c r="T53" s="512"/>
      <c r="U53" s="511"/>
      <c r="V53" s="480"/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119</v>
      </c>
      <c r="B54" s="509"/>
      <c r="C54" s="284" t="s">
        <v>181</v>
      </c>
      <c r="D54" s="284" t="s">
        <v>390</v>
      </c>
      <c r="E54" s="286" t="s">
        <v>423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285"/>
      <c r="O54" s="291"/>
      <c r="P54" s="510"/>
      <c r="Q54" s="511"/>
      <c r="R54" s="495"/>
      <c r="S54" s="495"/>
      <c r="T54" s="495"/>
      <c r="U54" s="495"/>
      <c r="V54" s="480"/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120</v>
      </c>
      <c r="B55" s="509"/>
      <c r="C55" s="284" t="s">
        <v>149</v>
      </c>
      <c r="D55" s="284" t="s">
        <v>115</v>
      </c>
      <c r="E55" s="286" t="s">
        <v>232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285"/>
      <c r="O55" s="291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112</v>
      </c>
      <c r="B56" s="509"/>
      <c r="C56" s="284" t="s">
        <v>280</v>
      </c>
      <c r="D56" s="284" t="s">
        <v>424</v>
      </c>
      <c r="E56" s="286" t="s">
        <v>425</v>
      </c>
      <c r="F56" s="496" t="s">
        <v>180</v>
      </c>
      <c r="G56" s="497"/>
      <c r="H56" s="497"/>
      <c r="I56" s="497"/>
      <c r="J56" s="497"/>
      <c r="K56" s="497"/>
      <c r="L56" s="497"/>
      <c r="M56" s="498"/>
      <c r="N56" s="285"/>
      <c r="O56" s="291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112</v>
      </c>
      <c r="B57" s="495"/>
      <c r="C57" s="286" t="s">
        <v>314</v>
      </c>
      <c r="D57" s="286" t="s">
        <v>136</v>
      </c>
      <c r="E57" s="286" t="s">
        <v>426</v>
      </c>
      <c r="F57" s="496" t="s">
        <v>439</v>
      </c>
      <c r="G57" s="497"/>
      <c r="H57" s="497"/>
      <c r="I57" s="497"/>
      <c r="J57" s="497"/>
      <c r="K57" s="497"/>
      <c r="L57" s="497"/>
      <c r="M57" s="498"/>
      <c r="N57" s="285"/>
      <c r="O57" s="291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284"/>
      <c r="D58" s="284"/>
      <c r="E58" s="286"/>
      <c r="F58" s="496"/>
      <c r="G58" s="497"/>
      <c r="H58" s="497"/>
      <c r="I58" s="497"/>
      <c r="J58" s="497"/>
      <c r="K58" s="497"/>
      <c r="L58" s="497"/>
      <c r="M58" s="498"/>
      <c r="N58" s="285"/>
      <c r="O58" s="291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84"/>
      <c r="D59" s="284"/>
      <c r="E59" s="286"/>
      <c r="F59" s="496"/>
      <c r="G59" s="497"/>
      <c r="H59" s="497"/>
      <c r="I59" s="497"/>
      <c r="J59" s="497"/>
      <c r="K59" s="497"/>
      <c r="L59" s="497"/>
      <c r="M59" s="498"/>
      <c r="N59" s="285"/>
      <c r="O59" s="291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86"/>
      <c r="D60" s="286"/>
      <c r="E60" s="286"/>
      <c r="F60" s="496"/>
      <c r="G60" s="497"/>
      <c r="H60" s="497"/>
      <c r="I60" s="497"/>
      <c r="J60" s="497"/>
      <c r="K60" s="497"/>
      <c r="L60" s="497"/>
      <c r="M60" s="498"/>
      <c r="N60" s="285"/>
      <c r="O60" s="291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87"/>
      <c r="D61" s="288"/>
      <c r="E61" s="288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441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89" t="s">
        <v>2</v>
      </c>
      <c r="D63" s="289" t="s">
        <v>37</v>
      </c>
      <c r="E63" s="289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89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293"/>
      <c r="E64" s="290" t="s">
        <v>115</v>
      </c>
      <c r="F64" s="481" t="s">
        <v>300</v>
      </c>
      <c r="G64" s="482"/>
      <c r="H64" s="482"/>
      <c r="I64" s="482"/>
      <c r="J64" s="483"/>
      <c r="K64" s="469" t="s">
        <v>118</v>
      </c>
      <c r="L64" s="469"/>
      <c r="M64" s="51" t="s">
        <v>140</v>
      </c>
      <c r="N64" s="478" t="s">
        <v>187</v>
      </c>
      <c r="O64" s="478"/>
      <c r="P64" s="479">
        <v>100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388</v>
      </c>
      <c r="D65" s="293"/>
      <c r="E65" s="290" t="s">
        <v>115</v>
      </c>
      <c r="F65" s="481" t="s">
        <v>442</v>
      </c>
      <c r="G65" s="482"/>
      <c r="H65" s="482"/>
      <c r="I65" s="482"/>
      <c r="J65" s="483"/>
      <c r="K65" s="469" t="s">
        <v>443</v>
      </c>
      <c r="L65" s="469"/>
      <c r="M65" s="51" t="s">
        <v>429</v>
      </c>
      <c r="N65" s="478" t="s">
        <v>224</v>
      </c>
      <c r="O65" s="478"/>
      <c r="P65" s="479">
        <v>50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293"/>
      <c r="E66" s="290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93"/>
      <c r="E67" s="290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93"/>
      <c r="E68" s="290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93"/>
      <c r="E69" s="290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93"/>
      <c r="E70" s="290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93"/>
      <c r="E71" s="290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93"/>
      <c r="E72" s="290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93"/>
      <c r="E73" s="290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444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92" t="s">
        <v>2</v>
      </c>
      <c r="D75" s="292" t="s">
        <v>37</v>
      </c>
      <c r="E75" s="292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94" t="s">
        <v>112</v>
      </c>
      <c r="D76" s="294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93"/>
      <c r="D77" s="293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93"/>
      <c r="D78" s="293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93"/>
      <c r="D79" s="293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93"/>
      <c r="D80" s="293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93"/>
      <c r="D81" s="293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93"/>
      <c r="D82" s="293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445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608-D8D9-40B9-B801-7ACBA23AE258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446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82" t="s">
        <v>17</v>
      </c>
      <c r="L5" s="282" t="s">
        <v>18</v>
      </c>
      <c r="M5" s="282" t="s">
        <v>19</v>
      </c>
      <c r="N5" s="2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169</v>
      </c>
      <c r="E6" s="53" t="s">
        <v>436</v>
      </c>
      <c r="F6" s="12" t="s">
        <v>127</v>
      </c>
      <c r="G6" s="12">
        <v>1</v>
      </c>
      <c r="H6" s="13">
        <v>24</v>
      </c>
      <c r="I6" s="31">
        <v>1000</v>
      </c>
      <c r="J6" s="14">
        <v>1408</v>
      </c>
      <c r="K6" s="15">
        <f>L6+1408</f>
        <v>1408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0.3671875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0.3671875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23776</v>
      </c>
      <c r="K8" s="15">
        <f>L8</f>
        <v>23776</v>
      </c>
      <c r="L8" s="15">
        <f>2801*4+3143*4</f>
        <v>23776</v>
      </c>
      <c r="M8" s="15">
        <f t="shared" si="0"/>
        <v>23776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0.3671875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390</v>
      </c>
      <c r="E9" s="53" t="s">
        <v>423</v>
      </c>
      <c r="F9" s="30" t="s">
        <v>402</v>
      </c>
      <c r="G9" s="33">
        <v>12</v>
      </c>
      <c r="H9" s="35">
        <v>24</v>
      </c>
      <c r="I9" s="7">
        <v>150000</v>
      </c>
      <c r="J9" s="14">
        <v>10680</v>
      </c>
      <c r="K9" s="15">
        <f>L9+61176</f>
        <v>71856</v>
      </c>
      <c r="L9" s="15">
        <f>890*12</f>
        <v>10680</v>
      </c>
      <c r="M9" s="15">
        <f t="shared" si="0"/>
        <v>10680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0.3671875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530000</v>
      </c>
      <c r="J10" s="5">
        <v>25024</v>
      </c>
      <c r="K10" s="15">
        <f>L10+19272+24844+16004+13948+24828+23236+25072+24900+25224+24840+25892+24064+24888+25144+24944+18428+25256+23464+24928+25056+25016</f>
        <v>514272</v>
      </c>
      <c r="L10" s="15">
        <f>3033*4+3223*4</f>
        <v>25024</v>
      </c>
      <c r="M10" s="15">
        <f t="shared" si="0"/>
        <v>25024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0.3671875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424</v>
      </c>
      <c r="E11" s="53" t="s">
        <v>425</v>
      </c>
      <c r="F11" s="30" t="s">
        <v>155</v>
      </c>
      <c r="G11" s="33" t="s">
        <v>437</v>
      </c>
      <c r="H11" s="35">
        <v>24</v>
      </c>
      <c r="I11" s="7">
        <v>2000</v>
      </c>
      <c r="J11" s="14">
        <v>5810</v>
      </c>
      <c r="K11" s="15">
        <f>L11+5810</f>
        <v>5810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0.3671875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25828</v>
      </c>
      <c r="K12" s="15">
        <f>L12+24356</f>
        <v>50184</v>
      </c>
      <c r="L12" s="15">
        <f>3004*4+3453*4</f>
        <v>25828</v>
      </c>
      <c r="M12" s="15">
        <f t="shared" si="0"/>
        <v>25828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0.3671875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26116</v>
      </c>
      <c r="K13" s="15">
        <f>L13+14284+8352+12576+8310+15524+17860+22424+23088+2420+23364+22844+15980+12148+8056+16415+23304+22652+18028+24560+16004+23972</f>
        <v>378281</v>
      </c>
      <c r="L13" s="15">
        <f>3169*4+3360*4</f>
        <v>26116</v>
      </c>
      <c r="M13" s="15">
        <f t="shared" si="0"/>
        <v>26116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0.3671875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388</v>
      </c>
      <c r="D14" s="52" t="s">
        <v>115</v>
      </c>
      <c r="E14" s="53" t="s">
        <v>387</v>
      </c>
      <c r="F14" s="30" t="s">
        <v>148</v>
      </c>
      <c r="G14" s="33">
        <v>1</v>
      </c>
      <c r="H14" s="35">
        <v>60</v>
      </c>
      <c r="I14" s="7">
        <v>100</v>
      </c>
      <c r="J14" s="5">
        <v>139</v>
      </c>
      <c r="K14" s="15">
        <f>L14+139</f>
        <v>139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0.3671875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0.3671875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0.3671875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0.3671875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300</v>
      </c>
      <c r="F18" s="30" t="s">
        <v>118</v>
      </c>
      <c r="G18" s="33">
        <v>1</v>
      </c>
      <c r="H18" s="35">
        <v>24</v>
      </c>
      <c r="I18" s="7">
        <v>13000</v>
      </c>
      <c r="J18" s="14">
        <v>3090</v>
      </c>
      <c r="K18" s="15">
        <f>L18+3090</f>
        <v>3090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>
        <v>24</v>
      </c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0.3671875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136</v>
      </c>
      <c r="E19" s="53" t="s">
        <v>426</v>
      </c>
      <c r="F19" s="30" t="s">
        <v>243</v>
      </c>
      <c r="G19" s="33">
        <v>1</v>
      </c>
      <c r="H19" s="35">
        <v>24</v>
      </c>
      <c r="I19" s="7">
        <v>2000</v>
      </c>
      <c r="J19" s="14">
        <v>2946</v>
      </c>
      <c r="K19" s="15">
        <f>L19+1504</f>
        <v>4450</v>
      </c>
      <c r="L19" s="15">
        <f>1511+1435</f>
        <v>2946</v>
      </c>
      <c r="M19" s="15">
        <f t="shared" si="0"/>
        <v>2946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 t="shared" si="6"/>
        <v>0.625</v>
      </c>
      <c r="AE19" s="36">
        <f t="shared" si="7"/>
        <v>0.3671875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136</v>
      </c>
      <c r="E20" s="53" t="s">
        <v>379</v>
      </c>
      <c r="F20" s="30" t="s">
        <v>123</v>
      </c>
      <c r="G20" s="12">
        <v>2</v>
      </c>
      <c r="H20" s="13">
        <v>28</v>
      </c>
      <c r="I20" s="31">
        <v>10000</v>
      </c>
      <c r="J20" s="5">
        <v>6526</v>
      </c>
      <c r="K20" s="15">
        <f>L20+6526</f>
        <v>6526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0.3671875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68612</v>
      </c>
      <c r="K21" s="15">
        <f>L21+17656+21428+32268+13436+27116+28000+43600+66580+29616+68476+71048+38268</f>
        <v>526104</v>
      </c>
      <c r="L21" s="15">
        <f>8006*4+9147*4</f>
        <v>68612</v>
      </c>
      <c r="M21" s="15">
        <f t="shared" si="0"/>
        <v>68612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0.3671875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2790600</v>
      </c>
      <c r="J22" s="19">
        <f t="shared" si="10"/>
        <v>225277</v>
      </c>
      <c r="K22" s="20">
        <f t="shared" si="10"/>
        <v>1631942</v>
      </c>
      <c r="L22" s="21">
        <f t="shared" si="10"/>
        <v>182982</v>
      </c>
      <c r="M22" s="20">
        <f t="shared" si="10"/>
        <v>182982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141</v>
      </c>
      <c r="Q22" s="43">
        <f t="shared" si="11"/>
        <v>236</v>
      </c>
      <c r="R22" s="23">
        <f t="shared" si="11"/>
        <v>48</v>
      </c>
      <c r="S22" s="24">
        <f t="shared" si="11"/>
        <v>27</v>
      </c>
      <c r="T22" s="24">
        <f t="shared" si="11"/>
        <v>0</v>
      </c>
      <c r="U22" s="24">
        <f t="shared" si="11"/>
        <v>0</v>
      </c>
      <c r="V22" s="25">
        <f t="shared" si="11"/>
        <v>24</v>
      </c>
      <c r="W22" s="26">
        <f t="shared" si="11"/>
        <v>65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72</v>
      </c>
      <c r="AB22" s="28">
        <f>AVERAGE(AB6:AB21)</f>
        <v>0.4375</v>
      </c>
      <c r="AC22" s="4">
        <f>AVERAGE(AC6:AC21)</f>
        <v>0.3671875</v>
      </c>
      <c r="AD22" s="4">
        <f>AVERAGE(AD6:AD21)</f>
        <v>0.3671875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447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450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83" t="s">
        <v>46</v>
      </c>
      <c r="D51" s="283" t="s">
        <v>47</v>
      </c>
      <c r="E51" s="283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83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296" t="s">
        <v>181</v>
      </c>
      <c r="D52" s="296" t="s">
        <v>390</v>
      </c>
      <c r="E52" s="295" t="s">
        <v>423</v>
      </c>
      <c r="F52" s="496" t="s">
        <v>448</v>
      </c>
      <c r="G52" s="497"/>
      <c r="H52" s="497"/>
      <c r="I52" s="497"/>
      <c r="J52" s="497"/>
      <c r="K52" s="497"/>
      <c r="L52" s="497"/>
      <c r="M52" s="498"/>
      <c r="N52" s="285" t="s">
        <v>112</v>
      </c>
      <c r="O52" s="291" t="s">
        <v>314</v>
      </c>
      <c r="P52" s="510" t="s">
        <v>136</v>
      </c>
      <c r="Q52" s="511"/>
      <c r="R52" s="510" t="s">
        <v>426</v>
      </c>
      <c r="S52" s="512"/>
      <c r="T52" s="512"/>
      <c r="U52" s="511"/>
      <c r="V52" s="496" t="s">
        <v>139</v>
      </c>
      <c r="W52" s="497"/>
      <c r="X52" s="497"/>
      <c r="Y52" s="497"/>
      <c r="Z52" s="497"/>
      <c r="AA52" s="497"/>
      <c r="AB52" s="497"/>
      <c r="AC52" s="497"/>
      <c r="AD52" s="498"/>
    </row>
    <row r="53" spans="1:32" ht="27" customHeight="1">
      <c r="A53" s="494" t="s">
        <v>112</v>
      </c>
      <c r="B53" s="495"/>
      <c r="C53" s="295" t="s">
        <v>314</v>
      </c>
      <c r="D53" s="295" t="s">
        <v>136</v>
      </c>
      <c r="E53" s="295" t="s">
        <v>426</v>
      </c>
      <c r="F53" s="496" t="s">
        <v>449</v>
      </c>
      <c r="G53" s="497"/>
      <c r="H53" s="497"/>
      <c r="I53" s="497"/>
      <c r="J53" s="497"/>
      <c r="K53" s="497"/>
      <c r="L53" s="497"/>
      <c r="M53" s="498"/>
      <c r="N53" s="285"/>
      <c r="O53" s="291"/>
      <c r="P53" s="510"/>
      <c r="Q53" s="511"/>
      <c r="R53" s="510"/>
      <c r="S53" s="512"/>
      <c r="T53" s="512"/>
      <c r="U53" s="511"/>
      <c r="V53" s="480"/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/>
      <c r="B54" s="509"/>
      <c r="C54" s="284"/>
      <c r="D54" s="284"/>
      <c r="E54" s="286"/>
      <c r="F54" s="496"/>
      <c r="G54" s="497"/>
      <c r="H54" s="497"/>
      <c r="I54" s="497"/>
      <c r="J54" s="497"/>
      <c r="K54" s="497"/>
      <c r="L54" s="497"/>
      <c r="M54" s="498"/>
      <c r="N54" s="285"/>
      <c r="O54" s="291"/>
      <c r="P54" s="510"/>
      <c r="Q54" s="511"/>
      <c r="R54" s="495"/>
      <c r="S54" s="495"/>
      <c r="T54" s="495"/>
      <c r="U54" s="495"/>
      <c r="V54" s="480"/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/>
      <c r="B55" s="509"/>
      <c r="C55" s="284"/>
      <c r="D55" s="284"/>
      <c r="E55" s="286"/>
      <c r="F55" s="496"/>
      <c r="G55" s="497"/>
      <c r="H55" s="497"/>
      <c r="I55" s="497"/>
      <c r="J55" s="497"/>
      <c r="K55" s="497"/>
      <c r="L55" s="497"/>
      <c r="M55" s="498"/>
      <c r="N55" s="285"/>
      <c r="O55" s="291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/>
      <c r="B56" s="509"/>
      <c r="C56" s="284"/>
      <c r="D56" s="284"/>
      <c r="E56" s="286"/>
      <c r="F56" s="496"/>
      <c r="G56" s="497"/>
      <c r="H56" s="497"/>
      <c r="I56" s="497"/>
      <c r="J56" s="497"/>
      <c r="K56" s="497"/>
      <c r="L56" s="497"/>
      <c r="M56" s="498"/>
      <c r="N56" s="285"/>
      <c r="O56" s="291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286"/>
      <c r="D57" s="286"/>
      <c r="E57" s="286"/>
      <c r="F57" s="496"/>
      <c r="G57" s="497"/>
      <c r="H57" s="497"/>
      <c r="I57" s="497"/>
      <c r="J57" s="497"/>
      <c r="K57" s="497"/>
      <c r="L57" s="497"/>
      <c r="M57" s="498"/>
      <c r="N57" s="285"/>
      <c r="O57" s="291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284"/>
      <c r="D58" s="284"/>
      <c r="E58" s="286"/>
      <c r="F58" s="496"/>
      <c r="G58" s="497"/>
      <c r="H58" s="497"/>
      <c r="I58" s="497"/>
      <c r="J58" s="497"/>
      <c r="K58" s="497"/>
      <c r="L58" s="497"/>
      <c r="M58" s="498"/>
      <c r="N58" s="285"/>
      <c r="O58" s="291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84"/>
      <c r="D59" s="284"/>
      <c r="E59" s="286"/>
      <c r="F59" s="496"/>
      <c r="G59" s="497"/>
      <c r="H59" s="497"/>
      <c r="I59" s="497"/>
      <c r="J59" s="497"/>
      <c r="K59" s="497"/>
      <c r="L59" s="497"/>
      <c r="M59" s="498"/>
      <c r="N59" s="285"/>
      <c r="O59" s="291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286"/>
      <c r="D60" s="286"/>
      <c r="E60" s="286"/>
      <c r="F60" s="496"/>
      <c r="G60" s="497"/>
      <c r="H60" s="497"/>
      <c r="I60" s="497"/>
      <c r="J60" s="497"/>
      <c r="K60" s="497"/>
      <c r="L60" s="497"/>
      <c r="M60" s="498"/>
      <c r="N60" s="285"/>
      <c r="O60" s="291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287"/>
      <c r="D61" s="288"/>
      <c r="E61" s="288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451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289" t="s">
        <v>2</v>
      </c>
      <c r="D63" s="289" t="s">
        <v>37</v>
      </c>
      <c r="E63" s="289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289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293"/>
      <c r="E64" s="290" t="s">
        <v>137</v>
      </c>
      <c r="F64" s="481" t="s">
        <v>452</v>
      </c>
      <c r="G64" s="482"/>
      <c r="H64" s="482"/>
      <c r="I64" s="482"/>
      <c r="J64" s="483"/>
      <c r="K64" s="469" t="s">
        <v>123</v>
      </c>
      <c r="L64" s="469"/>
      <c r="M64" s="51" t="s">
        <v>140</v>
      </c>
      <c r="N64" s="478" t="s">
        <v>280</v>
      </c>
      <c r="O64" s="478"/>
      <c r="P64" s="479"/>
      <c r="Q64" s="479"/>
      <c r="R64" s="480" t="s">
        <v>453</v>
      </c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293"/>
      <c r="E65" s="290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293"/>
      <c r="E66" s="290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293"/>
      <c r="E67" s="290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293"/>
      <c r="E68" s="290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293"/>
      <c r="E69" s="290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293"/>
      <c r="E70" s="290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293"/>
      <c r="E71" s="290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293"/>
      <c r="E72" s="290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293"/>
      <c r="E73" s="290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454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292" t="s">
        <v>2</v>
      </c>
      <c r="D75" s="292" t="s">
        <v>37</v>
      </c>
      <c r="E75" s="292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294" t="s">
        <v>112</v>
      </c>
      <c r="D76" s="294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293"/>
      <c r="D77" s="293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293"/>
      <c r="D78" s="293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293"/>
      <c r="D79" s="293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293"/>
      <c r="D80" s="293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293"/>
      <c r="D81" s="293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293"/>
      <c r="D82" s="293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455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313E-6993-4C73-A0F8-1137CCB694FA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456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297" t="s">
        <v>17</v>
      </c>
      <c r="L5" s="297" t="s">
        <v>18</v>
      </c>
      <c r="M5" s="297" t="s">
        <v>19</v>
      </c>
      <c r="N5" s="2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169</v>
      </c>
      <c r="E6" s="53" t="s">
        <v>436</v>
      </c>
      <c r="F6" s="12" t="s">
        <v>127</v>
      </c>
      <c r="G6" s="12">
        <v>1</v>
      </c>
      <c r="H6" s="13">
        <v>24</v>
      </c>
      <c r="I6" s="31">
        <v>1000</v>
      </c>
      <c r="J6" s="14">
        <v>1408</v>
      </c>
      <c r="K6" s="15">
        <f>L6+1408</f>
        <v>1408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0.3125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0.3125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23632</v>
      </c>
      <c r="K8" s="15">
        <f>L8+23776</f>
        <v>47408</v>
      </c>
      <c r="L8" s="15">
        <f>2963*4+2945*4</f>
        <v>23632</v>
      </c>
      <c r="M8" s="15">
        <f t="shared" si="0"/>
        <v>23632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0.3125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390</v>
      </c>
      <c r="E9" s="53" t="s">
        <v>423</v>
      </c>
      <c r="F9" s="30" t="s">
        <v>402</v>
      </c>
      <c r="G9" s="33">
        <v>12</v>
      </c>
      <c r="H9" s="35">
        <v>24</v>
      </c>
      <c r="I9" s="7">
        <v>150000</v>
      </c>
      <c r="J9" s="14">
        <v>10680</v>
      </c>
      <c r="K9" s="15">
        <f>L9+61176+10680</f>
        <v>71856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0.3125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25196</v>
      </c>
      <c r="K10" s="15">
        <f>L10</f>
        <v>25196</v>
      </c>
      <c r="L10" s="15">
        <f>3284*4+3015*4</f>
        <v>25196</v>
      </c>
      <c r="M10" s="15">
        <f t="shared" si="0"/>
        <v>25196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0.3125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424</v>
      </c>
      <c r="E11" s="53" t="s">
        <v>425</v>
      </c>
      <c r="F11" s="30" t="s">
        <v>155</v>
      </c>
      <c r="G11" s="33" t="s">
        <v>437</v>
      </c>
      <c r="H11" s="35">
        <v>24</v>
      </c>
      <c r="I11" s="7">
        <v>2000</v>
      </c>
      <c r="J11" s="14">
        <v>5810</v>
      </c>
      <c r="K11" s="15">
        <f>L11+5810</f>
        <v>5810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0.3125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27100</v>
      </c>
      <c r="K12" s="15">
        <f>L12+24356+25828</f>
        <v>77284</v>
      </c>
      <c r="L12" s="15">
        <f>3542*4+3233*4</f>
        <v>27100</v>
      </c>
      <c r="M12" s="15">
        <f t="shared" si="0"/>
        <v>27100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0.3125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28148</v>
      </c>
      <c r="K13" s="15">
        <f>L13+14284+8352+12576+8310+15524+17860+22424+23088+2420+23364+22844+15980+12148+8056+16415+23304+22652+18028+24560+16004+23972+26116</f>
        <v>406429</v>
      </c>
      <c r="L13" s="15">
        <f>3881*4+3156*4</f>
        <v>28148</v>
      </c>
      <c r="M13" s="15">
        <f t="shared" si="0"/>
        <v>28148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0.3125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388</v>
      </c>
      <c r="D14" s="52" t="s">
        <v>115</v>
      </c>
      <c r="E14" s="53" t="s">
        <v>387</v>
      </c>
      <c r="F14" s="30" t="s">
        <v>148</v>
      </c>
      <c r="G14" s="33">
        <v>1</v>
      </c>
      <c r="H14" s="35">
        <v>60</v>
      </c>
      <c r="I14" s="7">
        <v>100</v>
      </c>
      <c r="J14" s="5">
        <v>139</v>
      </c>
      <c r="K14" s="15">
        <f>L14+139</f>
        <v>139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0.3125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0.3125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0.3125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0.3125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300</v>
      </c>
      <c r="F18" s="30" t="s">
        <v>118</v>
      </c>
      <c r="G18" s="33">
        <v>1</v>
      </c>
      <c r="H18" s="35">
        <v>24</v>
      </c>
      <c r="I18" s="7">
        <v>13000</v>
      </c>
      <c r="J18" s="14">
        <v>3090</v>
      </c>
      <c r="K18" s="15">
        <f>L18+3090</f>
        <v>3090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>
        <v>24</v>
      </c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0.3125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136</v>
      </c>
      <c r="E19" s="53" t="s">
        <v>426</v>
      </c>
      <c r="F19" s="30" t="s">
        <v>243</v>
      </c>
      <c r="G19" s="33">
        <v>1</v>
      </c>
      <c r="H19" s="35">
        <v>24</v>
      </c>
      <c r="I19" s="7">
        <v>2000</v>
      </c>
      <c r="J19" s="14">
        <v>2946</v>
      </c>
      <c r="K19" s="15">
        <f>L19+1504+2946</f>
        <v>4450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0.3125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136</v>
      </c>
      <c r="E20" s="53" t="s">
        <v>379</v>
      </c>
      <c r="F20" s="30" t="s">
        <v>123</v>
      </c>
      <c r="G20" s="12">
        <v>2</v>
      </c>
      <c r="H20" s="13">
        <v>28</v>
      </c>
      <c r="I20" s="31">
        <v>10000</v>
      </c>
      <c r="J20" s="5">
        <v>6526</v>
      </c>
      <c r="K20" s="15">
        <f>L20+6526</f>
        <v>6526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0.3125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65844</v>
      </c>
      <c r="K21" s="15">
        <f>L21+17656+21428+32268+13436+27116+28000+43600+66580+29616+68476+71048+38268+68612</f>
        <v>591948</v>
      </c>
      <c r="L21" s="15">
        <f>8564*4+7897*4</f>
        <v>65844</v>
      </c>
      <c r="M21" s="15">
        <f t="shared" si="0"/>
        <v>65844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0.3125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2860600</v>
      </c>
      <c r="J22" s="19">
        <f t="shared" si="10"/>
        <v>225841</v>
      </c>
      <c r="K22" s="20">
        <f t="shared" si="10"/>
        <v>1287590</v>
      </c>
      <c r="L22" s="21">
        <f t="shared" si="10"/>
        <v>169920</v>
      </c>
      <c r="M22" s="20">
        <f t="shared" si="10"/>
        <v>169920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120</v>
      </c>
      <c r="Q22" s="43">
        <f t="shared" si="11"/>
        <v>257</v>
      </c>
      <c r="R22" s="23">
        <f t="shared" si="11"/>
        <v>48</v>
      </c>
      <c r="S22" s="24">
        <f t="shared" si="11"/>
        <v>48</v>
      </c>
      <c r="T22" s="24">
        <f t="shared" si="11"/>
        <v>0</v>
      </c>
      <c r="U22" s="24">
        <f t="shared" si="11"/>
        <v>0</v>
      </c>
      <c r="V22" s="25">
        <f t="shared" si="11"/>
        <v>24</v>
      </c>
      <c r="W22" s="26">
        <f t="shared" si="11"/>
        <v>65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72</v>
      </c>
      <c r="AB22" s="28">
        <f>AVERAGE(AB6:AB21)</f>
        <v>0.3125</v>
      </c>
      <c r="AC22" s="4">
        <f>AVERAGE(AC6:AC21)</f>
        <v>0.3125</v>
      </c>
      <c r="AD22" s="4">
        <f>AVERAGE(AD6:AD21)</f>
        <v>0.3125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457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460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298" t="s">
        <v>46</v>
      </c>
      <c r="D51" s="298" t="s">
        <v>47</v>
      </c>
      <c r="E51" s="298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298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299" t="s">
        <v>181</v>
      </c>
      <c r="D52" s="299" t="s">
        <v>390</v>
      </c>
      <c r="E52" s="301" t="s">
        <v>389</v>
      </c>
      <c r="F52" s="496" t="s">
        <v>458</v>
      </c>
      <c r="G52" s="497"/>
      <c r="H52" s="497"/>
      <c r="I52" s="497"/>
      <c r="J52" s="497"/>
      <c r="K52" s="497"/>
      <c r="L52" s="497"/>
      <c r="M52" s="498"/>
      <c r="N52" s="300" t="s">
        <v>119</v>
      </c>
      <c r="O52" s="306" t="s">
        <v>181</v>
      </c>
      <c r="P52" s="510" t="s">
        <v>390</v>
      </c>
      <c r="Q52" s="511"/>
      <c r="R52" s="510" t="s">
        <v>389</v>
      </c>
      <c r="S52" s="512"/>
      <c r="T52" s="512"/>
      <c r="U52" s="511"/>
      <c r="V52" s="496" t="s">
        <v>139</v>
      </c>
      <c r="W52" s="497"/>
      <c r="X52" s="497"/>
      <c r="Y52" s="497"/>
      <c r="Z52" s="497"/>
      <c r="AA52" s="497"/>
      <c r="AB52" s="497"/>
      <c r="AC52" s="497"/>
      <c r="AD52" s="498"/>
    </row>
    <row r="53" spans="1:32" ht="27" customHeight="1">
      <c r="A53" s="494"/>
      <c r="B53" s="495"/>
      <c r="C53" s="301"/>
      <c r="D53" s="301"/>
      <c r="E53" s="301"/>
      <c r="F53" s="496"/>
      <c r="G53" s="497"/>
      <c r="H53" s="497"/>
      <c r="I53" s="497"/>
      <c r="J53" s="497"/>
      <c r="K53" s="497"/>
      <c r="L53" s="497"/>
      <c r="M53" s="498"/>
      <c r="N53" s="300" t="s">
        <v>112</v>
      </c>
      <c r="O53" s="306" t="s">
        <v>314</v>
      </c>
      <c r="P53" s="510" t="s">
        <v>115</v>
      </c>
      <c r="Q53" s="511"/>
      <c r="R53" s="510" t="s">
        <v>459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/>
      <c r="B54" s="509"/>
      <c r="C54" s="299"/>
      <c r="D54" s="299"/>
      <c r="E54" s="301"/>
      <c r="F54" s="496"/>
      <c r="G54" s="497"/>
      <c r="H54" s="497"/>
      <c r="I54" s="497"/>
      <c r="J54" s="497"/>
      <c r="K54" s="497"/>
      <c r="L54" s="497"/>
      <c r="M54" s="498"/>
      <c r="N54" s="300" t="s">
        <v>120</v>
      </c>
      <c r="O54" s="306" t="s">
        <v>177</v>
      </c>
      <c r="P54" s="510" t="s">
        <v>115</v>
      </c>
      <c r="Q54" s="511"/>
      <c r="R54" s="495" t="s">
        <v>275</v>
      </c>
      <c r="S54" s="495"/>
      <c r="T54" s="495"/>
      <c r="U54" s="495"/>
      <c r="V54" s="480" t="s">
        <v>296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/>
      <c r="B55" s="509"/>
      <c r="C55" s="299"/>
      <c r="D55" s="299"/>
      <c r="E55" s="301"/>
      <c r="F55" s="496"/>
      <c r="G55" s="497"/>
      <c r="H55" s="497"/>
      <c r="I55" s="497"/>
      <c r="J55" s="497"/>
      <c r="K55" s="497"/>
      <c r="L55" s="497"/>
      <c r="M55" s="498"/>
      <c r="N55" s="300"/>
      <c r="O55" s="306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/>
      <c r="B56" s="509"/>
      <c r="C56" s="299"/>
      <c r="D56" s="299"/>
      <c r="E56" s="301"/>
      <c r="F56" s="496"/>
      <c r="G56" s="497"/>
      <c r="H56" s="497"/>
      <c r="I56" s="497"/>
      <c r="J56" s="497"/>
      <c r="K56" s="497"/>
      <c r="L56" s="497"/>
      <c r="M56" s="498"/>
      <c r="N56" s="300"/>
      <c r="O56" s="306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301"/>
      <c r="D57" s="301"/>
      <c r="E57" s="301"/>
      <c r="F57" s="496"/>
      <c r="G57" s="497"/>
      <c r="H57" s="497"/>
      <c r="I57" s="497"/>
      <c r="J57" s="497"/>
      <c r="K57" s="497"/>
      <c r="L57" s="497"/>
      <c r="M57" s="498"/>
      <c r="N57" s="300"/>
      <c r="O57" s="306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299"/>
      <c r="D58" s="299"/>
      <c r="E58" s="301"/>
      <c r="F58" s="496"/>
      <c r="G58" s="497"/>
      <c r="H58" s="497"/>
      <c r="I58" s="497"/>
      <c r="J58" s="497"/>
      <c r="K58" s="497"/>
      <c r="L58" s="497"/>
      <c r="M58" s="498"/>
      <c r="N58" s="300"/>
      <c r="O58" s="306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299"/>
      <c r="D59" s="299"/>
      <c r="E59" s="301"/>
      <c r="F59" s="496"/>
      <c r="G59" s="497"/>
      <c r="H59" s="497"/>
      <c r="I59" s="497"/>
      <c r="J59" s="497"/>
      <c r="K59" s="497"/>
      <c r="L59" s="497"/>
      <c r="M59" s="498"/>
      <c r="N59" s="300"/>
      <c r="O59" s="306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01"/>
      <c r="D60" s="301"/>
      <c r="E60" s="301"/>
      <c r="F60" s="496"/>
      <c r="G60" s="497"/>
      <c r="H60" s="497"/>
      <c r="I60" s="497"/>
      <c r="J60" s="497"/>
      <c r="K60" s="497"/>
      <c r="L60" s="497"/>
      <c r="M60" s="498"/>
      <c r="N60" s="300"/>
      <c r="O60" s="306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02"/>
      <c r="D61" s="303"/>
      <c r="E61" s="303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461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04" t="s">
        <v>2</v>
      </c>
      <c r="D63" s="304" t="s">
        <v>37</v>
      </c>
      <c r="E63" s="304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04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/>
      <c r="D64" s="308"/>
      <c r="E64" s="305"/>
      <c r="F64" s="481"/>
      <c r="G64" s="482"/>
      <c r="H64" s="482"/>
      <c r="I64" s="482"/>
      <c r="J64" s="483"/>
      <c r="K64" s="469"/>
      <c r="L64" s="469"/>
      <c r="M64" s="51"/>
      <c r="N64" s="478"/>
      <c r="O64" s="478"/>
      <c r="P64" s="479"/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308"/>
      <c r="E65" s="305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308"/>
      <c r="E66" s="305"/>
      <c r="F66" s="477"/>
      <c r="G66" s="469"/>
      <c r="H66" s="469"/>
      <c r="I66" s="469"/>
      <c r="J66" s="469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308"/>
      <c r="E67" s="305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08"/>
      <c r="E68" s="305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08"/>
      <c r="E69" s="305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08"/>
      <c r="E70" s="305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08"/>
      <c r="E71" s="305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08"/>
      <c r="E72" s="305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08"/>
      <c r="E73" s="305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462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07" t="s">
        <v>2</v>
      </c>
      <c r="D75" s="307" t="s">
        <v>37</v>
      </c>
      <c r="E75" s="307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09" t="s">
        <v>112</v>
      </c>
      <c r="D76" s="309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08"/>
      <c r="D77" s="308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08"/>
      <c r="D78" s="308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08"/>
      <c r="D79" s="308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08"/>
      <c r="D80" s="308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08"/>
      <c r="D81" s="308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08"/>
      <c r="D82" s="308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463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A308-850E-4C6B-9EC2-541AD726F0BD}">
  <dimension ref="A1:AF87"/>
  <sheetViews>
    <sheetView view="pageBreakPreview" zoomScale="70" zoomScaleNormal="72" zoomScaleSheetLayoutView="70" workbookViewId="0">
      <selection activeCell="U14" sqref="U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464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322" t="s">
        <v>17</v>
      </c>
      <c r="L5" s="322" t="s">
        <v>18</v>
      </c>
      <c r="M5" s="322" t="s">
        <v>19</v>
      </c>
      <c r="N5" s="32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3251</v>
      </c>
      <c r="K6" s="15">
        <f>L6+1408</f>
        <v>4659</v>
      </c>
      <c r="L6" s="15">
        <f>3251</f>
        <v>3251</v>
      </c>
      <c r="M6" s="15">
        <f t="shared" ref="M6:M21" si="0">L6-N6</f>
        <v>3251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15</v>
      </c>
      <c r="Q6" s="40">
        <f t="shared" ref="Q6:Q21" si="3">SUM(R6:AA6)</f>
        <v>9</v>
      </c>
      <c r="R6" s="7"/>
      <c r="S6" s="6"/>
      <c r="T6" s="16"/>
      <c r="U6" s="16"/>
      <c r="V6" s="17"/>
      <c r="W6" s="5"/>
      <c r="X6" s="16"/>
      <c r="Y6" s="16"/>
      <c r="Z6" s="16"/>
      <c r="AA6" s="18">
        <v>9</v>
      </c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6">
        <f t="shared" ref="AE6:AE21" si="7">$AD$22</f>
        <v>0.41145833333333331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0.41145833333333331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22448</v>
      </c>
      <c r="K8" s="15">
        <f>L8+23776+23632</f>
        <v>69856</v>
      </c>
      <c r="L8" s="15">
        <f>2711*4+2901*4</f>
        <v>22448</v>
      </c>
      <c r="M8" s="15">
        <f t="shared" si="0"/>
        <v>22448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0.41145833333333331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390</v>
      </c>
      <c r="E9" s="53" t="s">
        <v>389</v>
      </c>
      <c r="F9" s="30" t="s">
        <v>402</v>
      </c>
      <c r="G9" s="33">
        <v>12</v>
      </c>
      <c r="H9" s="35">
        <v>24</v>
      </c>
      <c r="I9" s="7">
        <v>100000</v>
      </c>
      <c r="J9" s="14">
        <v>75036</v>
      </c>
      <c r="K9" s="15">
        <f>L9</f>
        <v>75036</v>
      </c>
      <c r="L9" s="15">
        <f>2918*12+3335*12</f>
        <v>75036</v>
      </c>
      <c r="M9" s="15">
        <f t="shared" si="0"/>
        <v>75036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0.41145833333333331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23668</v>
      </c>
      <c r="K10" s="15">
        <f>L10+25196</f>
        <v>48864</v>
      </c>
      <c r="L10" s="15">
        <f>2848*4+3069*4</f>
        <v>23668</v>
      </c>
      <c r="M10" s="15">
        <f t="shared" si="0"/>
        <v>23668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0.41145833333333331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424</v>
      </c>
      <c r="E11" s="53" t="s">
        <v>425</v>
      </c>
      <c r="F11" s="30" t="s">
        <v>155</v>
      </c>
      <c r="G11" s="33" t="s">
        <v>437</v>
      </c>
      <c r="H11" s="35">
        <v>24</v>
      </c>
      <c r="I11" s="7">
        <v>2000</v>
      </c>
      <c r="J11" s="14">
        <v>5810</v>
      </c>
      <c r="K11" s="15">
        <f>L11+5810</f>
        <v>5810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0.41145833333333331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24476</v>
      </c>
      <c r="K12" s="15">
        <f>L12+24356+25828+27100</f>
        <v>101760</v>
      </c>
      <c r="L12" s="15">
        <f>3057*4+3062*4</f>
        <v>24476</v>
      </c>
      <c r="M12" s="15">
        <f t="shared" si="0"/>
        <v>24476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0.41145833333333331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12884</v>
      </c>
      <c r="K13" s="15">
        <f>L13+14284+8352+12576+8310+15524+17860+22424+23088+2420+23364+22844+15980+12148+8056+16415+23304+22652+18028+24560+16004+23972+26116+28148</f>
        <v>419313</v>
      </c>
      <c r="L13" s="15">
        <f>3221*4</f>
        <v>12884</v>
      </c>
      <c r="M13" s="15">
        <f t="shared" si="0"/>
        <v>12884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>AC13*AB13*(1-O13)</f>
        <v>0.58333333333333337</v>
      </c>
      <c r="AE13" s="36">
        <f t="shared" si="7"/>
        <v>0.41145833333333331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388</v>
      </c>
      <c r="D14" s="52" t="s">
        <v>115</v>
      </c>
      <c r="E14" s="53" t="s">
        <v>387</v>
      </c>
      <c r="F14" s="30" t="s">
        <v>148</v>
      </c>
      <c r="G14" s="33">
        <v>1</v>
      </c>
      <c r="H14" s="35">
        <v>60</v>
      </c>
      <c r="I14" s="7">
        <v>100</v>
      </c>
      <c r="J14" s="5">
        <v>139</v>
      </c>
      <c r="K14" s="15">
        <f>L14+139</f>
        <v>139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0.41145833333333331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0.41145833333333331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0.41145833333333331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0.41145833333333331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145</v>
      </c>
      <c r="E18" s="53" t="s">
        <v>466</v>
      </c>
      <c r="F18" s="30" t="s">
        <v>293</v>
      </c>
      <c r="G18" s="33">
        <v>1</v>
      </c>
      <c r="H18" s="35">
        <v>24</v>
      </c>
      <c r="I18" s="7">
        <v>300</v>
      </c>
      <c r="J18" s="14">
        <v>1394</v>
      </c>
      <c r="K18" s="15">
        <f>L18</f>
        <v>1394</v>
      </c>
      <c r="L18" s="15">
        <f>694+700</f>
        <v>1394</v>
      </c>
      <c r="M18" s="15">
        <f t="shared" si="0"/>
        <v>1394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/>
      <c r="T18" s="16">
        <v>16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0.41145833333333331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</f>
        <v>994</v>
      </c>
      <c r="L19" s="15">
        <f>729+265</f>
        <v>994</v>
      </c>
      <c r="M19" s="15">
        <f t="shared" si="0"/>
        <v>994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/>
      <c r="T19" s="16">
        <v>1</v>
      </c>
      <c r="U19" s="16"/>
      <c r="V19" s="17"/>
      <c r="W19" s="5">
        <v>11</v>
      </c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0.41145833333333331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136</v>
      </c>
      <c r="E20" s="53" t="s">
        <v>379</v>
      </c>
      <c r="F20" s="30" t="s">
        <v>123</v>
      </c>
      <c r="G20" s="12">
        <v>2</v>
      </c>
      <c r="H20" s="13">
        <v>28</v>
      </c>
      <c r="I20" s="31">
        <v>10000</v>
      </c>
      <c r="J20" s="5">
        <v>6526</v>
      </c>
      <c r="K20" s="15">
        <f>L20+6526</f>
        <v>6526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0.41145833333333331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34196</v>
      </c>
      <c r="K21" s="15">
        <f>L21+17656+21428+32268+13436+27116+28000+43600+66580+29616+68476+71048+38268+68612+65844</f>
        <v>626144</v>
      </c>
      <c r="L21" s="15">
        <f>6876*4+1673*4</f>
        <v>34196</v>
      </c>
      <c r="M21" s="15">
        <f t="shared" si="0"/>
        <v>34196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0.41145833333333331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2799200</v>
      </c>
      <c r="J22" s="19">
        <f t="shared" si="10"/>
        <v>236144</v>
      </c>
      <c r="K22" s="20">
        <f t="shared" si="10"/>
        <v>1406541</v>
      </c>
      <c r="L22" s="21">
        <f t="shared" si="10"/>
        <v>198347</v>
      </c>
      <c r="M22" s="20">
        <f t="shared" si="10"/>
        <v>198347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158</v>
      </c>
      <c r="Q22" s="43">
        <f t="shared" si="11"/>
        <v>226</v>
      </c>
      <c r="R22" s="23">
        <f t="shared" si="11"/>
        <v>48</v>
      </c>
      <c r="S22" s="24">
        <f t="shared" si="11"/>
        <v>10</v>
      </c>
      <c r="T22" s="24">
        <f t="shared" si="11"/>
        <v>18</v>
      </c>
      <c r="U22" s="24">
        <f t="shared" si="11"/>
        <v>0</v>
      </c>
      <c r="V22" s="25">
        <f t="shared" si="11"/>
        <v>10</v>
      </c>
      <c r="W22" s="26">
        <f t="shared" si="11"/>
        <v>35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105</v>
      </c>
      <c r="AB22" s="28">
        <f>AVERAGE(AB6:AB21)</f>
        <v>0.5625</v>
      </c>
      <c r="AC22" s="4">
        <f>AVERAGE(AC6:AC21)</f>
        <v>0.41145833333333331</v>
      </c>
      <c r="AD22" s="4">
        <f>AVERAGE(AD6:AD21)</f>
        <v>0.41145833333333331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467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468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21" t="s">
        <v>46</v>
      </c>
      <c r="D51" s="321" t="s">
        <v>47</v>
      </c>
      <c r="E51" s="321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21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320" t="s">
        <v>181</v>
      </c>
      <c r="D52" s="320" t="s">
        <v>390</v>
      </c>
      <c r="E52" s="317" t="s">
        <v>389</v>
      </c>
      <c r="F52" s="496" t="s">
        <v>139</v>
      </c>
      <c r="G52" s="497"/>
      <c r="H52" s="497"/>
      <c r="I52" s="497"/>
      <c r="J52" s="497"/>
      <c r="K52" s="497"/>
      <c r="L52" s="497"/>
      <c r="M52" s="498"/>
      <c r="N52" s="316" t="s">
        <v>120</v>
      </c>
      <c r="O52" s="314" t="s">
        <v>212</v>
      </c>
      <c r="P52" s="510" t="s">
        <v>136</v>
      </c>
      <c r="Q52" s="511"/>
      <c r="R52" s="510" t="s">
        <v>209</v>
      </c>
      <c r="S52" s="512"/>
      <c r="T52" s="512"/>
      <c r="U52" s="511"/>
      <c r="V52" s="496" t="s">
        <v>296</v>
      </c>
      <c r="W52" s="497"/>
      <c r="X52" s="497"/>
      <c r="Y52" s="497"/>
      <c r="Z52" s="497"/>
      <c r="AA52" s="497"/>
      <c r="AB52" s="497"/>
      <c r="AC52" s="497"/>
      <c r="AD52" s="498"/>
    </row>
    <row r="53" spans="1:32" ht="27" customHeight="1">
      <c r="A53" s="494" t="s">
        <v>119</v>
      </c>
      <c r="B53" s="495"/>
      <c r="C53" s="317" t="s">
        <v>200</v>
      </c>
      <c r="D53" s="317" t="s">
        <v>128</v>
      </c>
      <c r="E53" s="317" t="s">
        <v>465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316" t="s">
        <v>119</v>
      </c>
      <c r="O53" s="314" t="s">
        <v>181</v>
      </c>
      <c r="P53" s="510" t="s">
        <v>285</v>
      </c>
      <c r="Q53" s="511"/>
      <c r="R53" s="510" t="s">
        <v>469</v>
      </c>
      <c r="S53" s="512"/>
      <c r="T53" s="512"/>
      <c r="U53" s="511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120</v>
      </c>
      <c r="B54" s="509"/>
      <c r="C54" s="320" t="s">
        <v>177</v>
      </c>
      <c r="D54" s="320" t="s">
        <v>115</v>
      </c>
      <c r="E54" s="317" t="s">
        <v>275</v>
      </c>
      <c r="F54" s="496" t="s">
        <v>296</v>
      </c>
      <c r="G54" s="497"/>
      <c r="H54" s="497"/>
      <c r="I54" s="497"/>
      <c r="J54" s="497"/>
      <c r="K54" s="497"/>
      <c r="L54" s="497"/>
      <c r="M54" s="498"/>
      <c r="N54" s="316" t="s">
        <v>112</v>
      </c>
      <c r="O54" s="314" t="s">
        <v>224</v>
      </c>
      <c r="P54" s="510" t="s">
        <v>115</v>
      </c>
      <c r="Q54" s="511"/>
      <c r="R54" s="495" t="s">
        <v>470</v>
      </c>
      <c r="S54" s="495"/>
      <c r="T54" s="495"/>
      <c r="U54" s="495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112</v>
      </c>
      <c r="B55" s="509"/>
      <c r="C55" s="320" t="s">
        <v>314</v>
      </c>
      <c r="D55" s="320" t="s">
        <v>115</v>
      </c>
      <c r="E55" s="317" t="s">
        <v>459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316" t="s">
        <v>119</v>
      </c>
      <c r="O55" s="314" t="s">
        <v>187</v>
      </c>
      <c r="P55" s="510" t="s">
        <v>115</v>
      </c>
      <c r="Q55" s="511"/>
      <c r="R55" s="510" t="s">
        <v>471</v>
      </c>
      <c r="S55" s="512"/>
      <c r="T55" s="512"/>
      <c r="U55" s="511"/>
      <c r="V55" s="480" t="s">
        <v>176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119</v>
      </c>
      <c r="B56" s="509"/>
      <c r="C56" s="320" t="s">
        <v>187</v>
      </c>
      <c r="D56" s="320" t="s">
        <v>145</v>
      </c>
      <c r="E56" s="317" t="s">
        <v>466</v>
      </c>
      <c r="F56" s="496" t="s">
        <v>176</v>
      </c>
      <c r="G56" s="497"/>
      <c r="H56" s="497"/>
      <c r="I56" s="497"/>
      <c r="J56" s="497"/>
      <c r="K56" s="497"/>
      <c r="L56" s="497"/>
      <c r="M56" s="498"/>
      <c r="N56" s="316" t="s">
        <v>119</v>
      </c>
      <c r="O56" s="314" t="s">
        <v>314</v>
      </c>
      <c r="P56" s="510" t="s">
        <v>115</v>
      </c>
      <c r="Q56" s="511"/>
      <c r="R56" s="510" t="s">
        <v>472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317"/>
      <c r="D57" s="317"/>
      <c r="E57" s="317"/>
      <c r="F57" s="496"/>
      <c r="G57" s="497"/>
      <c r="H57" s="497"/>
      <c r="I57" s="497"/>
      <c r="J57" s="497"/>
      <c r="K57" s="497"/>
      <c r="L57" s="497"/>
      <c r="M57" s="498"/>
      <c r="N57" s="316"/>
      <c r="O57" s="314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20"/>
      <c r="D58" s="320"/>
      <c r="E58" s="317"/>
      <c r="F58" s="496"/>
      <c r="G58" s="497"/>
      <c r="H58" s="497"/>
      <c r="I58" s="497"/>
      <c r="J58" s="497"/>
      <c r="K58" s="497"/>
      <c r="L58" s="497"/>
      <c r="M58" s="498"/>
      <c r="N58" s="316"/>
      <c r="O58" s="314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20"/>
      <c r="D59" s="320"/>
      <c r="E59" s="317"/>
      <c r="F59" s="496"/>
      <c r="G59" s="497"/>
      <c r="H59" s="497"/>
      <c r="I59" s="497"/>
      <c r="J59" s="497"/>
      <c r="K59" s="497"/>
      <c r="L59" s="497"/>
      <c r="M59" s="498"/>
      <c r="N59" s="316"/>
      <c r="O59" s="314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17"/>
      <c r="D60" s="317"/>
      <c r="E60" s="317"/>
      <c r="F60" s="496"/>
      <c r="G60" s="497"/>
      <c r="H60" s="497"/>
      <c r="I60" s="497"/>
      <c r="J60" s="497"/>
      <c r="K60" s="497"/>
      <c r="L60" s="497"/>
      <c r="M60" s="498"/>
      <c r="N60" s="316"/>
      <c r="O60" s="314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18"/>
      <c r="D61" s="319"/>
      <c r="E61" s="319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473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15" t="s">
        <v>2</v>
      </c>
      <c r="D63" s="315" t="s">
        <v>37</v>
      </c>
      <c r="E63" s="315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15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310"/>
      <c r="E64" s="313" t="s">
        <v>285</v>
      </c>
      <c r="F64" s="481" t="s">
        <v>474</v>
      </c>
      <c r="G64" s="482"/>
      <c r="H64" s="482"/>
      <c r="I64" s="482"/>
      <c r="J64" s="483"/>
      <c r="K64" s="469" t="s">
        <v>339</v>
      </c>
      <c r="L64" s="469"/>
      <c r="M64" s="51" t="s">
        <v>140</v>
      </c>
      <c r="N64" s="478" t="s">
        <v>200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119</v>
      </c>
      <c r="D65" s="310"/>
      <c r="E65" s="313" t="s">
        <v>115</v>
      </c>
      <c r="F65" s="481" t="s">
        <v>268</v>
      </c>
      <c r="G65" s="482"/>
      <c r="H65" s="482"/>
      <c r="I65" s="482"/>
      <c r="J65" s="483"/>
      <c r="K65" s="469" t="s">
        <v>118</v>
      </c>
      <c r="L65" s="469"/>
      <c r="M65" s="51" t="s">
        <v>140</v>
      </c>
      <c r="N65" s="478" t="s">
        <v>280</v>
      </c>
      <c r="O65" s="478"/>
      <c r="P65" s="479"/>
      <c r="Q65" s="479"/>
      <c r="R65" s="480" t="s">
        <v>411</v>
      </c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112</v>
      </c>
      <c r="D66" s="310"/>
      <c r="E66" s="313" t="s">
        <v>175</v>
      </c>
      <c r="F66" s="477" t="s">
        <v>199</v>
      </c>
      <c r="G66" s="469"/>
      <c r="H66" s="469"/>
      <c r="I66" s="469"/>
      <c r="J66" s="469"/>
      <c r="K66" s="469">
        <v>8301</v>
      </c>
      <c r="L66" s="469"/>
      <c r="M66" s="51" t="s">
        <v>475</v>
      </c>
      <c r="N66" s="478" t="s">
        <v>184</v>
      </c>
      <c r="O66" s="478"/>
      <c r="P66" s="479">
        <v>200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 t="s">
        <v>119</v>
      </c>
      <c r="D67" s="310"/>
      <c r="E67" s="313" t="s">
        <v>145</v>
      </c>
      <c r="F67" s="481" t="s">
        <v>466</v>
      </c>
      <c r="G67" s="482"/>
      <c r="H67" s="482"/>
      <c r="I67" s="482"/>
      <c r="J67" s="483"/>
      <c r="K67" s="469" t="s">
        <v>293</v>
      </c>
      <c r="L67" s="469"/>
      <c r="M67" s="51" t="s">
        <v>476</v>
      </c>
      <c r="N67" s="478" t="s">
        <v>187</v>
      </c>
      <c r="O67" s="478"/>
      <c r="P67" s="479">
        <v>50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10"/>
      <c r="E68" s="313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10"/>
      <c r="E69" s="313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10"/>
      <c r="E70" s="313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10"/>
      <c r="E71" s="313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10"/>
      <c r="E72" s="313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10"/>
      <c r="E73" s="313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477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12" t="s">
        <v>2</v>
      </c>
      <c r="D75" s="312" t="s">
        <v>37</v>
      </c>
      <c r="E75" s="312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11" t="s">
        <v>112</v>
      </c>
      <c r="D76" s="311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10"/>
      <c r="D77" s="310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10"/>
      <c r="D78" s="310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10"/>
      <c r="D79" s="310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10"/>
      <c r="D80" s="310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10"/>
      <c r="D81" s="310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10"/>
      <c r="D82" s="310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478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4EB-8F34-4F1E-A4DB-0243D6113D61}">
  <dimension ref="A1:AF87"/>
  <sheetViews>
    <sheetView view="pageBreakPreview" zoomScale="70" zoomScaleNormal="72" zoomScaleSheetLayoutView="70" workbookViewId="0">
      <selection activeCell="U15" sqref="U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479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323" t="s">
        <v>17</v>
      </c>
      <c r="L5" s="323" t="s">
        <v>18</v>
      </c>
      <c r="M5" s="323" t="s">
        <v>19</v>
      </c>
      <c r="N5" s="32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</f>
        <v>8377</v>
      </c>
      <c r="L6" s="15">
        <f>3439+279</f>
        <v>3718</v>
      </c>
      <c r="M6" s="15">
        <f t="shared" ref="M6:M21" si="0">L6-N6</f>
        <v>3718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17</v>
      </c>
      <c r="Q6" s="40">
        <f t="shared" ref="Q6:Q21" si="3">SUM(R6:AA6)</f>
        <v>7</v>
      </c>
      <c r="R6" s="7"/>
      <c r="S6" s="6"/>
      <c r="T6" s="16"/>
      <c r="U6" s="16"/>
      <c r="V6" s="17"/>
      <c r="W6" s="5">
        <v>7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0.70833333333333337</v>
      </c>
      <c r="AD6" s="10">
        <f t="shared" ref="AD6:AD21" si="6">AC6*AB6*(1-O6)</f>
        <v>0.70833333333333337</v>
      </c>
      <c r="AE6" s="36">
        <f t="shared" ref="AE6:AE21" si="7">$AD$22</f>
        <v>0.40625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355</v>
      </c>
      <c r="D7" s="52" t="s">
        <v>365</v>
      </c>
      <c r="E7" s="53" t="s">
        <v>366</v>
      </c>
      <c r="F7" s="12">
        <v>8301</v>
      </c>
      <c r="G7" s="12">
        <v>4</v>
      </c>
      <c r="H7" s="13">
        <v>24</v>
      </c>
      <c r="I7" s="31">
        <v>1000</v>
      </c>
      <c r="J7" s="14">
        <v>1601</v>
      </c>
      <c r="K7" s="15">
        <f>L7+1601</f>
        <v>1601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0.40625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10612</v>
      </c>
      <c r="K8" s="15">
        <f>L8+23776+23632+22448</f>
        <v>80468</v>
      </c>
      <c r="L8" s="15">
        <f>2653*4</f>
        <v>10612</v>
      </c>
      <c r="M8" s="15">
        <f t="shared" si="0"/>
        <v>10612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 t="shared" si="7"/>
        <v>0.40625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469</v>
      </c>
      <c r="F9" s="30" t="s">
        <v>266</v>
      </c>
      <c r="G9" s="33">
        <v>1</v>
      </c>
      <c r="H9" s="35">
        <v>24</v>
      </c>
      <c r="I9" s="7">
        <v>4000</v>
      </c>
      <c r="J9" s="14">
        <v>4729</v>
      </c>
      <c r="K9" s="15">
        <f>L9</f>
        <v>4729</v>
      </c>
      <c r="L9" s="15">
        <f>2087+2642</f>
        <v>4729</v>
      </c>
      <c r="M9" s="15">
        <f t="shared" si="0"/>
        <v>4729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0.40625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24836</v>
      </c>
      <c r="K10" s="15">
        <f>L10+25196+23668</f>
        <v>73700</v>
      </c>
      <c r="L10" s="15">
        <f>3170*4+3039*4</f>
        <v>24836</v>
      </c>
      <c r="M10" s="15">
        <f t="shared" si="0"/>
        <v>24836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0.40625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424</v>
      </c>
      <c r="E11" s="53" t="s">
        <v>425</v>
      </c>
      <c r="F11" s="30" t="s">
        <v>155</v>
      </c>
      <c r="G11" s="33" t="s">
        <v>437</v>
      </c>
      <c r="H11" s="35">
        <v>24</v>
      </c>
      <c r="I11" s="7">
        <v>2000</v>
      </c>
      <c r="J11" s="14">
        <v>5810</v>
      </c>
      <c r="K11" s="15">
        <f>L11+5810</f>
        <v>5810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0.40625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20768</v>
      </c>
      <c r="K12" s="15">
        <f>L12+24356+25828+27100+24476</f>
        <v>122528</v>
      </c>
      <c r="L12" s="15">
        <f>2435*4+2757*4</f>
        <v>20768</v>
      </c>
      <c r="M12" s="15">
        <f t="shared" si="0"/>
        <v>20768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9"/>
        <v>0.91666666666666663</v>
      </c>
      <c r="AE12" s="36">
        <f t="shared" si="7"/>
        <v>0.40625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27980</v>
      </c>
      <c r="K13" s="15">
        <f>L13+14284+8352+12576+8310+15524+17860+22424+23088+2420+23364+22844+15980+12148+8056+16415+23304+22652+18028+24560+16004+23972+26116+28148+12884</f>
        <v>447293</v>
      </c>
      <c r="L13" s="15">
        <f>3534*4+3461*4</f>
        <v>27980</v>
      </c>
      <c r="M13" s="15">
        <f t="shared" si="0"/>
        <v>27980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0.40625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480</v>
      </c>
      <c r="F14" s="30" t="s">
        <v>481</v>
      </c>
      <c r="G14" s="33">
        <v>1</v>
      </c>
      <c r="H14" s="35">
        <v>60</v>
      </c>
      <c r="I14" s="7">
        <v>300</v>
      </c>
      <c r="J14" s="5">
        <v>384</v>
      </c>
      <c r="K14" s="15">
        <f>L14</f>
        <v>384</v>
      </c>
      <c r="L14" s="15">
        <v>384</v>
      </c>
      <c r="M14" s="15">
        <f t="shared" si="0"/>
        <v>384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0.40625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0.40625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0.40625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145</v>
      </c>
      <c r="E18" s="53" t="s">
        <v>471</v>
      </c>
      <c r="F18" s="30" t="s">
        <v>129</v>
      </c>
      <c r="G18" s="33">
        <v>1</v>
      </c>
      <c r="H18" s="35">
        <v>24</v>
      </c>
      <c r="I18" s="7">
        <v>300</v>
      </c>
      <c r="J18" s="14">
        <v>1000</v>
      </c>
      <c r="K18" s="15">
        <f>L18</f>
        <v>1000</v>
      </c>
      <c r="L18" s="15">
        <v>1000</v>
      </c>
      <c r="M18" s="15">
        <f t="shared" si="0"/>
        <v>1000</v>
      </c>
      <c r="N18" s="15">
        <v>0</v>
      </c>
      <c r="O18" s="58">
        <f t="shared" si="1"/>
        <v>0</v>
      </c>
      <c r="P18" s="39">
        <f t="shared" si="2"/>
        <v>7</v>
      </c>
      <c r="Q18" s="40">
        <f t="shared" si="3"/>
        <v>17</v>
      </c>
      <c r="R18" s="7"/>
      <c r="S18" s="6"/>
      <c r="T18" s="16"/>
      <c r="U18" s="16"/>
      <c r="V18" s="17"/>
      <c r="W18" s="5">
        <v>17</v>
      </c>
      <c r="X18" s="16"/>
      <c r="Y18" s="16"/>
      <c r="Z18" s="16"/>
      <c r="AA18" s="18"/>
      <c r="AB18" s="8">
        <f t="shared" si="4"/>
        <v>1</v>
      </c>
      <c r="AC18" s="9">
        <f t="shared" si="5"/>
        <v>0.29166666666666669</v>
      </c>
      <c r="AD18" s="10">
        <f t="shared" si="6"/>
        <v>0.29166666666666669</v>
      </c>
      <c r="AE18" s="36">
        <f t="shared" si="7"/>
        <v>0.40625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0.40625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472</v>
      </c>
      <c r="F20" s="30" t="s">
        <v>129</v>
      </c>
      <c r="G20" s="12">
        <v>1</v>
      </c>
      <c r="H20" s="13">
        <v>28</v>
      </c>
      <c r="I20" s="31">
        <v>5000</v>
      </c>
      <c r="J20" s="5">
        <v>985</v>
      </c>
      <c r="K20" s="15">
        <f>L20</f>
        <v>985</v>
      </c>
      <c r="L20" s="15">
        <f>985</f>
        <v>985</v>
      </c>
      <c r="M20" s="15">
        <f t="shared" si="0"/>
        <v>985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>
        <v>18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 t="shared" si="6"/>
        <v>0.25</v>
      </c>
      <c r="AE20" s="36">
        <f t="shared" si="7"/>
        <v>0.40625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35828</v>
      </c>
      <c r="K21" s="15">
        <f>L21+17656+21428+32268+13436+27116+28000+43600+66580+29616+68476+71048+38268+68612+65844+34196</f>
        <v>661972</v>
      </c>
      <c r="L21" s="15">
        <f>7859*4+1098*4</f>
        <v>35828</v>
      </c>
      <c r="M21" s="15">
        <f t="shared" si="0"/>
        <v>35828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0.40625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2698400</v>
      </c>
      <c r="J22" s="19">
        <f t="shared" si="10"/>
        <v>162966</v>
      </c>
      <c r="K22" s="20">
        <f t="shared" si="10"/>
        <v>1454286</v>
      </c>
      <c r="L22" s="21">
        <f t="shared" si="10"/>
        <v>130840</v>
      </c>
      <c r="M22" s="20">
        <f t="shared" si="10"/>
        <v>130840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156</v>
      </c>
      <c r="Q22" s="43">
        <f t="shared" si="11"/>
        <v>228</v>
      </c>
      <c r="R22" s="23">
        <f t="shared" si="11"/>
        <v>24</v>
      </c>
      <c r="S22" s="24">
        <f t="shared" si="11"/>
        <v>31</v>
      </c>
      <c r="T22" s="24">
        <f t="shared" si="11"/>
        <v>1</v>
      </c>
      <c r="U22" s="24">
        <f t="shared" si="11"/>
        <v>0</v>
      </c>
      <c r="V22" s="25">
        <f t="shared" si="11"/>
        <v>10</v>
      </c>
      <c r="W22" s="26">
        <f t="shared" si="11"/>
        <v>66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96</v>
      </c>
      <c r="AB22" s="28">
        <f>AVERAGE(AB6:AB21)</f>
        <v>0.625</v>
      </c>
      <c r="AC22" s="4">
        <f>AVERAGE(AC6:AC21)</f>
        <v>0.40625</v>
      </c>
      <c r="AD22" s="4">
        <f>AVERAGE(AD6:AD21)</f>
        <v>0.40625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482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485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24" t="s">
        <v>46</v>
      </c>
      <c r="D51" s="324" t="s">
        <v>47</v>
      </c>
      <c r="E51" s="324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24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325" t="s">
        <v>181</v>
      </c>
      <c r="D52" s="325" t="s">
        <v>285</v>
      </c>
      <c r="E52" s="327" t="s">
        <v>469</v>
      </c>
      <c r="F52" s="496" t="s">
        <v>180</v>
      </c>
      <c r="G52" s="497"/>
      <c r="H52" s="497"/>
      <c r="I52" s="497"/>
      <c r="J52" s="497"/>
      <c r="K52" s="497"/>
      <c r="L52" s="497"/>
      <c r="M52" s="498"/>
      <c r="N52" s="326" t="s">
        <v>119</v>
      </c>
      <c r="O52" s="332" t="s">
        <v>314</v>
      </c>
      <c r="P52" s="510" t="s">
        <v>115</v>
      </c>
      <c r="Q52" s="511"/>
      <c r="R52" s="510" t="s">
        <v>472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120</v>
      </c>
      <c r="B53" s="495"/>
      <c r="C53" s="327" t="s">
        <v>212</v>
      </c>
      <c r="D53" s="327" t="s">
        <v>136</v>
      </c>
      <c r="E53" s="327" t="s">
        <v>209</v>
      </c>
      <c r="F53" s="496" t="s">
        <v>483</v>
      </c>
      <c r="G53" s="497"/>
      <c r="H53" s="497"/>
      <c r="I53" s="497"/>
      <c r="J53" s="497"/>
      <c r="K53" s="497"/>
      <c r="L53" s="497"/>
      <c r="M53" s="498"/>
      <c r="N53" s="326"/>
      <c r="O53" s="332"/>
      <c r="P53" s="510"/>
      <c r="Q53" s="511"/>
      <c r="R53" s="510"/>
      <c r="S53" s="512"/>
      <c r="T53" s="512"/>
      <c r="U53" s="511"/>
      <c r="V53" s="480"/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508" t="s">
        <v>120</v>
      </c>
      <c r="B54" s="509"/>
      <c r="C54" s="325" t="s">
        <v>149</v>
      </c>
      <c r="D54" s="325" t="s">
        <v>115</v>
      </c>
      <c r="E54" s="327" t="s">
        <v>232</v>
      </c>
      <c r="F54" s="496" t="s">
        <v>484</v>
      </c>
      <c r="G54" s="497"/>
      <c r="H54" s="497"/>
      <c r="I54" s="497"/>
      <c r="J54" s="497"/>
      <c r="K54" s="497"/>
      <c r="L54" s="497"/>
      <c r="M54" s="498"/>
      <c r="N54" s="326"/>
      <c r="O54" s="332"/>
      <c r="P54" s="510"/>
      <c r="Q54" s="511"/>
      <c r="R54" s="495"/>
      <c r="S54" s="495"/>
      <c r="T54" s="495"/>
      <c r="U54" s="495"/>
      <c r="V54" s="480"/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112</v>
      </c>
      <c r="B55" s="509"/>
      <c r="C55" s="325" t="s">
        <v>224</v>
      </c>
      <c r="D55" s="325" t="s">
        <v>115</v>
      </c>
      <c r="E55" s="327" t="s">
        <v>480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326"/>
      <c r="O55" s="332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119</v>
      </c>
      <c r="B56" s="509"/>
      <c r="C56" s="325" t="s">
        <v>187</v>
      </c>
      <c r="D56" s="325" t="s">
        <v>115</v>
      </c>
      <c r="E56" s="327" t="s">
        <v>471</v>
      </c>
      <c r="F56" s="496" t="s">
        <v>176</v>
      </c>
      <c r="G56" s="497"/>
      <c r="H56" s="497"/>
      <c r="I56" s="497"/>
      <c r="J56" s="497"/>
      <c r="K56" s="497"/>
      <c r="L56" s="497"/>
      <c r="M56" s="498"/>
      <c r="N56" s="326"/>
      <c r="O56" s="332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119</v>
      </c>
      <c r="B57" s="495"/>
      <c r="C57" s="327" t="s">
        <v>277</v>
      </c>
      <c r="D57" s="327" t="s">
        <v>115</v>
      </c>
      <c r="E57" s="327" t="s">
        <v>472</v>
      </c>
      <c r="F57" s="496" t="s">
        <v>486</v>
      </c>
      <c r="G57" s="497"/>
      <c r="H57" s="497"/>
      <c r="I57" s="497"/>
      <c r="J57" s="497"/>
      <c r="K57" s="497"/>
      <c r="L57" s="497"/>
      <c r="M57" s="498"/>
      <c r="N57" s="326"/>
      <c r="O57" s="332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25"/>
      <c r="D58" s="325"/>
      <c r="E58" s="327"/>
      <c r="F58" s="496"/>
      <c r="G58" s="497"/>
      <c r="H58" s="497"/>
      <c r="I58" s="497"/>
      <c r="J58" s="497"/>
      <c r="K58" s="497"/>
      <c r="L58" s="497"/>
      <c r="M58" s="498"/>
      <c r="N58" s="326"/>
      <c r="O58" s="332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25"/>
      <c r="D59" s="325"/>
      <c r="E59" s="327"/>
      <c r="F59" s="496"/>
      <c r="G59" s="497"/>
      <c r="H59" s="497"/>
      <c r="I59" s="497"/>
      <c r="J59" s="497"/>
      <c r="K59" s="497"/>
      <c r="L59" s="497"/>
      <c r="M59" s="498"/>
      <c r="N59" s="326"/>
      <c r="O59" s="332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27"/>
      <c r="D60" s="327"/>
      <c r="E60" s="327"/>
      <c r="F60" s="496"/>
      <c r="G60" s="497"/>
      <c r="H60" s="497"/>
      <c r="I60" s="497"/>
      <c r="J60" s="497"/>
      <c r="K60" s="497"/>
      <c r="L60" s="497"/>
      <c r="M60" s="498"/>
      <c r="N60" s="326"/>
      <c r="O60" s="332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28"/>
      <c r="D61" s="329"/>
      <c r="E61" s="329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487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30" t="s">
        <v>2</v>
      </c>
      <c r="D63" s="330" t="s">
        <v>37</v>
      </c>
      <c r="E63" s="330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30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334"/>
      <c r="E64" s="331" t="s">
        <v>145</v>
      </c>
      <c r="F64" s="481" t="s">
        <v>488</v>
      </c>
      <c r="G64" s="482"/>
      <c r="H64" s="482"/>
      <c r="I64" s="482"/>
      <c r="J64" s="483"/>
      <c r="K64" s="469" t="s">
        <v>339</v>
      </c>
      <c r="L64" s="469"/>
      <c r="M64" s="51" t="s">
        <v>140</v>
      </c>
      <c r="N64" s="478" t="s">
        <v>174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119</v>
      </c>
      <c r="D65" s="334"/>
      <c r="E65" s="331" t="s">
        <v>115</v>
      </c>
      <c r="F65" s="481" t="s">
        <v>268</v>
      </c>
      <c r="G65" s="482"/>
      <c r="H65" s="482"/>
      <c r="I65" s="482"/>
      <c r="J65" s="483"/>
      <c r="K65" s="469" t="s">
        <v>118</v>
      </c>
      <c r="L65" s="469"/>
      <c r="M65" s="51" t="s">
        <v>140</v>
      </c>
      <c r="N65" s="478" t="s">
        <v>314</v>
      </c>
      <c r="O65" s="478"/>
      <c r="P65" s="479">
        <v>200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119</v>
      </c>
      <c r="D66" s="334"/>
      <c r="E66" s="331" t="s">
        <v>115</v>
      </c>
      <c r="F66" s="481" t="s">
        <v>471</v>
      </c>
      <c r="G66" s="482"/>
      <c r="H66" s="482"/>
      <c r="I66" s="482"/>
      <c r="J66" s="483"/>
      <c r="K66" s="469">
        <v>7301</v>
      </c>
      <c r="L66" s="469"/>
      <c r="M66" s="51" t="s">
        <v>476</v>
      </c>
      <c r="N66" s="478" t="s">
        <v>187</v>
      </c>
      <c r="O66" s="478"/>
      <c r="P66" s="479">
        <v>50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 t="s">
        <v>119</v>
      </c>
      <c r="D67" s="334"/>
      <c r="E67" s="331" t="s">
        <v>115</v>
      </c>
      <c r="F67" s="481" t="s">
        <v>398</v>
      </c>
      <c r="G67" s="482"/>
      <c r="H67" s="482"/>
      <c r="I67" s="482"/>
      <c r="J67" s="483"/>
      <c r="K67" s="469">
        <v>7301</v>
      </c>
      <c r="L67" s="469"/>
      <c r="M67" s="51" t="s">
        <v>140</v>
      </c>
      <c r="N67" s="478" t="s">
        <v>280</v>
      </c>
      <c r="O67" s="478"/>
      <c r="P67" s="479">
        <v>50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 t="s">
        <v>120</v>
      </c>
      <c r="D68" s="334"/>
      <c r="E68" s="331" t="s">
        <v>137</v>
      </c>
      <c r="F68" s="481" t="s">
        <v>490</v>
      </c>
      <c r="G68" s="482"/>
      <c r="H68" s="482"/>
      <c r="I68" s="482"/>
      <c r="J68" s="483"/>
      <c r="K68" s="469" t="s">
        <v>123</v>
      </c>
      <c r="L68" s="469"/>
      <c r="M68" s="51" t="s">
        <v>140</v>
      </c>
      <c r="N68" s="478" t="s">
        <v>280</v>
      </c>
      <c r="O68" s="478"/>
      <c r="P68" s="479">
        <v>200</v>
      </c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34"/>
      <c r="E69" s="331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34"/>
      <c r="E70" s="331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34"/>
      <c r="E71" s="331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34"/>
      <c r="E72" s="331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34"/>
      <c r="E73" s="331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489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33" t="s">
        <v>2</v>
      </c>
      <c r="D75" s="333" t="s">
        <v>37</v>
      </c>
      <c r="E75" s="333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35" t="s">
        <v>112</v>
      </c>
      <c r="D76" s="335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34"/>
      <c r="D77" s="334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34"/>
      <c r="D78" s="334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34"/>
      <c r="D79" s="334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34"/>
      <c r="D80" s="334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34"/>
      <c r="D81" s="334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34"/>
      <c r="D82" s="334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491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C4F2-4580-4C6B-A2BA-CBDF21601FE7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492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348" t="s">
        <v>17</v>
      </c>
      <c r="L5" s="348" t="s">
        <v>18</v>
      </c>
      <c r="M5" s="348" t="s">
        <v>19</v>
      </c>
      <c r="N5" s="3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0.45572916666666669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2355</v>
      </c>
      <c r="K7" s="15">
        <f>L7</f>
        <v>2355</v>
      </c>
      <c r="L7" s="15">
        <f>2355</f>
        <v>2355</v>
      </c>
      <c r="M7" s="15">
        <f t="shared" si="0"/>
        <v>2355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/>
      <c r="T7" s="16">
        <v>10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0.45572916666666669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24680</v>
      </c>
      <c r="K8" s="15">
        <f>L8+23776+23632+22448+10612</f>
        <v>105148</v>
      </c>
      <c r="L8" s="15">
        <f>3137*4+3033*4</f>
        <v>24680</v>
      </c>
      <c r="M8" s="15">
        <f t="shared" si="0"/>
        <v>24680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0.45572916666666669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469</v>
      </c>
      <c r="F9" s="30" t="s">
        <v>266</v>
      </c>
      <c r="G9" s="33">
        <v>1</v>
      </c>
      <c r="H9" s="35">
        <v>24</v>
      </c>
      <c r="I9" s="7">
        <v>4000</v>
      </c>
      <c r="J9" s="14">
        <v>5483</v>
      </c>
      <c r="K9" s="15">
        <f>L9+4729</f>
        <v>10212</v>
      </c>
      <c r="L9" s="15">
        <f>2779+2704</f>
        <v>5483</v>
      </c>
      <c r="M9" s="15">
        <f t="shared" si="0"/>
        <v>5483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0.45572916666666669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25088</v>
      </c>
      <c r="K10" s="15">
        <f>L10+25196+23668+24836</f>
        <v>98788</v>
      </c>
      <c r="L10" s="15">
        <f>3196*4+3076*4</f>
        <v>25088</v>
      </c>
      <c r="M10" s="15">
        <f t="shared" si="0"/>
        <v>25088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0.45572916666666669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424</v>
      </c>
      <c r="E11" s="53" t="s">
        <v>425</v>
      </c>
      <c r="F11" s="30" t="s">
        <v>155</v>
      </c>
      <c r="G11" s="33" t="s">
        <v>437</v>
      </c>
      <c r="H11" s="35">
        <v>24</v>
      </c>
      <c r="I11" s="7">
        <v>2000</v>
      </c>
      <c r="J11" s="14">
        <v>5810</v>
      </c>
      <c r="K11" s="15">
        <f>L11+5810</f>
        <v>5810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0.45572916666666669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27072</v>
      </c>
      <c r="K12" s="15">
        <f>L12+24356+25828+27100+24476+20768</f>
        <v>149600</v>
      </c>
      <c r="L12" s="15">
        <f>3488*4+3280*4</f>
        <v>27072</v>
      </c>
      <c r="M12" s="15">
        <f t="shared" si="0"/>
        <v>27072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0.45572916666666669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28568</v>
      </c>
      <c r="K13" s="15">
        <f>L13+14284+8352+12576+8310+15524+17860+22424+23088+2420+23364+22844+15980+12148+8056+16415+23304+22652+18028+24560+16004+23972+26116+28148+12884+27980</f>
        <v>475861</v>
      </c>
      <c r="L13" s="15">
        <f>3635*4+3507*4</f>
        <v>28568</v>
      </c>
      <c r="M13" s="15">
        <f t="shared" si="0"/>
        <v>28568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0.45572916666666669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480</v>
      </c>
      <c r="F14" s="30" t="s">
        <v>481</v>
      </c>
      <c r="G14" s="33">
        <v>1</v>
      </c>
      <c r="H14" s="35">
        <v>60</v>
      </c>
      <c r="I14" s="7">
        <v>300</v>
      </c>
      <c r="J14" s="5">
        <v>384</v>
      </c>
      <c r="K14" s="15">
        <f>L14+384</f>
        <v>384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0.45572916666666669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0.45572916666666669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0.45572916666666669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0.45572916666666669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388</v>
      </c>
      <c r="D18" s="52" t="s">
        <v>115</v>
      </c>
      <c r="E18" s="53" t="s">
        <v>495</v>
      </c>
      <c r="F18" s="30" t="s">
        <v>481</v>
      </c>
      <c r="G18" s="33">
        <v>1</v>
      </c>
      <c r="H18" s="35">
        <v>24</v>
      </c>
      <c r="I18" s="7">
        <v>1000</v>
      </c>
      <c r="J18" s="14">
        <v>2713</v>
      </c>
      <c r="K18" s="15">
        <f>L18</f>
        <v>2713</v>
      </c>
      <c r="L18" s="15">
        <f>2069+644</f>
        <v>2713</v>
      </c>
      <c r="M18" s="15">
        <f t="shared" si="0"/>
        <v>2713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/>
      <c r="T18" s="16"/>
      <c r="U18" s="16"/>
      <c r="V18" s="17"/>
      <c r="W18" s="5">
        <v>9</v>
      </c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0.45572916666666669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0.45572916666666669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472</v>
      </c>
      <c r="F20" s="30" t="s">
        <v>129</v>
      </c>
      <c r="G20" s="12">
        <v>1</v>
      </c>
      <c r="H20" s="13">
        <v>28</v>
      </c>
      <c r="I20" s="31">
        <v>5000</v>
      </c>
      <c r="J20" s="5">
        <v>2356</v>
      </c>
      <c r="K20" s="15">
        <f>L20+985</f>
        <v>3341</v>
      </c>
      <c r="L20" s="15">
        <f>1783+573</f>
        <v>2356</v>
      </c>
      <c r="M20" s="15">
        <f t="shared" si="0"/>
        <v>2356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0.45572916666666669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34920</v>
      </c>
      <c r="K21" s="15">
        <f>L21+17656+21428+32268+13436+27116+28000+43600+66580+29616+68476+71048+38268+68612+65844+34196+35828</f>
        <v>696892</v>
      </c>
      <c r="L21" s="15">
        <f>8730*4</f>
        <v>34920</v>
      </c>
      <c r="M21" s="15">
        <f t="shared" si="0"/>
        <v>34920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0.45572916666666669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2704100</v>
      </c>
      <c r="J22" s="19">
        <f t="shared" si="10"/>
        <v>187862</v>
      </c>
      <c r="K22" s="20">
        <f t="shared" si="10"/>
        <v>1604920</v>
      </c>
      <c r="L22" s="21">
        <f t="shared" si="10"/>
        <v>153235</v>
      </c>
      <c r="M22" s="20">
        <f t="shared" si="10"/>
        <v>153235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175</v>
      </c>
      <c r="Q22" s="43">
        <f t="shared" si="11"/>
        <v>209</v>
      </c>
      <c r="R22" s="23">
        <f t="shared" si="11"/>
        <v>24</v>
      </c>
      <c r="S22" s="24">
        <f t="shared" si="11"/>
        <v>10</v>
      </c>
      <c r="T22" s="24">
        <f t="shared" si="11"/>
        <v>10</v>
      </c>
      <c r="U22" s="24">
        <f t="shared" si="11"/>
        <v>0</v>
      </c>
      <c r="V22" s="25">
        <f t="shared" si="11"/>
        <v>12</v>
      </c>
      <c r="W22" s="26">
        <f t="shared" si="11"/>
        <v>81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72</v>
      </c>
      <c r="AB22" s="28">
        <f>AVERAGE(AB6:AB21)</f>
        <v>0.5625</v>
      </c>
      <c r="AC22" s="4">
        <f>AVERAGE(AC6:AC21)</f>
        <v>0.45572916666666669</v>
      </c>
      <c r="AD22" s="4">
        <f>AVERAGE(AD6:AD21)</f>
        <v>0.45572916666666669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496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497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47" t="s">
        <v>46</v>
      </c>
      <c r="D51" s="347" t="s">
        <v>47</v>
      </c>
      <c r="E51" s="347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47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122</v>
      </c>
      <c r="B52" s="509"/>
      <c r="C52" s="346" t="s">
        <v>174</v>
      </c>
      <c r="D52" s="346"/>
      <c r="E52" s="343" t="s">
        <v>493</v>
      </c>
      <c r="F52" s="496" t="s">
        <v>180</v>
      </c>
      <c r="G52" s="497"/>
      <c r="H52" s="497"/>
      <c r="I52" s="497"/>
      <c r="J52" s="497"/>
      <c r="K52" s="497"/>
      <c r="L52" s="497"/>
      <c r="M52" s="498"/>
      <c r="N52" s="342" t="s">
        <v>119</v>
      </c>
      <c r="O52" s="340" t="s">
        <v>277</v>
      </c>
      <c r="P52" s="510" t="s">
        <v>115</v>
      </c>
      <c r="Q52" s="511"/>
      <c r="R52" s="510" t="s">
        <v>472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388</v>
      </c>
      <c r="B53" s="495"/>
      <c r="C53" s="343" t="s">
        <v>187</v>
      </c>
      <c r="D53" s="343" t="s">
        <v>115</v>
      </c>
      <c r="E53" s="343" t="s">
        <v>495</v>
      </c>
      <c r="F53" s="496" t="s">
        <v>180</v>
      </c>
      <c r="G53" s="497"/>
      <c r="H53" s="497"/>
      <c r="I53" s="497"/>
      <c r="J53" s="497"/>
      <c r="K53" s="497"/>
      <c r="L53" s="497"/>
      <c r="M53" s="498"/>
      <c r="N53" s="342" t="s">
        <v>122</v>
      </c>
      <c r="O53" s="340" t="s">
        <v>187</v>
      </c>
      <c r="P53" s="510"/>
      <c r="Q53" s="511"/>
      <c r="R53" s="510" t="s">
        <v>160</v>
      </c>
      <c r="S53" s="512"/>
      <c r="T53" s="512"/>
      <c r="U53" s="511"/>
      <c r="V53" s="480" t="s">
        <v>139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119</v>
      </c>
      <c r="B54" s="495"/>
      <c r="C54" s="343" t="s">
        <v>277</v>
      </c>
      <c r="D54" s="343" t="s">
        <v>115</v>
      </c>
      <c r="E54" s="343" t="s">
        <v>472</v>
      </c>
      <c r="F54" s="496" t="s">
        <v>449</v>
      </c>
      <c r="G54" s="497"/>
      <c r="H54" s="497"/>
      <c r="I54" s="497"/>
      <c r="J54" s="497"/>
      <c r="K54" s="497"/>
      <c r="L54" s="497"/>
      <c r="M54" s="498"/>
      <c r="N54" s="342"/>
      <c r="O54" s="340"/>
      <c r="P54" s="510"/>
      <c r="Q54" s="511"/>
      <c r="R54" s="495"/>
      <c r="S54" s="495"/>
      <c r="T54" s="495"/>
      <c r="U54" s="495"/>
      <c r="V54" s="480"/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/>
      <c r="B55" s="509"/>
      <c r="C55" s="346"/>
      <c r="D55" s="346"/>
      <c r="E55" s="343"/>
      <c r="F55" s="496"/>
      <c r="G55" s="497"/>
      <c r="H55" s="497"/>
      <c r="I55" s="497"/>
      <c r="J55" s="497"/>
      <c r="K55" s="497"/>
      <c r="L55" s="497"/>
      <c r="M55" s="498"/>
      <c r="N55" s="342"/>
      <c r="O55" s="340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/>
      <c r="B56" s="509"/>
      <c r="C56" s="346"/>
      <c r="D56" s="346"/>
      <c r="E56" s="343"/>
      <c r="F56" s="496"/>
      <c r="G56" s="497"/>
      <c r="H56" s="497"/>
      <c r="I56" s="497"/>
      <c r="J56" s="497"/>
      <c r="K56" s="497"/>
      <c r="L56" s="497"/>
      <c r="M56" s="498"/>
      <c r="N56" s="342"/>
      <c r="O56" s="340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343"/>
      <c r="D57" s="343"/>
      <c r="E57" s="343"/>
      <c r="F57" s="496"/>
      <c r="G57" s="497"/>
      <c r="H57" s="497"/>
      <c r="I57" s="497"/>
      <c r="J57" s="497"/>
      <c r="K57" s="497"/>
      <c r="L57" s="497"/>
      <c r="M57" s="498"/>
      <c r="N57" s="342"/>
      <c r="O57" s="340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46"/>
      <c r="D58" s="346"/>
      <c r="E58" s="343"/>
      <c r="F58" s="496"/>
      <c r="G58" s="497"/>
      <c r="H58" s="497"/>
      <c r="I58" s="497"/>
      <c r="J58" s="497"/>
      <c r="K58" s="497"/>
      <c r="L58" s="497"/>
      <c r="M58" s="498"/>
      <c r="N58" s="342"/>
      <c r="O58" s="340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46"/>
      <c r="D59" s="346"/>
      <c r="E59" s="343"/>
      <c r="F59" s="496"/>
      <c r="G59" s="497"/>
      <c r="H59" s="497"/>
      <c r="I59" s="497"/>
      <c r="J59" s="497"/>
      <c r="K59" s="497"/>
      <c r="L59" s="497"/>
      <c r="M59" s="498"/>
      <c r="N59" s="342"/>
      <c r="O59" s="340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43"/>
      <c r="D60" s="343"/>
      <c r="E60" s="343"/>
      <c r="F60" s="496"/>
      <c r="G60" s="497"/>
      <c r="H60" s="497"/>
      <c r="I60" s="497"/>
      <c r="J60" s="497"/>
      <c r="K60" s="497"/>
      <c r="L60" s="497"/>
      <c r="M60" s="498"/>
      <c r="N60" s="342"/>
      <c r="O60" s="340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44"/>
      <c r="D61" s="345"/>
      <c r="E61" s="345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498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41" t="s">
        <v>2</v>
      </c>
      <c r="D63" s="341" t="s">
        <v>37</v>
      </c>
      <c r="E63" s="341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41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/>
      <c r="D64" s="336"/>
      <c r="E64" s="339"/>
      <c r="F64" s="481"/>
      <c r="G64" s="482"/>
      <c r="H64" s="482"/>
      <c r="I64" s="482"/>
      <c r="J64" s="483"/>
      <c r="K64" s="469"/>
      <c r="L64" s="469"/>
      <c r="M64" s="51"/>
      <c r="N64" s="478"/>
      <c r="O64" s="478"/>
      <c r="P64" s="479"/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/>
      <c r="D65" s="336"/>
      <c r="E65" s="339"/>
      <c r="F65" s="481"/>
      <c r="G65" s="482"/>
      <c r="H65" s="482"/>
      <c r="I65" s="482"/>
      <c r="J65" s="483"/>
      <c r="K65" s="469"/>
      <c r="L65" s="469"/>
      <c r="M65" s="51"/>
      <c r="N65" s="478"/>
      <c r="O65" s="478"/>
      <c r="P65" s="479"/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336"/>
      <c r="E66" s="339"/>
      <c r="F66" s="481"/>
      <c r="G66" s="482"/>
      <c r="H66" s="482"/>
      <c r="I66" s="482"/>
      <c r="J66" s="483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336"/>
      <c r="E67" s="339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36"/>
      <c r="E68" s="339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36"/>
      <c r="E69" s="339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36"/>
      <c r="E70" s="339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36"/>
      <c r="E71" s="339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36"/>
      <c r="E72" s="339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36"/>
      <c r="E73" s="339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499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38" t="s">
        <v>2</v>
      </c>
      <c r="D75" s="338" t="s">
        <v>37</v>
      </c>
      <c r="E75" s="338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37" t="s">
        <v>112</v>
      </c>
      <c r="D76" s="337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36"/>
      <c r="D77" s="336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36"/>
      <c r="D78" s="336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36"/>
      <c r="D79" s="336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36"/>
      <c r="D80" s="336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36"/>
      <c r="D81" s="336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36"/>
      <c r="D82" s="336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500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9A6E-AFCF-415B-A2F7-24E208E52DC7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501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349" t="s">
        <v>17</v>
      </c>
      <c r="L5" s="349" t="s">
        <v>18</v>
      </c>
      <c r="M5" s="349" t="s">
        <v>19</v>
      </c>
      <c r="N5" s="34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0.45052083333333337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900</v>
      </c>
      <c r="K7" s="15">
        <f>L7+2355</f>
        <v>3255</v>
      </c>
      <c r="L7" s="15">
        <v>900</v>
      </c>
      <c r="M7" s="15">
        <f t="shared" si="0"/>
        <v>900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>
        <v>20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0.45052083333333337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24492</v>
      </c>
      <c r="K8" s="15">
        <f>L8+23776+23632+22448+10612+24680</f>
        <v>129640</v>
      </c>
      <c r="L8" s="15">
        <f>2988*4+3135*4</f>
        <v>24492</v>
      </c>
      <c r="M8" s="15">
        <f t="shared" si="0"/>
        <v>24492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0.45052083333333337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285</v>
      </c>
      <c r="E9" s="53" t="s">
        <v>469</v>
      </c>
      <c r="F9" s="30" t="s">
        <v>266</v>
      </c>
      <c r="G9" s="33">
        <v>1</v>
      </c>
      <c r="H9" s="35">
        <v>24</v>
      </c>
      <c r="I9" s="7">
        <v>4000</v>
      </c>
      <c r="J9" s="14">
        <v>5483</v>
      </c>
      <c r="K9" s="15">
        <f>L9+4729+5483</f>
        <v>10212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0.45052083333333337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24940</v>
      </c>
      <c r="K10" s="15">
        <f>L10+25196+23668+24836+25088</f>
        <v>123728</v>
      </c>
      <c r="L10" s="15">
        <f>3047*4+3188*4</f>
        <v>24940</v>
      </c>
      <c r="M10" s="15">
        <f t="shared" si="0"/>
        <v>24940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0.45052083333333337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390</v>
      </c>
      <c r="E11" s="53" t="s">
        <v>423</v>
      </c>
      <c r="F11" s="30" t="s">
        <v>402</v>
      </c>
      <c r="G11" s="33">
        <v>10</v>
      </c>
      <c r="H11" s="35">
        <v>24</v>
      </c>
      <c r="I11" s="7">
        <v>60000</v>
      </c>
      <c r="J11" s="14">
        <v>36540</v>
      </c>
      <c r="K11" s="15">
        <f>L11</f>
        <v>36540</v>
      </c>
      <c r="L11" s="15">
        <f>1989*10+1665*10</f>
        <v>36540</v>
      </c>
      <c r="M11" s="15">
        <f t="shared" si="0"/>
        <v>36540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>
        <v>5</v>
      </c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0.45052083333333337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26880</v>
      </c>
      <c r="K12" s="15">
        <f>L12+24356+25828+27100+24476+20768+27072</f>
        <v>176480</v>
      </c>
      <c r="L12" s="15">
        <f>3418*4+3302*4</f>
        <v>26880</v>
      </c>
      <c r="M12" s="15">
        <f t="shared" si="0"/>
        <v>26880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0.45052083333333337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27912</v>
      </c>
      <c r="K13" s="15">
        <f>L13+14284+8352+12576+8310+15524+17860+22424+23088+2420+23364+22844+15980+12148+8056+16415+23304+22652+18028+24560+16004+23972+26116+28148+12884+27980+28568</f>
        <v>503773</v>
      </c>
      <c r="L13" s="15">
        <f>3617*4+3361*4</f>
        <v>27912</v>
      </c>
      <c r="M13" s="15">
        <f t="shared" si="0"/>
        <v>27912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0.45052083333333337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480</v>
      </c>
      <c r="F14" s="30" t="s">
        <v>481</v>
      </c>
      <c r="G14" s="33">
        <v>1</v>
      </c>
      <c r="H14" s="35">
        <v>60</v>
      </c>
      <c r="I14" s="7">
        <v>300</v>
      </c>
      <c r="J14" s="5">
        <v>384</v>
      </c>
      <c r="K14" s="15">
        <f>L14+384</f>
        <v>384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0.45052083333333337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0.45052083333333337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0.45052083333333337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0.45052083333333337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122</v>
      </c>
      <c r="D18" s="52" t="s">
        <v>115</v>
      </c>
      <c r="E18" s="53" t="s">
        <v>160</v>
      </c>
      <c r="F18" s="30" t="s">
        <v>118</v>
      </c>
      <c r="G18" s="33">
        <v>1</v>
      </c>
      <c r="H18" s="35">
        <v>24</v>
      </c>
      <c r="I18" s="7">
        <v>1000</v>
      </c>
      <c r="J18" s="14">
        <v>5098</v>
      </c>
      <c r="K18" s="15">
        <f>L18</f>
        <v>5098</v>
      </c>
      <c r="L18" s="15">
        <f>2291+2807</f>
        <v>5098</v>
      </c>
      <c r="M18" s="15">
        <f t="shared" si="0"/>
        <v>5098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0.45052083333333337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0.45052083333333337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472</v>
      </c>
      <c r="F20" s="30" t="s">
        <v>129</v>
      </c>
      <c r="G20" s="12">
        <v>1</v>
      </c>
      <c r="H20" s="13">
        <v>28</v>
      </c>
      <c r="I20" s="31">
        <v>5000</v>
      </c>
      <c r="J20" s="5">
        <v>4317</v>
      </c>
      <c r="K20" s="15">
        <f>L20+985+2356</f>
        <v>7658</v>
      </c>
      <c r="L20" s="15">
        <f>1785+2532</f>
        <v>4317</v>
      </c>
      <c r="M20" s="15">
        <f t="shared" si="0"/>
        <v>4317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0.45052083333333337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34196</v>
      </c>
      <c r="K21" s="15">
        <f>L21+17656+21428+32268+13436+27116+28000+43600+66580+29616+68476+71048+38268+68612+65844+34196+35828+34920</f>
        <v>731088</v>
      </c>
      <c r="L21" s="15">
        <f>8549*4</f>
        <v>34196</v>
      </c>
      <c r="M21" s="15">
        <f t="shared" si="0"/>
        <v>34196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0.45052083333333337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2762100</v>
      </c>
      <c r="J22" s="19">
        <f t="shared" si="10"/>
        <v>219575</v>
      </c>
      <c r="K22" s="20">
        <f t="shared" si="10"/>
        <v>1781672</v>
      </c>
      <c r="L22" s="21">
        <f t="shared" si="10"/>
        <v>185275</v>
      </c>
      <c r="M22" s="20">
        <f t="shared" si="10"/>
        <v>185275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173</v>
      </c>
      <c r="Q22" s="43">
        <f t="shared" si="11"/>
        <v>211</v>
      </c>
      <c r="R22" s="23">
        <f t="shared" si="11"/>
        <v>29</v>
      </c>
      <c r="S22" s="24">
        <f t="shared" si="11"/>
        <v>25</v>
      </c>
      <c r="T22" s="24">
        <f t="shared" si="11"/>
        <v>1</v>
      </c>
      <c r="U22" s="24">
        <f t="shared" si="11"/>
        <v>0</v>
      </c>
      <c r="V22" s="25">
        <f t="shared" si="11"/>
        <v>12</v>
      </c>
      <c r="W22" s="26">
        <f t="shared" si="11"/>
        <v>72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72</v>
      </c>
      <c r="AB22" s="28">
        <f>AVERAGE(AB6:AB21)</f>
        <v>0.5625</v>
      </c>
      <c r="AC22" s="4">
        <f>AVERAGE(AC6:AC21)</f>
        <v>0.45052083333333337</v>
      </c>
      <c r="AD22" s="4">
        <f>AVERAGE(AD6:AD21)</f>
        <v>0.45052083333333337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502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505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50" t="s">
        <v>46</v>
      </c>
      <c r="D51" s="350" t="s">
        <v>47</v>
      </c>
      <c r="E51" s="350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50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122</v>
      </c>
      <c r="B52" s="509"/>
      <c r="C52" s="351" t="s">
        <v>174</v>
      </c>
      <c r="D52" s="351"/>
      <c r="E52" s="353" t="s">
        <v>493</v>
      </c>
      <c r="F52" s="496" t="s">
        <v>503</v>
      </c>
      <c r="G52" s="497"/>
      <c r="H52" s="497"/>
      <c r="I52" s="497"/>
      <c r="J52" s="497"/>
      <c r="K52" s="497"/>
      <c r="L52" s="497"/>
      <c r="M52" s="498"/>
      <c r="N52" s="352" t="s">
        <v>119</v>
      </c>
      <c r="O52" s="358" t="s">
        <v>280</v>
      </c>
      <c r="P52" s="510" t="s">
        <v>390</v>
      </c>
      <c r="Q52" s="511"/>
      <c r="R52" s="510" t="s">
        <v>423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122</v>
      </c>
      <c r="B53" s="495"/>
      <c r="C53" s="353" t="s">
        <v>187</v>
      </c>
      <c r="D53" s="353"/>
      <c r="E53" s="353" t="s">
        <v>160</v>
      </c>
      <c r="F53" s="496" t="s">
        <v>139</v>
      </c>
      <c r="G53" s="497"/>
      <c r="H53" s="497"/>
      <c r="I53" s="497"/>
      <c r="J53" s="497"/>
      <c r="K53" s="497"/>
      <c r="L53" s="497"/>
      <c r="M53" s="498"/>
      <c r="N53" s="352" t="s">
        <v>122</v>
      </c>
      <c r="O53" s="358" t="s">
        <v>174</v>
      </c>
      <c r="P53" s="510"/>
      <c r="Q53" s="511"/>
      <c r="R53" s="510" t="s">
        <v>493</v>
      </c>
      <c r="S53" s="512"/>
      <c r="T53" s="512"/>
      <c r="U53" s="511"/>
      <c r="V53" s="480" t="s">
        <v>139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119</v>
      </c>
      <c r="B54" s="495"/>
      <c r="C54" s="353" t="s">
        <v>280</v>
      </c>
      <c r="D54" s="353" t="s">
        <v>390</v>
      </c>
      <c r="E54" s="353" t="s">
        <v>423</v>
      </c>
      <c r="F54" s="496" t="s">
        <v>504</v>
      </c>
      <c r="G54" s="497"/>
      <c r="H54" s="497"/>
      <c r="I54" s="497"/>
      <c r="J54" s="497"/>
      <c r="K54" s="497"/>
      <c r="L54" s="497"/>
      <c r="M54" s="498"/>
      <c r="N54" s="352"/>
      <c r="O54" s="358"/>
      <c r="P54" s="510"/>
      <c r="Q54" s="511"/>
      <c r="R54" s="495"/>
      <c r="S54" s="495"/>
      <c r="T54" s="495"/>
      <c r="U54" s="495"/>
      <c r="V54" s="480"/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351" t="s">
        <v>277</v>
      </c>
      <c r="D55" s="351" t="s">
        <v>115</v>
      </c>
      <c r="E55" s="353" t="s">
        <v>472</v>
      </c>
      <c r="F55" s="496" t="s">
        <v>139</v>
      </c>
      <c r="G55" s="497"/>
      <c r="H55" s="497"/>
      <c r="I55" s="497"/>
      <c r="J55" s="497"/>
      <c r="K55" s="497"/>
      <c r="L55" s="497"/>
      <c r="M55" s="498"/>
      <c r="N55" s="352"/>
      <c r="O55" s="358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/>
      <c r="B56" s="509"/>
      <c r="C56" s="351"/>
      <c r="D56" s="351"/>
      <c r="E56" s="353"/>
      <c r="F56" s="496"/>
      <c r="G56" s="497"/>
      <c r="H56" s="497"/>
      <c r="I56" s="497"/>
      <c r="J56" s="497"/>
      <c r="K56" s="497"/>
      <c r="L56" s="497"/>
      <c r="M56" s="498"/>
      <c r="N56" s="352"/>
      <c r="O56" s="358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353"/>
      <c r="D57" s="353"/>
      <c r="E57" s="353"/>
      <c r="F57" s="496"/>
      <c r="G57" s="497"/>
      <c r="H57" s="497"/>
      <c r="I57" s="497"/>
      <c r="J57" s="497"/>
      <c r="K57" s="497"/>
      <c r="L57" s="497"/>
      <c r="M57" s="498"/>
      <c r="N57" s="352"/>
      <c r="O57" s="358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51"/>
      <c r="D58" s="351"/>
      <c r="E58" s="353"/>
      <c r="F58" s="496"/>
      <c r="G58" s="497"/>
      <c r="H58" s="497"/>
      <c r="I58" s="497"/>
      <c r="J58" s="497"/>
      <c r="K58" s="497"/>
      <c r="L58" s="497"/>
      <c r="M58" s="498"/>
      <c r="N58" s="352"/>
      <c r="O58" s="358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51"/>
      <c r="D59" s="351"/>
      <c r="E59" s="353"/>
      <c r="F59" s="496"/>
      <c r="G59" s="497"/>
      <c r="H59" s="497"/>
      <c r="I59" s="497"/>
      <c r="J59" s="497"/>
      <c r="K59" s="497"/>
      <c r="L59" s="497"/>
      <c r="M59" s="498"/>
      <c r="N59" s="352"/>
      <c r="O59" s="358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53"/>
      <c r="D60" s="353"/>
      <c r="E60" s="353"/>
      <c r="F60" s="496"/>
      <c r="G60" s="497"/>
      <c r="H60" s="497"/>
      <c r="I60" s="497"/>
      <c r="J60" s="497"/>
      <c r="K60" s="497"/>
      <c r="L60" s="497"/>
      <c r="M60" s="498"/>
      <c r="N60" s="352"/>
      <c r="O60" s="358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54"/>
      <c r="D61" s="355"/>
      <c r="E61" s="355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506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56" t="s">
        <v>2</v>
      </c>
      <c r="D63" s="356" t="s">
        <v>37</v>
      </c>
      <c r="E63" s="356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56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122</v>
      </c>
      <c r="D64" s="360"/>
      <c r="E64" s="357"/>
      <c r="F64" s="481" t="s">
        <v>507</v>
      </c>
      <c r="G64" s="482"/>
      <c r="H64" s="482"/>
      <c r="I64" s="482"/>
      <c r="J64" s="483"/>
      <c r="K64" s="469" t="s">
        <v>155</v>
      </c>
      <c r="L64" s="469"/>
      <c r="M64" s="51" t="s">
        <v>334</v>
      </c>
      <c r="N64" s="478" t="s">
        <v>181</v>
      </c>
      <c r="O64" s="478"/>
      <c r="P64" s="479">
        <v>100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122</v>
      </c>
      <c r="D65" s="360"/>
      <c r="E65" s="357"/>
      <c r="F65" s="481" t="s">
        <v>508</v>
      </c>
      <c r="G65" s="482"/>
      <c r="H65" s="482"/>
      <c r="I65" s="482"/>
      <c r="J65" s="483"/>
      <c r="K65" s="469" t="s">
        <v>155</v>
      </c>
      <c r="L65" s="469"/>
      <c r="M65" s="51" t="s">
        <v>334</v>
      </c>
      <c r="N65" s="478" t="s">
        <v>181</v>
      </c>
      <c r="O65" s="478"/>
      <c r="P65" s="479">
        <v>100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122</v>
      </c>
      <c r="D66" s="360"/>
      <c r="E66" s="357"/>
      <c r="F66" s="481" t="s">
        <v>509</v>
      </c>
      <c r="G66" s="482"/>
      <c r="H66" s="482"/>
      <c r="I66" s="482"/>
      <c r="J66" s="483"/>
      <c r="K66" s="469" t="s">
        <v>135</v>
      </c>
      <c r="L66" s="469"/>
      <c r="M66" s="51" t="s">
        <v>334</v>
      </c>
      <c r="N66" s="478" t="s">
        <v>358</v>
      </c>
      <c r="O66" s="478"/>
      <c r="P66" s="479">
        <v>100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360"/>
      <c r="E67" s="357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60"/>
      <c r="E68" s="357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60"/>
      <c r="E69" s="357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60"/>
      <c r="E70" s="357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60"/>
      <c r="E71" s="357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60"/>
      <c r="E72" s="357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60"/>
      <c r="E73" s="357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510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59" t="s">
        <v>2</v>
      </c>
      <c r="D75" s="359" t="s">
        <v>37</v>
      </c>
      <c r="E75" s="359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61" t="s">
        <v>112</v>
      </c>
      <c r="D76" s="361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60"/>
      <c r="D77" s="360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60"/>
      <c r="D78" s="360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60"/>
      <c r="D79" s="360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60"/>
      <c r="D80" s="360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60"/>
      <c r="D81" s="360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60"/>
      <c r="D82" s="360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511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88ED-150C-428A-AE62-973BD706A1F7}">
  <dimension ref="A1:AF87"/>
  <sheetViews>
    <sheetView view="pageBreakPreview" zoomScale="70" zoomScaleNormal="72" zoomScaleSheetLayoutView="70" workbookViewId="0">
      <selection activeCell="L17" sqref="L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374" t="s">
        <v>17</v>
      </c>
      <c r="L5" s="374" t="s">
        <v>18</v>
      </c>
      <c r="M5" s="374" t="s">
        <v>19</v>
      </c>
      <c r="N5" s="37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0.42708333333333331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1012</v>
      </c>
      <c r="K7" s="15">
        <f>L7+2355+900</f>
        <v>4267</v>
      </c>
      <c r="L7" s="15">
        <v>1012</v>
      </c>
      <c r="M7" s="15">
        <f t="shared" si="0"/>
        <v>1012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>
        <v>8</v>
      </c>
      <c r="T7" s="16"/>
      <c r="U7" s="16"/>
      <c r="V7" s="17">
        <v>10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0.42708333333333331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25268</v>
      </c>
      <c r="K8" s="15">
        <f>L8+23776+23632+22448+10612+24680+24492</f>
        <v>154908</v>
      </c>
      <c r="L8" s="15">
        <f>3185*4+3132*4</f>
        <v>25268</v>
      </c>
      <c r="M8" s="15">
        <f t="shared" si="0"/>
        <v>25268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0.42708333333333331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137</v>
      </c>
      <c r="E9" s="53" t="s">
        <v>513</v>
      </c>
      <c r="F9" s="30" t="s">
        <v>243</v>
      </c>
      <c r="G9" s="33">
        <v>1</v>
      </c>
      <c r="H9" s="35">
        <v>24</v>
      </c>
      <c r="I9" s="7">
        <v>10000</v>
      </c>
      <c r="J9" s="14">
        <v>3127</v>
      </c>
      <c r="K9" s="15">
        <f>L9</f>
        <v>3127</v>
      </c>
      <c r="L9" s="15">
        <f>335+2792</f>
        <v>3127</v>
      </c>
      <c r="M9" s="15">
        <f t="shared" si="0"/>
        <v>3127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/>
      <c r="T9" s="16"/>
      <c r="U9" s="16"/>
      <c r="V9" s="17"/>
      <c r="W9" s="5"/>
      <c r="X9" s="16"/>
      <c r="Y9" s="16"/>
      <c r="Z9" s="16"/>
      <c r="AA9" s="18">
        <v>7</v>
      </c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0.42708333333333331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25884</v>
      </c>
      <c r="K10" s="15">
        <f>L10+25196+23668+24836+25088+24940</f>
        <v>149612</v>
      </c>
      <c r="L10" s="15">
        <f>3209*4+3262*4</f>
        <v>25884</v>
      </c>
      <c r="M10" s="15">
        <f t="shared" si="0"/>
        <v>25884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0.42708333333333331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390</v>
      </c>
      <c r="E11" s="53" t="s">
        <v>423</v>
      </c>
      <c r="F11" s="30" t="s">
        <v>402</v>
      </c>
      <c r="G11" s="33">
        <v>10</v>
      </c>
      <c r="H11" s="35">
        <v>24</v>
      </c>
      <c r="I11" s="7">
        <v>60000</v>
      </c>
      <c r="J11" s="14">
        <v>59830</v>
      </c>
      <c r="K11" s="15">
        <f>L11+36540</f>
        <v>96370</v>
      </c>
      <c r="L11" s="15">
        <f>3193*10+2790*10</f>
        <v>59830</v>
      </c>
      <c r="M11" s="15">
        <f t="shared" si="0"/>
        <v>59830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>
        <v>3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ref="AD11:AD14" si="9">AC11*AB11*(1-O11)</f>
        <v>0.875</v>
      </c>
      <c r="AE11" s="36">
        <f t="shared" si="7"/>
        <v>0.42708333333333331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9280</v>
      </c>
      <c r="K12" s="15">
        <f>L12+24356+25828+27100+24476+20768+27072+26880</f>
        <v>185760</v>
      </c>
      <c r="L12" s="15">
        <f>2320*4</f>
        <v>9280</v>
      </c>
      <c r="M12" s="15">
        <f t="shared" si="0"/>
        <v>9280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>
        <v>14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9"/>
        <v>0.41666666666666669</v>
      </c>
      <c r="AE12" s="36">
        <f t="shared" si="7"/>
        <v>0.42708333333333331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29148</v>
      </c>
      <c r="K13" s="15">
        <f>L13+14284+8352+12576+8310+15524+17860+22424+23088+2420+23364+22844+15980+12148+8056+16415+23304+22652+18028+24560+16004+23972+26116+28148+12884+27980+28568+27912</f>
        <v>532921</v>
      </c>
      <c r="L13" s="15">
        <f>3630*4+3657*4</f>
        <v>29148</v>
      </c>
      <c r="M13" s="15">
        <f t="shared" si="0"/>
        <v>29148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0.42708333333333331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480</v>
      </c>
      <c r="F14" s="30" t="s">
        <v>481</v>
      </c>
      <c r="G14" s="33">
        <v>1</v>
      </c>
      <c r="H14" s="35">
        <v>60</v>
      </c>
      <c r="I14" s="7">
        <v>300</v>
      </c>
      <c r="J14" s="5">
        <v>384</v>
      </c>
      <c r="K14" s="15">
        <f>L14+384</f>
        <v>384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0.42708333333333331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0.42708333333333331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0.42708333333333331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0.42708333333333331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514</v>
      </c>
      <c r="F18" s="30" t="s">
        <v>129</v>
      </c>
      <c r="G18" s="33">
        <v>1</v>
      </c>
      <c r="H18" s="35">
        <v>24</v>
      </c>
      <c r="I18" s="7">
        <v>100</v>
      </c>
      <c r="J18" s="14">
        <v>100</v>
      </c>
      <c r="K18" s="15">
        <f>L18</f>
        <v>100</v>
      </c>
      <c r="L18" s="15">
        <v>100</v>
      </c>
      <c r="M18" s="15">
        <f t="shared" si="0"/>
        <v>100</v>
      </c>
      <c r="N18" s="15">
        <v>0</v>
      </c>
      <c r="O18" s="58">
        <f t="shared" si="1"/>
        <v>0</v>
      </c>
      <c r="P18" s="39">
        <f t="shared" si="2"/>
        <v>3</v>
      </c>
      <c r="Q18" s="40">
        <f t="shared" si="3"/>
        <v>21</v>
      </c>
      <c r="R18" s="7"/>
      <c r="S18" s="6">
        <v>6</v>
      </c>
      <c r="T18" s="16"/>
      <c r="U18" s="16"/>
      <c r="V18" s="17"/>
      <c r="W18" s="5">
        <v>15</v>
      </c>
      <c r="X18" s="16"/>
      <c r="Y18" s="16"/>
      <c r="Z18" s="16"/>
      <c r="AA18" s="18"/>
      <c r="AB18" s="8">
        <f t="shared" si="4"/>
        <v>1</v>
      </c>
      <c r="AC18" s="9">
        <f t="shared" si="5"/>
        <v>0.125</v>
      </c>
      <c r="AD18" s="10">
        <f t="shared" si="6"/>
        <v>0.125</v>
      </c>
      <c r="AE18" s="36">
        <f t="shared" si="7"/>
        <v>0.42708333333333331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0.42708333333333331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472</v>
      </c>
      <c r="F20" s="30" t="s">
        <v>129</v>
      </c>
      <c r="G20" s="12">
        <v>1</v>
      </c>
      <c r="H20" s="13">
        <v>28</v>
      </c>
      <c r="I20" s="31">
        <v>5000</v>
      </c>
      <c r="J20" s="5">
        <v>4373</v>
      </c>
      <c r="K20" s="15">
        <f>L20+985+2356+4317</f>
        <v>12031</v>
      </c>
      <c r="L20" s="15">
        <f>1854+2519</f>
        <v>4373</v>
      </c>
      <c r="M20" s="15">
        <f t="shared" si="0"/>
        <v>4373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0.42708333333333331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156</v>
      </c>
      <c r="F21" s="12" t="s">
        <v>114</v>
      </c>
      <c r="G21" s="12">
        <v>4</v>
      </c>
      <c r="H21" s="35">
        <v>20</v>
      </c>
      <c r="I21" s="7">
        <v>500000</v>
      </c>
      <c r="J21" s="14">
        <v>36056</v>
      </c>
      <c r="K21" s="15">
        <f>L21+17656+21428+32268+13436+27116+28000+43600+66580+29616+68476+71048+38268+68612+65844+34196+35828+34920+34196</f>
        <v>767144</v>
      </c>
      <c r="L21" s="15">
        <f>9014*4</f>
        <v>36056</v>
      </c>
      <c r="M21" s="15">
        <f t="shared" si="0"/>
        <v>36056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0.42708333333333331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2767200</v>
      </c>
      <c r="J22" s="19">
        <f t="shared" si="10"/>
        <v>222895</v>
      </c>
      <c r="K22" s="20">
        <f t="shared" si="10"/>
        <v>1960440</v>
      </c>
      <c r="L22" s="21">
        <f t="shared" si="10"/>
        <v>194078</v>
      </c>
      <c r="M22" s="20">
        <f t="shared" si="10"/>
        <v>194078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164</v>
      </c>
      <c r="Q22" s="43">
        <f t="shared" si="11"/>
        <v>220</v>
      </c>
      <c r="R22" s="23">
        <f t="shared" si="11"/>
        <v>27</v>
      </c>
      <c r="S22" s="24">
        <f t="shared" si="11"/>
        <v>29</v>
      </c>
      <c r="T22" s="24">
        <f t="shared" si="11"/>
        <v>0</v>
      </c>
      <c r="U22" s="24">
        <f t="shared" si="11"/>
        <v>0</v>
      </c>
      <c r="V22" s="25">
        <f t="shared" si="11"/>
        <v>22</v>
      </c>
      <c r="W22" s="26">
        <f t="shared" si="11"/>
        <v>87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55</v>
      </c>
      <c r="AB22" s="28">
        <f>AVERAGE(AB6:AB21)</f>
        <v>0.625</v>
      </c>
      <c r="AC22" s="4">
        <f>AVERAGE(AC6:AC21)</f>
        <v>0.42708333333333331</v>
      </c>
      <c r="AD22" s="4">
        <f>AVERAGE(AD6:AD21)</f>
        <v>0.42708333333333331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515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516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73" t="s">
        <v>46</v>
      </c>
      <c r="D51" s="373" t="s">
        <v>47</v>
      </c>
      <c r="E51" s="373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73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122</v>
      </c>
      <c r="B52" s="509"/>
      <c r="C52" s="372" t="s">
        <v>174</v>
      </c>
      <c r="D52" s="372"/>
      <c r="E52" s="369" t="s">
        <v>493</v>
      </c>
      <c r="F52" s="496" t="s">
        <v>139</v>
      </c>
      <c r="G52" s="497"/>
      <c r="H52" s="497"/>
      <c r="I52" s="497"/>
      <c r="J52" s="497"/>
      <c r="K52" s="497"/>
      <c r="L52" s="497"/>
      <c r="M52" s="498"/>
      <c r="N52" s="368" t="s">
        <v>120</v>
      </c>
      <c r="O52" s="366" t="s">
        <v>149</v>
      </c>
      <c r="P52" s="510" t="s">
        <v>115</v>
      </c>
      <c r="Q52" s="511"/>
      <c r="R52" s="510" t="s">
        <v>232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120</v>
      </c>
      <c r="B53" s="495"/>
      <c r="C53" s="369" t="s">
        <v>149</v>
      </c>
      <c r="D53" s="369" t="s">
        <v>115</v>
      </c>
      <c r="E53" s="369" t="s">
        <v>232</v>
      </c>
      <c r="F53" s="496" t="s">
        <v>207</v>
      </c>
      <c r="G53" s="497"/>
      <c r="H53" s="497"/>
      <c r="I53" s="497"/>
      <c r="J53" s="497"/>
      <c r="K53" s="497"/>
      <c r="L53" s="497"/>
      <c r="M53" s="498"/>
      <c r="N53" s="368" t="s">
        <v>120</v>
      </c>
      <c r="O53" s="366" t="s">
        <v>212</v>
      </c>
      <c r="P53" s="510" t="s">
        <v>136</v>
      </c>
      <c r="Q53" s="511"/>
      <c r="R53" s="510" t="s">
        <v>209</v>
      </c>
      <c r="S53" s="512"/>
      <c r="T53" s="512"/>
      <c r="U53" s="511"/>
      <c r="V53" s="480" t="s">
        <v>296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119</v>
      </c>
      <c r="B54" s="495"/>
      <c r="C54" s="369" t="s">
        <v>280</v>
      </c>
      <c r="D54" s="369" t="s">
        <v>390</v>
      </c>
      <c r="E54" s="369" t="s">
        <v>423</v>
      </c>
      <c r="F54" s="496" t="s">
        <v>139</v>
      </c>
      <c r="G54" s="497"/>
      <c r="H54" s="497"/>
      <c r="I54" s="497"/>
      <c r="J54" s="497"/>
      <c r="K54" s="497"/>
      <c r="L54" s="497"/>
      <c r="M54" s="498"/>
      <c r="N54" s="368" t="s">
        <v>112</v>
      </c>
      <c r="O54" s="366" t="s">
        <v>187</v>
      </c>
      <c r="P54" s="510" t="s">
        <v>137</v>
      </c>
      <c r="Q54" s="511"/>
      <c r="R54" s="495" t="s">
        <v>204</v>
      </c>
      <c r="S54" s="495"/>
      <c r="T54" s="495"/>
      <c r="U54" s="495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372" t="s">
        <v>277</v>
      </c>
      <c r="D55" s="372" t="s">
        <v>115</v>
      </c>
      <c r="E55" s="369" t="s">
        <v>472</v>
      </c>
      <c r="F55" s="496" t="s">
        <v>139</v>
      </c>
      <c r="G55" s="497"/>
      <c r="H55" s="497"/>
      <c r="I55" s="497"/>
      <c r="J55" s="497"/>
      <c r="K55" s="497"/>
      <c r="L55" s="497"/>
      <c r="M55" s="498"/>
      <c r="N55" s="368" t="s">
        <v>113</v>
      </c>
      <c r="O55" s="366" t="s">
        <v>193</v>
      </c>
      <c r="P55" s="510"/>
      <c r="Q55" s="511"/>
      <c r="R55" s="510" t="s">
        <v>517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508" t="s">
        <v>119</v>
      </c>
      <c r="B56" s="509"/>
      <c r="C56" s="372" t="s">
        <v>181</v>
      </c>
      <c r="D56" s="372" t="s">
        <v>137</v>
      </c>
      <c r="E56" s="369" t="s">
        <v>513</v>
      </c>
      <c r="F56" s="496" t="s">
        <v>180</v>
      </c>
      <c r="G56" s="497"/>
      <c r="H56" s="497"/>
      <c r="I56" s="497"/>
      <c r="J56" s="497"/>
      <c r="K56" s="497"/>
      <c r="L56" s="497"/>
      <c r="M56" s="498"/>
      <c r="N56" s="368"/>
      <c r="O56" s="366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112</v>
      </c>
      <c r="B57" s="495"/>
      <c r="C57" s="369" t="s">
        <v>187</v>
      </c>
      <c r="D57" s="369" t="s">
        <v>115</v>
      </c>
      <c r="E57" s="369" t="s">
        <v>514</v>
      </c>
      <c r="F57" s="496" t="s">
        <v>208</v>
      </c>
      <c r="G57" s="497"/>
      <c r="H57" s="497"/>
      <c r="I57" s="497"/>
      <c r="J57" s="497"/>
      <c r="K57" s="497"/>
      <c r="L57" s="497"/>
      <c r="M57" s="498"/>
      <c r="N57" s="368"/>
      <c r="O57" s="366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72"/>
      <c r="D58" s="372"/>
      <c r="E58" s="369"/>
      <c r="F58" s="496"/>
      <c r="G58" s="497"/>
      <c r="H58" s="497"/>
      <c r="I58" s="497"/>
      <c r="J58" s="497"/>
      <c r="K58" s="497"/>
      <c r="L58" s="497"/>
      <c r="M58" s="498"/>
      <c r="N58" s="368"/>
      <c r="O58" s="366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72"/>
      <c r="D59" s="372"/>
      <c r="E59" s="369"/>
      <c r="F59" s="496"/>
      <c r="G59" s="497"/>
      <c r="H59" s="497"/>
      <c r="I59" s="497"/>
      <c r="J59" s="497"/>
      <c r="K59" s="497"/>
      <c r="L59" s="497"/>
      <c r="M59" s="498"/>
      <c r="N59" s="368"/>
      <c r="O59" s="366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69"/>
      <c r="D60" s="369"/>
      <c r="E60" s="369"/>
      <c r="F60" s="496"/>
      <c r="G60" s="497"/>
      <c r="H60" s="497"/>
      <c r="I60" s="497"/>
      <c r="J60" s="497"/>
      <c r="K60" s="497"/>
      <c r="L60" s="497"/>
      <c r="M60" s="498"/>
      <c r="N60" s="368"/>
      <c r="O60" s="366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70"/>
      <c r="D61" s="371"/>
      <c r="E61" s="371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518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67" t="s">
        <v>2</v>
      </c>
      <c r="D63" s="367" t="s">
        <v>37</v>
      </c>
      <c r="E63" s="367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67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112</v>
      </c>
      <c r="D64" s="362"/>
      <c r="E64" s="365"/>
      <c r="F64" s="481" t="s">
        <v>519</v>
      </c>
      <c r="G64" s="482"/>
      <c r="H64" s="482"/>
      <c r="I64" s="482"/>
      <c r="J64" s="483"/>
      <c r="K64" s="469" t="s">
        <v>266</v>
      </c>
      <c r="L64" s="469"/>
      <c r="M64" s="51" t="s">
        <v>334</v>
      </c>
      <c r="N64" s="478" t="s">
        <v>181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112</v>
      </c>
      <c r="D65" s="362"/>
      <c r="E65" s="365"/>
      <c r="F65" s="481" t="s">
        <v>317</v>
      </c>
      <c r="G65" s="482"/>
      <c r="H65" s="482"/>
      <c r="I65" s="482"/>
      <c r="J65" s="483"/>
      <c r="K65" s="469">
        <v>7301</v>
      </c>
      <c r="L65" s="469"/>
      <c r="M65" s="51" t="s">
        <v>334</v>
      </c>
      <c r="N65" s="478" t="s">
        <v>187</v>
      </c>
      <c r="O65" s="478"/>
      <c r="P65" s="479">
        <v>200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362"/>
      <c r="E66" s="365"/>
      <c r="F66" s="481"/>
      <c r="G66" s="482"/>
      <c r="H66" s="482"/>
      <c r="I66" s="482"/>
      <c r="J66" s="483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362"/>
      <c r="E67" s="365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62"/>
      <c r="E68" s="365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62"/>
      <c r="E69" s="365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62"/>
      <c r="E70" s="365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62"/>
      <c r="E71" s="365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62"/>
      <c r="E72" s="365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62"/>
      <c r="E73" s="365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520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64" t="s">
        <v>2</v>
      </c>
      <c r="D75" s="364" t="s">
        <v>37</v>
      </c>
      <c r="E75" s="364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63" t="s">
        <v>112</v>
      </c>
      <c r="D76" s="363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62"/>
      <c r="D77" s="362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62"/>
      <c r="D78" s="362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62"/>
      <c r="D79" s="362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62"/>
      <c r="D80" s="362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62"/>
      <c r="D81" s="362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62"/>
      <c r="D82" s="362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521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C62C-4F2D-467E-A764-0C398C437C5A}">
  <dimension ref="A1:AF87"/>
  <sheetViews>
    <sheetView view="pageBreakPreview" zoomScale="70" zoomScaleNormal="72" zoomScaleSheetLayoutView="70" workbookViewId="0">
      <selection activeCell="V17" sqref="V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522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375" t="s">
        <v>17</v>
      </c>
      <c r="L5" s="375" t="s">
        <v>18</v>
      </c>
      <c r="M5" s="375" t="s">
        <v>19</v>
      </c>
      <c r="N5" s="37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0.35156249999999994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1012</v>
      </c>
      <c r="K7" s="15">
        <f>L7+2355+900+1012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0.35156249999999994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13104</v>
      </c>
      <c r="K8" s="15">
        <f>L8+23776+23632+22448+10612+24680+24492+25268</f>
        <v>168012</v>
      </c>
      <c r="L8" s="15">
        <f>2902*4+374*4</f>
        <v>13104</v>
      </c>
      <c r="M8" s="15">
        <f t="shared" si="0"/>
        <v>13104</v>
      </c>
      <c r="N8" s="15">
        <v>0</v>
      </c>
      <c r="O8" s="58">
        <f t="shared" si="1"/>
        <v>0</v>
      </c>
      <c r="P8" s="39">
        <f t="shared" si="2"/>
        <v>16</v>
      </c>
      <c r="Q8" s="40">
        <f t="shared" si="3"/>
        <v>8</v>
      </c>
      <c r="R8" s="7"/>
      <c r="S8" s="6">
        <v>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6">
        <f t="shared" si="7"/>
        <v>0.35156249999999994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137</v>
      </c>
      <c r="E9" s="53" t="s">
        <v>513</v>
      </c>
      <c r="F9" s="30" t="s">
        <v>243</v>
      </c>
      <c r="G9" s="33">
        <v>1</v>
      </c>
      <c r="H9" s="35">
        <v>24</v>
      </c>
      <c r="I9" s="7">
        <v>10000</v>
      </c>
      <c r="J9" s="14">
        <v>3993</v>
      </c>
      <c r="K9" s="15">
        <f>L9+3127</f>
        <v>7120</v>
      </c>
      <c r="L9" s="15">
        <f>1605+2388</f>
        <v>3993</v>
      </c>
      <c r="M9" s="15">
        <f t="shared" si="0"/>
        <v>3993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0.35156249999999994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1424</v>
      </c>
      <c r="K10" s="15">
        <f>L10+25196+23668+24836+25088+24940+25884</f>
        <v>151036</v>
      </c>
      <c r="L10" s="15">
        <f>356*4</f>
        <v>1424</v>
      </c>
      <c r="M10" s="15">
        <f t="shared" si="0"/>
        <v>1424</v>
      </c>
      <c r="N10" s="15">
        <v>0</v>
      </c>
      <c r="O10" s="58">
        <f t="shared" si="1"/>
        <v>0</v>
      </c>
      <c r="P10" s="39">
        <f t="shared" si="2"/>
        <v>2</v>
      </c>
      <c r="Q10" s="40">
        <f t="shared" si="3"/>
        <v>22</v>
      </c>
      <c r="R10" s="7"/>
      <c r="S10" s="6">
        <v>22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8.3333333333333329E-2</v>
      </c>
      <c r="AD10" s="10">
        <f>AC10*AB10*(1-O10)</f>
        <v>8.3333333333333329E-2</v>
      </c>
      <c r="AE10" s="36">
        <f t="shared" si="7"/>
        <v>0.35156249999999994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390</v>
      </c>
      <c r="E11" s="53" t="s">
        <v>423</v>
      </c>
      <c r="F11" s="30" t="s">
        <v>402</v>
      </c>
      <c r="G11" s="33">
        <v>10</v>
      </c>
      <c r="H11" s="35">
        <v>24</v>
      </c>
      <c r="I11" s="7">
        <v>60000</v>
      </c>
      <c r="J11" s="14">
        <v>45420</v>
      </c>
      <c r="K11" s="15">
        <f>L11+36540+59830</f>
        <v>141790</v>
      </c>
      <c r="L11" s="15">
        <f>1759*10+2783*10</f>
        <v>45420</v>
      </c>
      <c r="M11" s="15">
        <f t="shared" si="0"/>
        <v>45420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/>
      <c r="T11" s="16"/>
      <c r="U11" s="16"/>
      <c r="V11" s="17"/>
      <c r="W11" s="5">
        <v>4</v>
      </c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ref="AD11:AD14" si="9">AC11*AB11*(1-O11)</f>
        <v>0.83333333333333337</v>
      </c>
      <c r="AE11" s="36">
        <f t="shared" si="7"/>
        <v>0.35156249999999994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9984</v>
      </c>
      <c r="K12" s="15">
        <f>L12+24356+25828+27100+24476+20768+27072+26880+9280</f>
        <v>195744</v>
      </c>
      <c r="L12" s="15">
        <f>3328*3</f>
        <v>9984</v>
      </c>
      <c r="M12" s="15">
        <f t="shared" si="0"/>
        <v>9984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si="9"/>
        <v>0.54166666666666663</v>
      </c>
      <c r="AE12" s="36">
        <f t="shared" si="7"/>
        <v>0.35156249999999994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22636</v>
      </c>
      <c r="K13" s="15">
        <f>L13+14284+8352+12576+8310+15524+17860+22424+23088+2420+23364+22844+15980+12148+8056+16415+23304+22652+18028+24560+16004+23972+26116+28148+12884+27980+28568+27912+29148</f>
        <v>555557</v>
      </c>
      <c r="L13" s="15">
        <f>3198*4+2461*4</f>
        <v>22636</v>
      </c>
      <c r="M13" s="15">
        <f t="shared" si="0"/>
        <v>22636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>AC13*AB13*(1-O13)</f>
        <v>0.95833333333333337</v>
      </c>
      <c r="AE13" s="36">
        <f t="shared" si="7"/>
        <v>0.35156249999999994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480</v>
      </c>
      <c r="F14" s="30" t="s">
        <v>481</v>
      </c>
      <c r="G14" s="33">
        <v>1</v>
      </c>
      <c r="H14" s="35">
        <v>60</v>
      </c>
      <c r="I14" s="7">
        <v>300</v>
      </c>
      <c r="J14" s="5">
        <v>384</v>
      </c>
      <c r="K14" s="15">
        <f>L14+384</f>
        <v>384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0.35156249999999994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0.35156249999999994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0.35156249999999994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285</v>
      </c>
      <c r="E17" s="53" t="s">
        <v>378</v>
      </c>
      <c r="F17" s="30" t="s">
        <v>287</v>
      </c>
      <c r="G17" s="12">
        <v>2</v>
      </c>
      <c r="H17" s="13">
        <v>24</v>
      </c>
      <c r="I17" s="7">
        <v>10000</v>
      </c>
      <c r="J17" s="14">
        <v>7654</v>
      </c>
      <c r="K17" s="15">
        <f>L17+7654</f>
        <v>7654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0.35156249999999994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281</v>
      </c>
      <c r="E18" s="53" t="s">
        <v>523</v>
      </c>
      <c r="F18" s="30" t="s">
        <v>293</v>
      </c>
      <c r="G18" s="33">
        <v>2</v>
      </c>
      <c r="H18" s="35">
        <v>24</v>
      </c>
      <c r="I18" s="7">
        <v>1000</v>
      </c>
      <c r="J18" s="14">
        <v>2000</v>
      </c>
      <c r="K18" s="15">
        <f>L18</f>
        <v>2000</v>
      </c>
      <c r="L18" s="15">
        <v>2000</v>
      </c>
      <c r="M18" s="15">
        <f t="shared" si="0"/>
        <v>2000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18</v>
      </c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0.35156249999999994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0.35156249999999994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472</v>
      </c>
      <c r="F20" s="30" t="s">
        <v>129</v>
      </c>
      <c r="G20" s="12">
        <v>1</v>
      </c>
      <c r="H20" s="13">
        <v>28</v>
      </c>
      <c r="I20" s="31">
        <v>5000</v>
      </c>
      <c r="J20" s="5">
        <v>4814</v>
      </c>
      <c r="K20" s="15">
        <f>L20+985+2356+4317+4373</f>
        <v>16845</v>
      </c>
      <c r="L20" s="15">
        <f>2308+2506</f>
        <v>4814</v>
      </c>
      <c r="M20" s="15">
        <f t="shared" si="0"/>
        <v>4814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0.35156249999999994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524</v>
      </c>
      <c r="F21" s="12" t="s">
        <v>114</v>
      </c>
      <c r="G21" s="12">
        <v>4</v>
      </c>
      <c r="H21" s="35">
        <v>20</v>
      </c>
      <c r="I21" s="7">
        <v>300000</v>
      </c>
      <c r="J21" s="14">
        <v>28012</v>
      </c>
      <c r="K21" s="15">
        <f>L21</f>
        <v>28012</v>
      </c>
      <c r="L21" s="15">
        <f>7003*4</f>
        <v>28012</v>
      </c>
      <c r="M21" s="15">
        <f t="shared" si="0"/>
        <v>28012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>
        <v>1</v>
      </c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0.35156249999999994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2568100</v>
      </c>
      <c r="J22" s="19">
        <f t="shared" si="10"/>
        <v>161216</v>
      </c>
      <c r="K22" s="20">
        <f t="shared" si="10"/>
        <v>1324583</v>
      </c>
      <c r="L22" s="21">
        <f t="shared" si="10"/>
        <v>131387</v>
      </c>
      <c r="M22" s="20">
        <f t="shared" si="10"/>
        <v>131387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135</v>
      </c>
      <c r="Q22" s="43">
        <f t="shared" si="11"/>
        <v>249</v>
      </c>
      <c r="R22" s="23">
        <f t="shared" si="11"/>
        <v>24</v>
      </c>
      <c r="S22" s="24">
        <f t="shared" si="11"/>
        <v>46</v>
      </c>
      <c r="T22" s="24">
        <f t="shared" si="11"/>
        <v>1</v>
      </c>
      <c r="U22" s="24">
        <f t="shared" si="11"/>
        <v>0</v>
      </c>
      <c r="V22" s="25">
        <f t="shared" si="11"/>
        <v>36</v>
      </c>
      <c r="W22" s="26">
        <f t="shared" si="11"/>
        <v>52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90</v>
      </c>
      <c r="AB22" s="28">
        <f>AVERAGE(AB6:AB21)</f>
        <v>0.5625</v>
      </c>
      <c r="AC22" s="4">
        <f>AVERAGE(AC6:AC21)</f>
        <v>0.35156249999999994</v>
      </c>
      <c r="AD22" s="4">
        <f>AVERAGE(AD6:AD21)</f>
        <v>0.35156249999999994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525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530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76" t="s">
        <v>46</v>
      </c>
      <c r="D51" s="376" t="s">
        <v>47</v>
      </c>
      <c r="E51" s="376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76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120</v>
      </c>
      <c r="B52" s="509"/>
      <c r="C52" s="377" t="s">
        <v>212</v>
      </c>
      <c r="D52" s="377" t="s">
        <v>527</v>
      </c>
      <c r="E52" s="379" t="s">
        <v>209</v>
      </c>
      <c r="F52" s="496" t="s">
        <v>296</v>
      </c>
      <c r="G52" s="497"/>
      <c r="H52" s="497"/>
      <c r="I52" s="497"/>
      <c r="J52" s="497"/>
      <c r="K52" s="497"/>
      <c r="L52" s="497"/>
      <c r="M52" s="498"/>
      <c r="N52" s="378" t="s">
        <v>120</v>
      </c>
      <c r="O52" s="384" t="s">
        <v>149</v>
      </c>
      <c r="P52" s="510" t="s">
        <v>115</v>
      </c>
      <c r="Q52" s="511"/>
      <c r="R52" s="510" t="s">
        <v>232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120</v>
      </c>
      <c r="B53" s="495"/>
      <c r="C53" s="379" t="s">
        <v>149</v>
      </c>
      <c r="D53" s="379" t="s">
        <v>115</v>
      </c>
      <c r="E53" s="379" t="s">
        <v>232</v>
      </c>
      <c r="F53" s="496" t="s">
        <v>526</v>
      </c>
      <c r="G53" s="497"/>
      <c r="H53" s="497"/>
      <c r="I53" s="497"/>
      <c r="J53" s="497"/>
      <c r="K53" s="497"/>
      <c r="L53" s="497"/>
      <c r="M53" s="498"/>
      <c r="N53" s="378" t="s">
        <v>112</v>
      </c>
      <c r="O53" s="384" t="s">
        <v>280</v>
      </c>
      <c r="P53" s="510" t="s">
        <v>137</v>
      </c>
      <c r="Q53" s="511"/>
      <c r="R53" s="495" t="s">
        <v>204</v>
      </c>
      <c r="S53" s="495"/>
      <c r="T53" s="495"/>
      <c r="U53" s="495"/>
      <c r="V53" s="480" t="s">
        <v>532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120</v>
      </c>
      <c r="B54" s="495"/>
      <c r="C54" s="379" t="s">
        <v>177</v>
      </c>
      <c r="D54" s="379" t="s">
        <v>115</v>
      </c>
      <c r="E54" s="379" t="s">
        <v>142</v>
      </c>
      <c r="F54" s="496" t="s">
        <v>528</v>
      </c>
      <c r="G54" s="497"/>
      <c r="H54" s="497"/>
      <c r="I54" s="497"/>
      <c r="J54" s="497"/>
      <c r="K54" s="497"/>
      <c r="L54" s="497"/>
      <c r="M54" s="498"/>
      <c r="N54" s="378" t="s">
        <v>119</v>
      </c>
      <c r="O54" s="384" t="s">
        <v>184</v>
      </c>
      <c r="P54" s="510" t="s">
        <v>128</v>
      </c>
      <c r="Q54" s="511"/>
      <c r="R54" s="495" t="s">
        <v>533</v>
      </c>
      <c r="S54" s="495"/>
      <c r="T54" s="495"/>
      <c r="U54" s="495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377" t="s">
        <v>181</v>
      </c>
      <c r="D55" s="377" t="s">
        <v>137</v>
      </c>
      <c r="E55" s="379" t="s">
        <v>513</v>
      </c>
      <c r="F55" s="496" t="s">
        <v>529</v>
      </c>
      <c r="G55" s="497"/>
      <c r="H55" s="497"/>
      <c r="I55" s="497"/>
      <c r="J55" s="497"/>
      <c r="K55" s="497"/>
      <c r="L55" s="497"/>
      <c r="M55" s="498"/>
      <c r="N55" s="378" t="s">
        <v>119</v>
      </c>
      <c r="O55" s="384" t="s">
        <v>181</v>
      </c>
      <c r="P55" s="510" t="s">
        <v>137</v>
      </c>
      <c r="Q55" s="511"/>
      <c r="R55" s="510" t="s">
        <v>513</v>
      </c>
      <c r="S55" s="512"/>
      <c r="T55" s="512"/>
      <c r="U55" s="511"/>
      <c r="V55" s="480" t="s">
        <v>139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494" t="s">
        <v>112</v>
      </c>
      <c r="B56" s="495"/>
      <c r="C56" s="379" t="s">
        <v>187</v>
      </c>
      <c r="D56" s="379" t="s">
        <v>137</v>
      </c>
      <c r="E56" s="379" t="s">
        <v>204</v>
      </c>
      <c r="F56" s="496" t="s">
        <v>324</v>
      </c>
      <c r="G56" s="497"/>
      <c r="H56" s="497"/>
      <c r="I56" s="497"/>
      <c r="J56" s="497"/>
      <c r="K56" s="497"/>
      <c r="L56" s="497"/>
      <c r="M56" s="498"/>
      <c r="N56" s="378"/>
      <c r="O56" s="384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120</v>
      </c>
      <c r="B57" s="495"/>
      <c r="C57" s="379" t="s">
        <v>346</v>
      </c>
      <c r="D57" s="379" t="s">
        <v>137</v>
      </c>
      <c r="E57" s="379" t="s">
        <v>141</v>
      </c>
      <c r="F57" s="496" t="s">
        <v>531</v>
      </c>
      <c r="G57" s="497"/>
      <c r="H57" s="497"/>
      <c r="I57" s="497"/>
      <c r="J57" s="497"/>
      <c r="K57" s="497"/>
      <c r="L57" s="497"/>
      <c r="M57" s="498"/>
      <c r="N57" s="378"/>
      <c r="O57" s="384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 t="s">
        <v>113</v>
      </c>
      <c r="B58" s="509"/>
      <c r="C58" s="377" t="s">
        <v>193</v>
      </c>
      <c r="D58" s="377"/>
      <c r="E58" s="379" t="s">
        <v>524</v>
      </c>
      <c r="F58" s="496" t="s">
        <v>180</v>
      </c>
      <c r="G58" s="497"/>
      <c r="H58" s="497"/>
      <c r="I58" s="497"/>
      <c r="J58" s="497"/>
      <c r="K58" s="497"/>
      <c r="L58" s="497"/>
      <c r="M58" s="498"/>
      <c r="N58" s="378"/>
      <c r="O58" s="384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77"/>
      <c r="D59" s="377"/>
      <c r="E59" s="379"/>
      <c r="F59" s="496"/>
      <c r="G59" s="497"/>
      <c r="H59" s="497"/>
      <c r="I59" s="497"/>
      <c r="J59" s="497"/>
      <c r="K59" s="497"/>
      <c r="L59" s="497"/>
      <c r="M59" s="498"/>
      <c r="N59" s="378"/>
      <c r="O59" s="384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79"/>
      <c r="D60" s="379"/>
      <c r="E60" s="379"/>
      <c r="F60" s="496"/>
      <c r="G60" s="497"/>
      <c r="H60" s="497"/>
      <c r="I60" s="497"/>
      <c r="J60" s="497"/>
      <c r="K60" s="497"/>
      <c r="L60" s="497"/>
      <c r="M60" s="498"/>
      <c r="N60" s="378"/>
      <c r="O60" s="384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80"/>
      <c r="D61" s="381"/>
      <c r="E61" s="381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534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82" t="s">
        <v>2</v>
      </c>
      <c r="D63" s="382" t="s">
        <v>37</v>
      </c>
      <c r="E63" s="382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82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386"/>
      <c r="E64" s="383" t="s">
        <v>115</v>
      </c>
      <c r="F64" s="481" t="s">
        <v>300</v>
      </c>
      <c r="G64" s="482"/>
      <c r="H64" s="482"/>
      <c r="I64" s="482"/>
      <c r="J64" s="483"/>
      <c r="K64" s="469" t="s">
        <v>118</v>
      </c>
      <c r="L64" s="469"/>
      <c r="M64" s="51" t="s">
        <v>140</v>
      </c>
      <c r="N64" s="478" t="s">
        <v>187</v>
      </c>
      <c r="O64" s="478"/>
      <c r="P64" s="479">
        <v>50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119</v>
      </c>
      <c r="D65" s="386"/>
      <c r="E65" s="383" t="s">
        <v>281</v>
      </c>
      <c r="F65" s="481" t="s">
        <v>523</v>
      </c>
      <c r="G65" s="482"/>
      <c r="H65" s="482"/>
      <c r="I65" s="482"/>
      <c r="J65" s="483"/>
      <c r="K65" s="469" t="s">
        <v>293</v>
      </c>
      <c r="L65" s="469"/>
      <c r="M65" s="51" t="s">
        <v>476</v>
      </c>
      <c r="N65" s="478" t="s">
        <v>187</v>
      </c>
      <c r="O65" s="478"/>
      <c r="P65" s="479">
        <v>200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388</v>
      </c>
      <c r="D66" s="386"/>
      <c r="E66" s="383" t="s">
        <v>115</v>
      </c>
      <c r="F66" s="481" t="s">
        <v>535</v>
      </c>
      <c r="G66" s="482"/>
      <c r="H66" s="482"/>
      <c r="I66" s="482"/>
      <c r="J66" s="483"/>
      <c r="K66" s="469" t="s">
        <v>377</v>
      </c>
      <c r="L66" s="469"/>
      <c r="M66" s="51" t="s">
        <v>140</v>
      </c>
      <c r="N66" s="478" t="s">
        <v>224</v>
      </c>
      <c r="O66" s="478"/>
      <c r="P66" s="479">
        <v>50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 t="s">
        <v>388</v>
      </c>
      <c r="D67" s="386"/>
      <c r="E67" s="383" t="s">
        <v>537</v>
      </c>
      <c r="F67" s="481" t="s">
        <v>536</v>
      </c>
      <c r="G67" s="482"/>
      <c r="H67" s="482"/>
      <c r="I67" s="482"/>
      <c r="J67" s="483"/>
      <c r="K67" s="469">
        <v>7301</v>
      </c>
      <c r="L67" s="469"/>
      <c r="M67" s="51" t="s">
        <v>140</v>
      </c>
      <c r="N67" s="478" t="s">
        <v>224</v>
      </c>
      <c r="O67" s="478"/>
      <c r="P67" s="479">
        <v>50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86"/>
      <c r="E68" s="383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86"/>
      <c r="E69" s="383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86"/>
      <c r="E70" s="383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86"/>
      <c r="E71" s="383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86"/>
      <c r="E72" s="383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86"/>
      <c r="E73" s="383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538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85" t="s">
        <v>2</v>
      </c>
      <c r="D75" s="385" t="s">
        <v>37</v>
      </c>
      <c r="E75" s="385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87" t="s">
        <v>112</v>
      </c>
      <c r="D76" s="387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86"/>
      <c r="D77" s="386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86"/>
      <c r="D78" s="386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86"/>
      <c r="D79" s="386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86"/>
      <c r="D80" s="386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86"/>
      <c r="D81" s="386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86"/>
      <c r="D82" s="386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539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B75D-BF45-4B26-8157-8BFF9EE28A4D}">
  <dimension ref="A1:AF87"/>
  <sheetViews>
    <sheetView view="pageBreakPreview" topLeftCell="A16" zoomScale="70" zoomScaleNormal="72" zoomScaleSheetLayoutView="70" workbookViewId="0">
      <selection activeCell="U18" sqref="U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540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400" t="s">
        <v>17</v>
      </c>
      <c r="L5" s="400" t="s">
        <v>18</v>
      </c>
      <c r="M5" s="400" t="s">
        <v>19</v>
      </c>
      <c r="N5" s="40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0.41927083333333331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1012</v>
      </c>
      <c r="K7" s="15">
        <f>L7+2355+900+1012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0.41927083333333331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24332</v>
      </c>
      <c r="K8" s="15">
        <f>L8+23776+23632+22448+10612+24680+24492+25268+13104</f>
        <v>192344</v>
      </c>
      <c r="L8" s="15">
        <f>2965*4+3118*4</f>
        <v>24332</v>
      </c>
      <c r="M8" s="15">
        <f t="shared" si="0"/>
        <v>24332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0.41927083333333331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137</v>
      </c>
      <c r="E9" s="53" t="s">
        <v>513</v>
      </c>
      <c r="F9" s="30" t="s">
        <v>243</v>
      </c>
      <c r="G9" s="33">
        <v>1</v>
      </c>
      <c r="H9" s="35">
        <v>24</v>
      </c>
      <c r="I9" s="7">
        <v>10000</v>
      </c>
      <c r="J9" s="14">
        <v>3805</v>
      </c>
      <c r="K9" s="15">
        <f>L9+3127+3993</f>
        <v>10925</v>
      </c>
      <c r="L9" s="15">
        <f>2682+1123</f>
        <v>3805</v>
      </c>
      <c r="M9" s="15">
        <f t="shared" si="0"/>
        <v>3805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0.41927083333333331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1424</v>
      </c>
      <c r="K10" s="15">
        <f>L10+25196+23668+24836+25088+24940+25884+1424</f>
        <v>151036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0.41927083333333331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115</v>
      </c>
      <c r="E11" s="53" t="s">
        <v>541</v>
      </c>
      <c r="F11" s="30" t="s">
        <v>129</v>
      </c>
      <c r="G11" s="33">
        <v>1</v>
      </c>
      <c r="H11" s="35">
        <v>24</v>
      </c>
      <c r="I11" s="7">
        <v>7000</v>
      </c>
      <c r="J11" s="14">
        <v>2508</v>
      </c>
      <c r="K11" s="15">
        <f>L11</f>
        <v>2508</v>
      </c>
      <c r="L11" s="15">
        <f>2508</f>
        <v>2508</v>
      </c>
      <c r="M11" s="15">
        <f t="shared" si="0"/>
        <v>2508</v>
      </c>
      <c r="N11" s="15">
        <v>0</v>
      </c>
      <c r="O11" s="58">
        <f t="shared" si="1"/>
        <v>0</v>
      </c>
      <c r="P11" s="39">
        <f t="shared" si="2"/>
        <v>13</v>
      </c>
      <c r="Q11" s="40">
        <f t="shared" si="3"/>
        <v>11</v>
      </c>
      <c r="R11" s="7"/>
      <c r="S11" s="6">
        <v>11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0.54166666666666663</v>
      </c>
      <c r="AD11" s="10">
        <f t="shared" ref="AD11:AD14" si="9">AC11*AB11*(1-O11)</f>
        <v>0.54166666666666663</v>
      </c>
      <c r="AE11" s="36">
        <f t="shared" si="7"/>
        <v>0.41927083333333331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4</v>
      </c>
      <c r="H12" s="13">
        <v>28</v>
      </c>
      <c r="I12" s="31">
        <v>400000</v>
      </c>
      <c r="J12" s="5">
        <v>18246</v>
      </c>
      <c r="K12" s="15">
        <f>L12+24356+25828+27100+24476+20768+27072+26880+9280+9984</f>
        <v>213990</v>
      </c>
      <c r="L12" s="15">
        <f>2851*3+3231*3</f>
        <v>18246</v>
      </c>
      <c r="M12" s="15">
        <f t="shared" si="0"/>
        <v>18246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9"/>
        <v>0.91666666666666663</v>
      </c>
      <c r="AE12" s="36">
        <f t="shared" si="7"/>
        <v>0.41927083333333331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20804</v>
      </c>
      <c r="K13" s="15">
        <f>L13+14284+8352+12576+8310+15524+17860+22424+23088+2420+23364+22844+15980+12148+8056+16415+23304+22652+18028+24560+16004+23972+26116+28148+12884+27980+28568+27912+29148+22636</f>
        <v>576361</v>
      </c>
      <c r="L13" s="15">
        <f>1938*4+3263*4</f>
        <v>20804</v>
      </c>
      <c r="M13" s="15">
        <f t="shared" si="0"/>
        <v>20804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0.41927083333333331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388</v>
      </c>
      <c r="D14" s="52" t="s">
        <v>115</v>
      </c>
      <c r="E14" s="53" t="s">
        <v>542</v>
      </c>
      <c r="F14" s="30" t="s">
        <v>377</v>
      </c>
      <c r="G14" s="33">
        <v>1</v>
      </c>
      <c r="H14" s="35">
        <v>60</v>
      </c>
      <c r="I14" s="7">
        <v>100</v>
      </c>
      <c r="J14" s="5">
        <v>150</v>
      </c>
      <c r="K14" s="15">
        <f>L14</f>
        <v>150</v>
      </c>
      <c r="L14" s="15">
        <v>150</v>
      </c>
      <c r="M14" s="15">
        <f t="shared" si="0"/>
        <v>150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5</v>
      </c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9"/>
        <v>0.16666666666666666</v>
      </c>
      <c r="AE14" s="36">
        <f t="shared" si="7"/>
        <v>0.41927083333333331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0.41927083333333331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0.41927083333333331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128</v>
      </c>
      <c r="E17" s="53" t="s">
        <v>533</v>
      </c>
      <c r="F17" s="30" t="s">
        <v>287</v>
      </c>
      <c r="G17" s="12">
        <v>1</v>
      </c>
      <c r="H17" s="13">
        <v>24</v>
      </c>
      <c r="I17" s="7">
        <v>41000</v>
      </c>
      <c r="J17" s="14">
        <v>5525</v>
      </c>
      <c r="K17" s="15">
        <f>L17</f>
        <v>5525</v>
      </c>
      <c r="L17" s="15">
        <f>2599+2926</f>
        <v>5525</v>
      </c>
      <c r="M17" s="15">
        <f t="shared" si="0"/>
        <v>5525</v>
      </c>
      <c r="N17" s="15">
        <v>0</v>
      </c>
      <c r="O17" s="58">
        <f t="shared" si="1"/>
        <v>0</v>
      </c>
      <c r="P17" s="39">
        <f t="shared" si="2"/>
        <v>23</v>
      </c>
      <c r="Q17" s="40">
        <f t="shared" si="3"/>
        <v>1</v>
      </c>
      <c r="R17" s="7"/>
      <c r="S17" s="6"/>
      <c r="T17" s="16">
        <v>1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0.95833333333333337</v>
      </c>
      <c r="AD17" s="10">
        <f t="shared" si="6"/>
        <v>0.95833333333333337</v>
      </c>
      <c r="AE17" s="36">
        <f t="shared" si="7"/>
        <v>0.41927083333333331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281</v>
      </c>
      <c r="E18" s="53" t="s">
        <v>523</v>
      </c>
      <c r="F18" s="30" t="s">
        <v>293</v>
      </c>
      <c r="G18" s="33">
        <v>2</v>
      </c>
      <c r="H18" s="35">
        <v>24</v>
      </c>
      <c r="I18" s="7">
        <v>1000</v>
      </c>
      <c r="J18" s="14">
        <v>2000</v>
      </c>
      <c r="K18" s="15">
        <f>L18+2000</f>
        <v>2000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0.41927083333333331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0.41927083333333331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472</v>
      </c>
      <c r="F20" s="30" t="s">
        <v>129</v>
      </c>
      <c r="G20" s="12">
        <v>1</v>
      </c>
      <c r="H20" s="13">
        <v>28</v>
      </c>
      <c r="I20" s="31">
        <v>5000</v>
      </c>
      <c r="J20" s="5">
        <v>4294</v>
      </c>
      <c r="K20" s="15">
        <f>L20+985+2356+4317+4373+4814</f>
        <v>21139</v>
      </c>
      <c r="L20" s="15">
        <f>1932+2362</f>
        <v>4294</v>
      </c>
      <c r="M20" s="15">
        <f t="shared" si="0"/>
        <v>4294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0.41927083333333331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524</v>
      </c>
      <c r="F21" s="12" t="s">
        <v>114</v>
      </c>
      <c r="G21" s="12">
        <v>4</v>
      </c>
      <c r="H21" s="35">
        <v>20</v>
      </c>
      <c r="I21" s="7">
        <v>300000</v>
      </c>
      <c r="J21" s="14">
        <v>37064</v>
      </c>
      <c r="K21" s="15">
        <f>L21+28012</f>
        <v>65076</v>
      </c>
      <c r="L21" s="15">
        <f>9266*4</f>
        <v>37064</v>
      </c>
      <c r="M21" s="15">
        <f t="shared" si="0"/>
        <v>37064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0.41927083333333331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2545900</v>
      </c>
      <c r="J22" s="19">
        <f t="shared" si="10"/>
        <v>141943</v>
      </c>
      <c r="K22" s="20">
        <f t="shared" si="10"/>
        <v>1291483</v>
      </c>
      <c r="L22" s="21">
        <f t="shared" si="10"/>
        <v>116728</v>
      </c>
      <c r="M22" s="20">
        <f t="shared" si="10"/>
        <v>116728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161</v>
      </c>
      <c r="Q22" s="43">
        <f t="shared" si="11"/>
        <v>223</v>
      </c>
      <c r="R22" s="23">
        <f t="shared" si="11"/>
        <v>24</v>
      </c>
      <c r="S22" s="24">
        <f t="shared" si="11"/>
        <v>52</v>
      </c>
      <c r="T22" s="24">
        <f t="shared" si="11"/>
        <v>1</v>
      </c>
      <c r="U22" s="24">
        <f t="shared" si="11"/>
        <v>0</v>
      </c>
      <c r="V22" s="25">
        <f t="shared" si="11"/>
        <v>35</v>
      </c>
      <c r="W22" s="26">
        <f t="shared" si="11"/>
        <v>63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0.5625</v>
      </c>
      <c r="AC22" s="4">
        <f>AVERAGE(AC6:AC21)</f>
        <v>0.41927083333333331</v>
      </c>
      <c r="AD22" s="4">
        <f>AVERAGE(AD6:AD21)</f>
        <v>0.41927083333333331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543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545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99" t="s">
        <v>46</v>
      </c>
      <c r="D51" s="399" t="s">
        <v>47</v>
      </c>
      <c r="E51" s="399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99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398" t="s">
        <v>181</v>
      </c>
      <c r="D52" s="398" t="s">
        <v>137</v>
      </c>
      <c r="E52" s="395" t="s">
        <v>513</v>
      </c>
      <c r="F52" s="496" t="s">
        <v>139</v>
      </c>
      <c r="G52" s="497"/>
      <c r="H52" s="497"/>
      <c r="I52" s="497"/>
      <c r="J52" s="497"/>
      <c r="K52" s="497"/>
      <c r="L52" s="497"/>
      <c r="M52" s="498"/>
      <c r="N52" s="394" t="s">
        <v>120</v>
      </c>
      <c r="O52" s="392" t="s">
        <v>149</v>
      </c>
      <c r="P52" s="510" t="s">
        <v>115</v>
      </c>
      <c r="Q52" s="511"/>
      <c r="R52" s="510" t="s">
        <v>232</v>
      </c>
      <c r="S52" s="512"/>
      <c r="T52" s="512"/>
      <c r="U52" s="511"/>
      <c r="V52" s="480" t="s">
        <v>139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120</v>
      </c>
      <c r="B53" s="495"/>
      <c r="C53" s="395" t="s">
        <v>177</v>
      </c>
      <c r="D53" s="395" t="s">
        <v>115</v>
      </c>
      <c r="E53" s="395" t="s">
        <v>142</v>
      </c>
      <c r="F53" s="496" t="s">
        <v>296</v>
      </c>
      <c r="G53" s="497"/>
      <c r="H53" s="497"/>
      <c r="I53" s="497"/>
      <c r="J53" s="497"/>
      <c r="K53" s="497"/>
      <c r="L53" s="497"/>
      <c r="M53" s="498"/>
      <c r="N53" s="394" t="s">
        <v>119</v>
      </c>
      <c r="O53" s="392" t="s">
        <v>280</v>
      </c>
      <c r="P53" s="510" t="s">
        <v>115</v>
      </c>
      <c r="Q53" s="511"/>
      <c r="R53" s="495" t="s">
        <v>541</v>
      </c>
      <c r="S53" s="495"/>
      <c r="T53" s="495"/>
      <c r="U53" s="495"/>
      <c r="V53" s="480" t="s">
        <v>180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112</v>
      </c>
      <c r="B54" s="495"/>
      <c r="C54" s="395" t="s">
        <v>280</v>
      </c>
      <c r="D54" s="395" t="s">
        <v>137</v>
      </c>
      <c r="E54" s="395" t="s">
        <v>204</v>
      </c>
      <c r="F54" s="496" t="s">
        <v>324</v>
      </c>
      <c r="G54" s="497"/>
      <c r="H54" s="497"/>
      <c r="I54" s="497"/>
      <c r="J54" s="497"/>
      <c r="K54" s="497"/>
      <c r="L54" s="497"/>
      <c r="M54" s="498"/>
      <c r="N54" s="394" t="s">
        <v>119</v>
      </c>
      <c r="O54" s="392" t="s">
        <v>181</v>
      </c>
      <c r="P54" s="510" t="s">
        <v>136</v>
      </c>
      <c r="Q54" s="511"/>
      <c r="R54" s="495" t="s">
        <v>546</v>
      </c>
      <c r="S54" s="495"/>
      <c r="T54" s="495"/>
      <c r="U54" s="495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119</v>
      </c>
      <c r="B55" s="509"/>
      <c r="C55" s="398" t="s">
        <v>280</v>
      </c>
      <c r="D55" s="398" t="s">
        <v>115</v>
      </c>
      <c r="E55" s="395" t="s">
        <v>541</v>
      </c>
      <c r="F55" s="496" t="s">
        <v>544</v>
      </c>
      <c r="G55" s="497"/>
      <c r="H55" s="497"/>
      <c r="I55" s="497"/>
      <c r="J55" s="497"/>
      <c r="K55" s="497"/>
      <c r="L55" s="497"/>
      <c r="M55" s="498"/>
      <c r="N55" s="394" t="s">
        <v>120</v>
      </c>
      <c r="O55" s="392" t="s">
        <v>224</v>
      </c>
      <c r="P55" s="510"/>
      <c r="Q55" s="511"/>
      <c r="R55" s="510" t="s">
        <v>225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494" t="s">
        <v>388</v>
      </c>
      <c r="B56" s="495"/>
      <c r="C56" s="395" t="s">
        <v>224</v>
      </c>
      <c r="D56" s="395" t="s">
        <v>115</v>
      </c>
      <c r="E56" s="395" t="s">
        <v>542</v>
      </c>
      <c r="F56" s="496" t="s">
        <v>208</v>
      </c>
      <c r="G56" s="497"/>
      <c r="H56" s="497"/>
      <c r="I56" s="497"/>
      <c r="J56" s="497"/>
      <c r="K56" s="497"/>
      <c r="L56" s="497"/>
      <c r="M56" s="498"/>
      <c r="N56" s="394"/>
      <c r="O56" s="392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 t="s">
        <v>119</v>
      </c>
      <c r="B57" s="495"/>
      <c r="C57" s="395" t="s">
        <v>184</v>
      </c>
      <c r="D57" s="395" t="s">
        <v>128</v>
      </c>
      <c r="E57" s="395" t="s">
        <v>533</v>
      </c>
      <c r="F57" s="496" t="s">
        <v>180</v>
      </c>
      <c r="G57" s="497"/>
      <c r="H57" s="497"/>
      <c r="I57" s="497"/>
      <c r="J57" s="497"/>
      <c r="K57" s="497"/>
      <c r="L57" s="497"/>
      <c r="M57" s="498"/>
      <c r="N57" s="394"/>
      <c r="O57" s="392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98"/>
      <c r="D58" s="398"/>
      <c r="E58" s="395"/>
      <c r="F58" s="496"/>
      <c r="G58" s="497"/>
      <c r="H58" s="497"/>
      <c r="I58" s="497"/>
      <c r="J58" s="497"/>
      <c r="K58" s="497"/>
      <c r="L58" s="497"/>
      <c r="M58" s="498"/>
      <c r="N58" s="394"/>
      <c r="O58" s="392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98"/>
      <c r="D59" s="398"/>
      <c r="E59" s="395"/>
      <c r="F59" s="496"/>
      <c r="G59" s="497"/>
      <c r="H59" s="497"/>
      <c r="I59" s="497"/>
      <c r="J59" s="497"/>
      <c r="K59" s="497"/>
      <c r="L59" s="497"/>
      <c r="M59" s="498"/>
      <c r="N59" s="394"/>
      <c r="O59" s="392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95"/>
      <c r="D60" s="395"/>
      <c r="E60" s="395"/>
      <c r="F60" s="496"/>
      <c r="G60" s="497"/>
      <c r="H60" s="497"/>
      <c r="I60" s="497"/>
      <c r="J60" s="497"/>
      <c r="K60" s="497"/>
      <c r="L60" s="497"/>
      <c r="M60" s="498"/>
      <c r="N60" s="394"/>
      <c r="O60" s="392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96"/>
      <c r="D61" s="397"/>
      <c r="E61" s="397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547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93" t="s">
        <v>2</v>
      </c>
      <c r="D63" s="393" t="s">
        <v>37</v>
      </c>
      <c r="E63" s="393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93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388"/>
      <c r="E64" s="391" t="s">
        <v>128</v>
      </c>
      <c r="F64" s="481" t="s">
        <v>548</v>
      </c>
      <c r="G64" s="482"/>
      <c r="H64" s="482"/>
      <c r="I64" s="482"/>
      <c r="J64" s="483"/>
      <c r="K64" s="469" t="s">
        <v>127</v>
      </c>
      <c r="L64" s="469"/>
      <c r="M64" s="51" t="s">
        <v>140</v>
      </c>
      <c r="N64" s="478" t="s">
        <v>200</v>
      </c>
      <c r="O64" s="478"/>
      <c r="P64" s="479">
        <v>50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120</v>
      </c>
      <c r="D65" s="388"/>
      <c r="E65" s="391" t="s">
        <v>115</v>
      </c>
      <c r="F65" s="481" t="s">
        <v>550</v>
      </c>
      <c r="G65" s="482"/>
      <c r="H65" s="482"/>
      <c r="I65" s="482"/>
      <c r="J65" s="483"/>
      <c r="K65" s="469" t="s">
        <v>123</v>
      </c>
      <c r="L65" s="469"/>
      <c r="M65" s="51" t="s">
        <v>236</v>
      </c>
      <c r="N65" s="478" t="s">
        <v>187</v>
      </c>
      <c r="O65" s="478"/>
      <c r="P65" s="479">
        <v>200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120</v>
      </c>
      <c r="D66" s="388"/>
      <c r="E66" s="391" t="s">
        <v>136</v>
      </c>
      <c r="F66" s="481" t="s">
        <v>549</v>
      </c>
      <c r="G66" s="482"/>
      <c r="H66" s="482"/>
      <c r="I66" s="482"/>
      <c r="J66" s="483"/>
      <c r="K66" s="469" t="s">
        <v>123</v>
      </c>
      <c r="L66" s="469"/>
      <c r="M66" s="51" t="s">
        <v>236</v>
      </c>
      <c r="N66" s="478" t="s">
        <v>187</v>
      </c>
      <c r="O66" s="478"/>
      <c r="P66" s="479">
        <v>200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 t="s">
        <v>120</v>
      </c>
      <c r="D67" s="388"/>
      <c r="E67" s="391" t="s">
        <v>145</v>
      </c>
      <c r="F67" s="481" t="s">
        <v>551</v>
      </c>
      <c r="G67" s="482"/>
      <c r="H67" s="482"/>
      <c r="I67" s="482"/>
      <c r="J67" s="483"/>
      <c r="K67" s="469" t="s">
        <v>287</v>
      </c>
      <c r="L67" s="469"/>
      <c r="M67" s="51" t="s">
        <v>236</v>
      </c>
      <c r="N67" s="478" t="s">
        <v>358</v>
      </c>
      <c r="O67" s="478"/>
      <c r="P67" s="479">
        <v>200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 t="s">
        <v>120</v>
      </c>
      <c r="D68" s="388"/>
      <c r="E68" s="391" t="s">
        <v>285</v>
      </c>
      <c r="F68" s="481" t="s">
        <v>332</v>
      </c>
      <c r="G68" s="482"/>
      <c r="H68" s="482"/>
      <c r="I68" s="482"/>
      <c r="J68" s="483"/>
      <c r="K68" s="469" t="s">
        <v>287</v>
      </c>
      <c r="L68" s="469"/>
      <c r="M68" s="51" t="s">
        <v>140</v>
      </c>
      <c r="N68" s="478" t="s">
        <v>358</v>
      </c>
      <c r="O68" s="478"/>
      <c r="P68" s="479">
        <v>200</v>
      </c>
      <c r="Q68" s="479"/>
      <c r="R68" s="480" t="s">
        <v>552</v>
      </c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 t="s">
        <v>120</v>
      </c>
      <c r="D69" s="388"/>
      <c r="E69" s="391" t="s">
        <v>137</v>
      </c>
      <c r="F69" s="481" t="s">
        <v>553</v>
      </c>
      <c r="G69" s="482"/>
      <c r="H69" s="482"/>
      <c r="I69" s="482"/>
      <c r="J69" s="483"/>
      <c r="K69" s="469" t="s">
        <v>123</v>
      </c>
      <c r="L69" s="469"/>
      <c r="M69" s="51" t="s">
        <v>140</v>
      </c>
      <c r="N69" s="478" t="s">
        <v>346</v>
      </c>
      <c r="O69" s="478"/>
      <c r="P69" s="479">
        <v>50</v>
      </c>
      <c r="Q69" s="479"/>
      <c r="R69" s="480" t="s">
        <v>554</v>
      </c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88"/>
      <c r="E70" s="391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88"/>
      <c r="E71" s="391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88"/>
      <c r="E72" s="391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88"/>
      <c r="E73" s="391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555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111</v>
      </c>
      <c r="B75" s="451"/>
      <c r="C75" s="390" t="s">
        <v>2</v>
      </c>
      <c r="D75" s="390" t="s">
        <v>37</v>
      </c>
      <c r="E75" s="390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89" t="s">
        <v>112</v>
      </c>
      <c r="D76" s="389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88"/>
      <c r="D77" s="388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88"/>
      <c r="D78" s="388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88"/>
      <c r="D79" s="388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88"/>
      <c r="D80" s="388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88"/>
      <c r="D81" s="388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88"/>
      <c r="D82" s="388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556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1AFF-4523-405D-BA8B-8A1C8E504B68}">
  <dimension ref="A1:AF87"/>
  <sheetViews>
    <sheetView view="pageBreakPreview" zoomScale="70" zoomScaleNormal="72" zoomScaleSheetLayoutView="70" workbookViewId="0">
      <selection activeCell="P22" sqref="P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557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400" t="s">
        <v>17</v>
      </c>
      <c r="L5" s="400" t="s">
        <v>18</v>
      </c>
      <c r="M5" s="400" t="s">
        <v>19</v>
      </c>
      <c r="N5" s="40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0.43750000000000006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1012</v>
      </c>
      <c r="K7" s="15">
        <f>L7+2355+900+1012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0.43750000000000006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13700</v>
      </c>
      <c r="K8" s="15">
        <f>L8+23776+23632+22448+10612+24680+24492+25268+13104+24332</f>
        <v>206044</v>
      </c>
      <c r="L8" s="15">
        <f>461*4+2964*4</f>
        <v>13700</v>
      </c>
      <c r="M8" s="15">
        <f t="shared" si="0"/>
        <v>13700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0.43750000000000006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136</v>
      </c>
      <c r="E9" s="53" t="s">
        <v>546</v>
      </c>
      <c r="F9" s="30" t="s">
        <v>129</v>
      </c>
      <c r="G9" s="33">
        <v>1</v>
      </c>
      <c r="H9" s="35">
        <v>24</v>
      </c>
      <c r="I9" s="7">
        <v>10000</v>
      </c>
      <c r="J9" s="14">
        <v>5184</v>
      </c>
      <c r="K9" s="15">
        <f>L9</f>
        <v>5184</v>
      </c>
      <c r="L9" s="15">
        <f>2442+2742</f>
        <v>5184</v>
      </c>
      <c r="M9" s="15">
        <f t="shared" si="0"/>
        <v>5184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0.43750000000000006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1424</v>
      </c>
      <c r="K10" s="15">
        <f>L10+25196+23668+24836+25088+24940+25884+1424</f>
        <v>151036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0.43750000000000006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115</v>
      </c>
      <c r="E11" s="53" t="s">
        <v>541</v>
      </c>
      <c r="F11" s="30" t="s">
        <v>129</v>
      </c>
      <c r="G11" s="33">
        <v>1</v>
      </c>
      <c r="H11" s="35">
        <v>24</v>
      </c>
      <c r="I11" s="7">
        <v>7000</v>
      </c>
      <c r="J11" s="14">
        <v>2541</v>
      </c>
      <c r="K11" s="15">
        <f>L11+2508</f>
        <v>5049</v>
      </c>
      <c r="L11" s="15">
        <f>2239+302</f>
        <v>2541</v>
      </c>
      <c r="M11" s="15">
        <f t="shared" si="0"/>
        <v>2541</v>
      </c>
      <c r="N11" s="15">
        <v>0</v>
      </c>
      <c r="O11" s="58">
        <f t="shared" si="1"/>
        <v>0</v>
      </c>
      <c r="P11" s="39">
        <f t="shared" si="2"/>
        <v>13</v>
      </c>
      <c r="Q11" s="40">
        <f t="shared" si="3"/>
        <v>11</v>
      </c>
      <c r="R11" s="7"/>
      <c r="S11" s="6">
        <v>11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0.54166666666666663</v>
      </c>
      <c r="AD11" s="10">
        <f t="shared" ref="AD11:AD14" si="9">AC11*AB11*(1-O11)</f>
        <v>0.54166666666666663</v>
      </c>
      <c r="AE11" s="36">
        <f t="shared" si="7"/>
        <v>0.43750000000000006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3</v>
      </c>
      <c r="H12" s="13">
        <v>28</v>
      </c>
      <c r="I12" s="31">
        <v>400000</v>
      </c>
      <c r="J12" s="5">
        <v>20307</v>
      </c>
      <c r="K12" s="15">
        <f>L12+24356+25828+27100+24476+20768+27072+26880+9280+9984+18246</f>
        <v>234297</v>
      </c>
      <c r="L12" s="15">
        <f>3296*3+3473*3</f>
        <v>20307</v>
      </c>
      <c r="M12" s="15">
        <f t="shared" si="0"/>
        <v>20307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0.43750000000000006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27276</v>
      </c>
      <c r="K13" s="15">
        <f>L13+14284+8352+12576+8310+15524+17860+22424+23088+2420+23364+22844+15980+12148+8056+16415+23304+22652+18028+24560+16004+23972+26116+28148+12884+27980+28568+27912+29148+22636+20804</f>
        <v>603637</v>
      </c>
      <c r="L13" s="15">
        <f>3339*4+3480*4</f>
        <v>27276</v>
      </c>
      <c r="M13" s="15">
        <f t="shared" si="0"/>
        <v>27276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0.43750000000000006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120</v>
      </c>
      <c r="D14" s="52"/>
      <c r="E14" s="53" t="s">
        <v>225</v>
      </c>
      <c r="F14" s="30" t="s">
        <v>123</v>
      </c>
      <c r="G14" s="33" t="s">
        <v>558</v>
      </c>
      <c r="H14" s="35">
        <v>60</v>
      </c>
      <c r="I14" s="7">
        <v>4000</v>
      </c>
      <c r="J14" s="5">
        <v>2220</v>
      </c>
      <c r="K14" s="15">
        <f>L14</f>
        <v>2220</v>
      </c>
      <c r="L14" s="15">
        <f>1110*2</f>
        <v>2220</v>
      </c>
      <c r="M14" s="15">
        <f t="shared" si="0"/>
        <v>2220</v>
      </c>
      <c r="N14" s="15">
        <v>0</v>
      </c>
      <c r="O14" s="58">
        <f t="shared" si="1"/>
        <v>0</v>
      </c>
      <c r="P14" s="39">
        <f t="shared" si="2"/>
        <v>13</v>
      </c>
      <c r="Q14" s="40">
        <f t="shared" si="3"/>
        <v>11</v>
      </c>
      <c r="R14" s="7"/>
      <c r="S14" s="6"/>
      <c r="T14" s="16"/>
      <c r="U14" s="16"/>
      <c r="V14" s="17">
        <v>11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0.54166666666666663</v>
      </c>
      <c r="AD14" s="10">
        <f t="shared" si="9"/>
        <v>0.54166666666666663</v>
      </c>
      <c r="AE14" s="36">
        <f t="shared" si="7"/>
        <v>0.43750000000000006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0.43750000000000006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0.43750000000000006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128</v>
      </c>
      <c r="E17" s="53" t="s">
        <v>533</v>
      </c>
      <c r="F17" s="30" t="s">
        <v>287</v>
      </c>
      <c r="G17" s="12">
        <v>1</v>
      </c>
      <c r="H17" s="13">
        <v>24</v>
      </c>
      <c r="I17" s="7">
        <v>41000</v>
      </c>
      <c r="J17" s="14">
        <v>6064</v>
      </c>
      <c r="K17" s="15">
        <f>L17+5525</f>
        <v>11589</v>
      </c>
      <c r="L17" s="15">
        <f>3125+2939</f>
        <v>6064</v>
      </c>
      <c r="M17" s="15">
        <f t="shared" si="0"/>
        <v>6064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0.43750000000000006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281</v>
      </c>
      <c r="E18" s="53" t="s">
        <v>523</v>
      </c>
      <c r="F18" s="30" t="s">
        <v>293</v>
      </c>
      <c r="G18" s="33">
        <v>2</v>
      </c>
      <c r="H18" s="35">
        <v>24</v>
      </c>
      <c r="I18" s="7">
        <v>1000</v>
      </c>
      <c r="J18" s="14">
        <v>2000</v>
      </c>
      <c r="K18" s="15">
        <f>L18+2000</f>
        <v>2000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0.43750000000000006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459</v>
      </c>
      <c r="F19" s="30" t="s">
        <v>243</v>
      </c>
      <c r="G19" s="33">
        <v>1</v>
      </c>
      <c r="H19" s="35">
        <v>24</v>
      </c>
      <c r="I19" s="7">
        <v>300</v>
      </c>
      <c r="J19" s="14">
        <v>994</v>
      </c>
      <c r="K19" s="15">
        <f>L19+994</f>
        <v>994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0.43750000000000006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137</v>
      </c>
      <c r="E20" s="53" t="s">
        <v>559</v>
      </c>
      <c r="F20" s="30" t="s">
        <v>123</v>
      </c>
      <c r="G20" s="12">
        <v>2</v>
      </c>
      <c r="H20" s="13">
        <v>28</v>
      </c>
      <c r="I20" s="31">
        <v>20000</v>
      </c>
      <c r="J20" s="5">
        <v>8180</v>
      </c>
      <c r="K20" s="15">
        <f>L20</f>
        <v>8180</v>
      </c>
      <c r="L20" s="15">
        <f>960*2+3130*2</f>
        <v>8180</v>
      </c>
      <c r="M20" s="15">
        <f t="shared" si="0"/>
        <v>8180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/>
      <c r="T20" s="16">
        <v>5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0.43750000000000006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524</v>
      </c>
      <c r="F21" s="12" t="s">
        <v>114</v>
      </c>
      <c r="G21" s="12">
        <v>4</v>
      </c>
      <c r="H21" s="35">
        <v>20</v>
      </c>
      <c r="I21" s="7">
        <v>300000</v>
      </c>
      <c r="J21" s="14">
        <v>34640</v>
      </c>
      <c r="K21" s="15">
        <f>L21+28012+37064</f>
        <v>99716</v>
      </c>
      <c r="L21" s="15">
        <f>8660*4</f>
        <v>34640</v>
      </c>
      <c r="M21" s="15">
        <f t="shared" si="0"/>
        <v>34640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0.43750000000000006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2564800</v>
      </c>
      <c r="J22" s="19">
        <f t="shared" si="10"/>
        <v>145327</v>
      </c>
      <c r="K22" s="20">
        <f t="shared" si="10"/>
        <v>1379381</v>
      </c>
      <c r="L22" s="21">
        <f t="shared" si="10"/>
        <v>120112</v>
      </c>
      <c r="M22" s="20">
        <f t="shared" si="10"/>
        <v>120112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168</v>
      </c>
      <c r="Q22" s="43">
        <f t="shared" si="11"/>
        <v>216</v>
      </c>
      <c r="R22" s="23">
        <f t="shared" si="11"/>
        <v>24</v>
      </c>
      <c r="S22" s="24">
        <f t="shared" si="11"/>
        <v>45</v>
      </c>
      <c r="T22" s="24">
        <f t="shared" si="11"/>
        <v>5</v>
      </c>
      <c r="U22" s="24">
        <f t="shared" si="11"/>
        <v>0</v>
      </c>
      <c r="V22" s="25">
        <f t="shared" si="11"/>
        <v>46</v>
      </c>
      <c r="W22" s="26">
        <f t="shared" si="11"/>
        <v>48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0.5625</v>
      </c>
      <c r="AC22" s="4">
        <f>AVERAGE(AC6:AC21)</f>
        <v>0.43750000000000006</v>
      </c>
      <c r="AD22" s="4">
        <f>AVERAGE(AD6:AD21)</f>
        <v>0.43750000000000006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560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565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399" t="s">
        <v>46</v>
      </c>
      <c r="D51" s="399" t="s">
        <v>47</v>
      </c>
      <c r="E51" s="399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399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398" t="s">
        <v>181</v>
      </c>
      <c r="D52" s="398" t="s">
        <v>136</v>
      </c>
      <c r="E52" s="395" t="s">
        <v>546</v>
      </c>
      <c r="F52" s="496" t="s">
        <v>180</v>
      </c>
      <c r="G52" s="497"/>
      <c r="H52" s="497"/>
      <c r="I52" s="497"/>
      <c r="J52" s="497"/>
      <c r="K52" s="497"/>
      <c r="L52" s="497"/>
      <c r="M52" s="498"/>
      <c r="N52" s="394" t="s">
        <v>120</v>
      </c>
      <c r="O52" s="392" t="s">
        <v>566</v>
      </c>
      <c r="P52" s="510" t="s">
        <v>136</v>
      </c>
      <c r="Q52" s="511"/>
      <c r="R52" s="510" t="s">
        <v>567</v>
      </c>
      <c r="S52" s="512"/>
      <c r="T52" s="512"/>
      <c r="U52" s="511"/>
      <c r="V52" s="480" t="s">
        <v>569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119</v>
      </c>
      <c r="B53" s="509"/>
      <c r="C53" s="401" t="s">
        <v>280</v>
      </c>
      <c r="D53" s="401" t="s">
        <v>115</v>
      </c>
      <c r="E53" s="402" t="s">
        <v>541</v>
      </c>
      <c r="F53" s="496" t="s">
        <v>561</v>
      </c>
      <c r="G53" s="497"/>
      <c r="H53" s="497"/>
      <c r="I53" s="497"/>
      <c r="J53" s="497"/>
      <c r="K53" s="497"/>
      <c r="L53" s="497"/>
      <c r="M53" s="498"/>
      <c r="N53" s="394" t="s">
        <v>119</v>
      </c>
      <c r="O53" s="392" t="s">
        <v>187</v>
      </c>
      <c r="P53" s="510" t="s">
        <v>115</v>
      </c>
      <c r="Q53" s="511"/>
      <c r="R53" s="495" t="s">
        <v>541</v>
      </c>
      <c r="S53" s="495"/>
      <c r="T53" s="495"/>
      <c r="U53" s="495"/>
      <c r="V53" s="480" t="s">
        <v>569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120</v>
      </c>
      <c r="B54" s="495"/>
      <c r="C54" s="402" t="s">
        <v>224</v>
      </c>
      <c r="D54" s="402"/>
      <c r="E54" s="402" t="s">
        <v>225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394" t="s">
        <v>120</v>
      </c>
      <c r="O54" s="392" t="s">
        <v>572</v>
      </c>
      <c r="P54" s="510" t="s">
        <v>573</v>
      </c>
      <c r="Q54" s="511"/>
      <c r="R54" s="495" t="s">
        <v>570</v>
      </c>
      <c r="S54" s="495"/>
      <c r="T54" s="495"/>
      <c r="U54" s="495"/>
      <c r="V54" s="480" t="s">
        <v>571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508" t="s">
        <v>120</v>
      </c>
      <c r="B55" s="509"/>
      <c r="C55" s="398" t="s">
        <v>562</v>
      </c>
      <c r="D55" s="398" t="s">
        <v>563</v>
      </c>
      <c r="E55" s="395" t="s">
        <v>564</v>
      </c>
      <c r="F55" s="496" t="s">
        <v>180</v>
      </c>
      <c r="G55" s="497"/>
      <c r="H55" s="497"/>
      <c r="I55" s="497"/>
      <c r="J55" s="497"/>
      <c r="K55" s="497"/>
      <c r="L55" s="497"/>
      <c r="M55" s="498"/>
      <c r="N55" s="394" t="s">
        <v>119</v>
      </c>
      <c r="O55" s="392" t="s">
        <v>576</v>
      </c>
      <c r="P55" s="510" t="s">
        <v>115</v>
      </c>
      <c r="Q55" s="511"/>
      <c r="R55" s="510" t="s">
        <v>574</v>
      </c>
      <c r="S55" s="512"/>
      <c r="T55" s="512"/>
      <c r="U55" s="511"/>
      <c r="V55" s="480" t="s">
        <v>575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494" t="s">
        <v>120</v>
      </c>
      <c r="B56" s="495"/>
      <c r="C56" s="395" t="s">
        <v>566</v>
      </c>
      <c r="D56" s="401" t="s">
        <v>136</v>
      </c>
      <c r="E56" s="395" t="s">
        <v>567</v>
      </c>
      <c r="F56" s="496" t="s">
        <v>568</v>
      </c>
      <c r="G56" s="497"/>
      <c r="H56" s="497"/>
      <c r="I56" s="497"/>
      <c r="J56" s="497"/>
      <c r="K56" s="497"/>
      <c r="L56" s="497"/>
      <c r="M56" s="498"/>
      <c r="N56" s="394"/>
      <c r="O56" s="392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395"/>
      <c r="D57" s="395"/>
      <c r="E57" s="395"/>
      <c r="F57" s="496"/>
      <c r="G57" s="497"/>
      <c r="H57" s="497"/>
      <c r="I57" s="497"/>
      <c r="J57" s="497"/>
      <c r="K57" s="497"/>
      <c r="L57" s="497"/>
      <c r="M57" s="498"/>
      <c r="N57" s="394"/>
      <c r="O57" s="392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398"/>
      <c r="D58" s="398"/>
      <c r="E58" s="395"/>
      <c r="F58" s="496"/>
      <c r="G58" s="497"/>
      <c r="H58" s="497"/>
      <c r="I58" s="497"/>
      <c r="J58" s="497"/>
      <c r="K58" s="497"/>
      <c r="L58" s="497"/>
      <c r="M58" s="498"/>
      <c r="N58" s="394"/>
      <c r="O58" s="392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398"/>
      <c r="D59" s="398"/>
      <c r="E59" s="395"/>
      <c r="F59" s="496"/>
      <c r="G59" s="497"/>
      <c r="H59" s="497"/>
      <c r="I59" s="497"/>
      <c r="J59" s="497"/>
      <c r="K59" s="497"/>
      <c r="L59" s="497"/>
      <c r="M59" s="498"/>
      <c r="N59" s="394"/>
      <c r="O59" s="392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395"/>
      <c r="D60" s="395"/>
      <c r="E60" s="395"/>
      <c r="F60" s="496"/>
      <c r="G60" s="497"/>
      <c r="H60" s="497"/>
      <c r="I60" s="497"/>
      <c r="J60" s="497"/>
      <c r="K60" s="497"/>
      <c r="L60" s="497"/>
      <c r="M60" s="498"/>
      <c r="N60" s="394"/>
      <c r="O60" s="392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396"/>
      <c r="D61" s="397"/>
      <c r="E61" s="397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577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393" t="s">
        <v>2</v>
      </c>
      <c r="D63" s="393" t="s">
        <v>37</v>
      </c>
      <c r="E63" s="393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393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388"/>
      <c r="E64" s="391" t="s">
        <v>128</v>
      </c>
      <c r="F64" s="481" t="s">
        <v>550</v>
      </c>
      <c r="G64" s="482"/>
      <c r="H64" s="482"/>
      <c r="I64" s="482"/>
      <c r="J64" s="483"/>
      <c r="K64" s="469" t="s">
        <v>123</v>
      </c>
      <c r="L64" s="469"/>
      <c r="M64" s="51" t="s">
        <v>236</v>
      </c>
      <c r="N64" s="478" t="s">
        <v>187</v>
      </c>
      <c r="O64" s="478"/>
      <c r="P64" s="479">
        <v>200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579</v>
      </c>
      <c r="D65" s="388"/>
      <c r="E65" s="391" t="s">
        <v>580</v>
      </c>
      <c r="F65" s="481" t="s">
        <v>578</v>
      </c>
      <c r="G65" s="482"/>
      <c r="H65" s="482"/>
      <c r="I65" s="482"/>
      <c r="J65" s="483"/>
      <c r="K65" s="469" t="s">
        <v>581</v>
      </c>
      <c r="L65" s="469"/>
      <c r="M65" s="51" t="s">
        <v>582</v>
      </c>
      <c r="N65" s="478" t="s">
        <v>583</v>
      </c>
      <c r="O65" s="478"/>
      <c r="P65" s="479">
        <v>50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/>
      <c r="D66" s="388"/>
      <c r="E66" s="391"/>
      <c r="F66" s="481"/>
      <c r="G66" s="482"/>
      <c r="H66" s="482"/>
      <c r="I66" s="482"/>
      <c r="J66" s="483"/>
      <c r="K66" s="469"/>
      <c r="L66" s="469"/>
      <c r="M66" s="51"/>
      <c r="N66" s="478"/>
      <c r="O66" s="478"/>
      <c r="P66" s="479"/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388"/>
      <c r="E67" s="391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388"/>
      <c r="E68" s="391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388"/>
      <c r="E69" s="391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388"/>
      <c r="E70" s="391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388"/>
      <c r="E71" s="391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388"/>
      <c r="E72" s="391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388"/>
      <c r="E73" s="391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584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585</v>
      </c>
      <c r="B75" s="451"/>
      <c r="C75" s="390" t="s">
        <v>2</v>
      </c>
      <c r="D75" s="390" t="s">
        <v>37</v>
      </c>
      <c r="E75" s="390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389" t="s">
        <v>112</v>
      </c>
      <c r="D76" s="389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388"/>
      <c r="D77" s="388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388"/>
      <c r="D78" s="388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388"/>
      <c r="D79" s="388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388"/>
      <c r="D80" s="388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388"/>
      <c r="D81" s="388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388"/>
      <c r="D82" s="388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586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69A2-8588-47E6-8084-FCDD5390654B}"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587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415" t="s">
        <v>17</v>
      </c>
      <c r="L5" s="415" t="s">
        <v>18</v>
      </c>
      <c r="M5" s="415" t="s">
        <v>19</v>
      </c>
      <c r="N5" s="4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0.49479166666666663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1012</v>
      </c>
      <c r="K7" s="15">
        <f>L7+2355+900+1012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0.49479166666666663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17504</v>
      </c>
      <c r="K8" s="15">
        <f>L8+23776+23632+22448+10612+24680+24492+25268+13104+24332+13700</f>
        <v>223548</v>
      </c>
      <c r="L8" s="15">
        <f>3061*4+1315*4</f>
        <v>17504</v>
      </c>
      <c r="M8" s="15">
        <f t="shared" si="0"/>
        <v>17504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0.49479166666666663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136</v>
      </c>
      <c r="E9" s="53" t="s">
        <v>546</v>
      </c>
      <c r="F9" s="30" t="s">
        <v>129</v>
      </c>
      <c r="G9" s="33">
        <v>1</v>
      </c>
      <c r="H9" s="35">
        <v>24</v>
      </c>
      <c r="I9" s="7">
        <v>10000</v>
      </c>
      <c r="J9" s="14">
        <v>5460</v>
      </c>
      <c r="K9" s="15">
        <f>L9+5184</f>
        <v>10644</v>
      </c>
      <c r="L9" s="15">
        <f>2571+2889</f>
        <v>5460</v>
      </c>
      <c r="M9" s="15">
        <f t="shared" si="0"/>
        <v>5460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0.49479166666666663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1424</v>
      </c>
      <c r="K10" s="15">
        <f>L10+25196+23668+24836+25088+24940+25884+1424</f>
        <v>151036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0.49479166666666663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115</v>
      </c>
      <c r="E11" s="53" t="s">
        <v>541</v>
      </c>
      <c r="F11" s="30" t="s">
        <v>129</v>
      </c>
      <c r="G11" s="33">
        <v>1</v>
      </c>
      <c r="H11" s="35">
        <v>24</v>
      </c>
      <c r="I11" s="7">
        <v>7000</v>
      </c>
      <c r="J11" s="14">
        <v>2541</v>
      </c>
      <c r="K11" s="15">
        <f>L11+2508+2541</f>
        <v>5049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>
        <v>24</v>
      </c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0.49479166666666663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3</v>
      </c>
      <c r="H12" s="13">
        <v>28</v>
      </c>
      <c r="I12" s="31">
        <v>400000</v>
      </c>
      <c r="J12" s="5">
        <v>18330</v>
      </c>
      <c r="K12" s="15">
        <f>L12+24356+25828+27100+24476+20768+27072+26880+9280+9984+18246+20307</f>
        <v>252627</v>
      </c>
      <c r="L12" s="15">
        <f>3242*3+2151*4</f>
        <v>18330</v>
      </c>
      <c r="M12" s="15">
        <f t="shared" si="0"/>
        <v>18330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9"/>
        <v>0.83333333333333337</v>
      </c>
      <c r="AE12" s="36">
        <f t="shared" si="7"/>
        <v>0.49479166666666663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24808</v>
      </c>
      <c r="K13" s="15">
        <f>L13+14284+8352+12576+8310+15524+17860+22424+23088+2420+23364+22844+15980+12148+8056+16415+23304+22652+18028+24560+16004+23972+26116+28148+12884+27980+28568+27912+29148+22636+20804+27276</f>
        <v>628445</v>
      </c>
      <c r="L13" s="15">
        <f>3270*4+2932*4</f>
        <v>24808</v>
      </c>
      <c r="M13" s="15">
        <f t="shared" si="0"/>
        <v>24808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0.49479166666666663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120</v>
      </c>
      <c r="D14" s="52"/>
      <c r="E14" s="53" t="s">
        <v>225</v>
      </c>
      <c r="F14" s="30" t="s">
        <v>123</v>
      </c>
      <c r="G14" s="33" t="s">
        <v>242</v>
      </c>
      <c r="H14" s="35">
        <v>60</v>
      </c>
      <c r="I14" s="7">
        <v>4000</v>
      </c>
      <c r="J14" s="5">
        <v>2966</v>
      </c>
      <c r="K14" s="15">
        <f>L14+2220</f>
        <v>5186</v>
      </c>
      <c r="L14" s="15">
        <f>1483*2</f>
        <v>2966</v>
      </c>
      <c r="M14" s="15">
        <f t="shared" si="0"/>
        <v>2966</v>
      </c>
      <c r="N14" s="15">
        <v>0</v>
      </c>
      <c r="O14" s="58">
        <f t="shared" si="1"/>
        <v>0</v>
      </c>
      <c r="P14" s="39">
        <f t="shared" si="2"/>
        <v>13</v>
      </c>
      <c r="Q14" s="40">
        <f t="shared" si="3"/>
        <v>11</v>
      </c>
      <c r="R14" s="7"/>
      <c r="S14" s="6"/>
      <c r="T14" s="16"/>
      <c r="U14" s="16"/>
      <c r="V14" s="17">
        <v>11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0.54166666666666663</v>
      </c>
      <c r="AD14" s="10">
        <f t="shared" si="9"/>
        <v>0.54166666666666663</v>
      </c>
      <c r="AE14" s="36">
        <f t="shared" si="7"/>
        <v>0.49479166666666663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0.49479166666666663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0.49479166666666663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128</v>
      </c>
      <c r="E17" s="53" t="s">
        <v>533</v>
      </c>
      <c r="F17" s="30" t="s">
        <v>287</v>
      </c>
      <c r="G17" s="12">
        <v>1</v>
      </c>
      <c r="H17" s="13">
        <v>24</v>
      </c>
      <c r="I17" s="7">
        <v>41000</v>
      </c>
      <c r="J17" s="14">
        <v>6153</v>
      </c>
      <c r="K17" s="15">
        <f>L17+5525+6064</f>
        <v>17742</v>
      </c>
      <c r="L17" s="15">
        <f>3032+3121</f>
        <v>6153</v>
      </c>
      <c r="M17" s="15">
        <f t="shared" si="0"/>
        <v>6153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0.49479166666666663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541</v>
      </c>
      <c r="F18" s="30" t="s">
        <v>129</v>
      </c>
      <c r="G18" s="33">
        <v>1</v>
      </c>
      <c r="H18" s="35">
        <v>24</v>
      </c>
      <c r="I18" s="7">
        <v>7000</v>
      </c>
      <c r="J18" s="14">
        <v>2823</v>
      </c>
      <c r="K18" s="15">
        <f>L18+2508+2541</f>
        <v>7872</v>
      </c>
      <c r="L18" s="15">
        <f>381+2442</f>
        <v>2823</v>
      </c>
      <c r="M18" s="15">
        <f t="shared" ref="M18" si="10">L18-N18</f>
        <v>2823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17</v>
      </c>
      <c r="Q18" s="40">
        <f t="shared" ref="Q18" si="13">SUM(R18:AA18)</f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0.70833333333333337</v>
      </c>
      <c r="AD18" s="10">
        <f t="shared" si="6"/>
        <v>0.70833333333333337</v>
      </c>
      <c r="AE18" s="36">
        <f t="shared" si="7"/>
        <v>0.49479166666666663</v>
      </c>
      <c r="AF18" s="84">
        <f t="shared" ref="AF18" si="16">A18</f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115</v>
      </c>
      <c r="E19" s="53" t="s">
        <v>268</v>
      </c>
      <c r="F19" s="30" t="s">
        <v>118</v>
      </c>
      <c r="G19" s="33">
        <v>4</v>
      </c>
      <c r="H19" s="35">
        <v>24</v>
      </c>
      <c r="I19" s="7">
        <v>100000</v>
      </c>
      <c r="J19" s="14">
        <v>9612</v>
      </c>
      <c r="K19" s="15">
        <f>L19</f>
        <v>9612</v>
      </c>
      <c r="L19" s="15">
        <f>2193*4+210*4</f>
        <v>9612</v>
      </c>
      <c r="M19" s="15">
        <f t="shared" si="0"/>
        <v>9612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>
        <v>2</v>
      </c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0.49479166666666663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137</v>
      </c>
      <c r="E20" s="53" t="s">
        <v>559</v>
      </c>
      <c r="F20" s="30" t="s">
        <v>123</v>
      </c>
      <c r="G20" s="12">
        <v>2</v>
      </c>
      <c r="H20" s="13">
        <v>28</v>
      </c>
      <c r="I20" s="31">
        <v>40000</v>
      </c>
      <c r="J20" s="5">
        <v>12952</v>
      </c>
      <c r="K20" s="15">
        <f>L20</f>
        <v>12952</v>
      </c>
      <c r="L20" s="15">
        <f>3297*2+3179*2</f>
        <v>12952</v>
      </c>
      <c r="M20" s="15">
        <f t="shared" si="0"/>
        <v>12952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0.49479166666666663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524</v>
      </c>
      <c r="F21" s="12" t="s">
        <v>114</v>
      </c>
      <c r="G21" s="12">
        <v>4</v>
      </c>
      <c r="H21" s="35">
        <v>20</v>
      </c>
      <c r="I21" s="7">
        <v>300000</v>
      </c>
      <c r="J21" s="14">
        <v>37752</v>
      </c>
      <c r="K21" s="15">
        <f>L21+28012+37064+34640</f>
        <v>137468</v>
      </c>
      <c r="L21" s="15">
        <f>9438*4</f>
        <v>37752</v>
      </c>
      <c r="M21" s="15">
        <f t="shared" si="0"/>
        <v>37752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0.49479166666666663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7">SUM(I6:I21)</f>
        <v>2690500</v>
      </c>
      <c r="J22" s="19">
        <f t="shared" si="17"/>
        <v>163122</v>
      </c>
      <c r="K22" s="20">
        <f t="shared" si="17"/>
        <v>1511616</v>
      </c>
      <c r="L22" s="21">
        <f t="shared" si="17"/>
        <v>138360</v>
      </c>
      <c r="M22" s="20">
        <f t="shared" si="17"/>
        <v>138360</v>
      </c>
      <c r="N22" s="21">
        <f t="shared" si="17"/>
        <v>0</v>
      </c>
      <c r="O22" s="41">
        <f t="shared" si="1"/>
        <v>0</v>
      </c>
      <c r="P22" s="42">
        <f t="shared" ref="P22:AA22" si="18">SUM(P6:P21)</f>
        <v>190</v>
      </c>
      <c r="Q22" s="43">
        <f t="shared" si="18"/>
        <v>194</v>
      </c>
      <c r="R22" s="23">
        <f t="shared" si="18"/>
        <v>26</v>
      </c>
      <c r="S22" s="24">
        <f t="shared" si="18"/>
        <v>51</v>
      </c>
      <c r="T22" s="24">
        <f t="shared" si="18"/>
        <v>0</v>
      </c>
      <c r="U22" s="24">
        <f t="shared" si="18"/>
        <v>0</v>
      </c>
      <c r="V22" s="25">
        <f t="shared" si="18"/>
        <v>69</v>
      </c>
      <c r="W22" s="26">
        <f t="shared" si="18"/>
        <v>48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0</v>
      </c>
      <c r="AB22" s="28">
        <f>AVERAGE(AB6:AB21)</f>
        <v>0.625</v>
      </c>
      <c r="AC22" s="4">
        <f>AVERAGE(AC6:AC21)</f>
        <v>0.49479166666666663</v>
      </c>
      <c r="AD22" s="4">
        <f>AVERAGE(AD6:AD21)</f>
        <v>0.49479166666666663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588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592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414" t="s">
        <v>46</v>
      </c>
      <c r="D51" s="414" t="s">
        <v>47</v>
      </c>
      <c r="E51" s="414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414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494" t="s">
        <v>120</v>
      </c>
      <c r="B52" s="495"/>
      <c r="C52" s="410" t="s">
        <v>212</v>
      </c>
      <c r="D52" s="413" t="s">
        <v>136</v>
      </c>
      <c r="E52" s="410" t="s">
        <v>209</v>
      </c>
      <c r="F52" s="496" t="s">
        <v>139</v>
      </c>
      <c r="G52" s="497"/>
      <c r="H52" s="497"/>
      <c r="I52" s="497"/>
      <c r="J52" s="497"/>
      <c r="K52" s="497"/>
      <c r="L52" s="497"/>
      <c r="M52" s="498"/>
      <c r="N52" s="409" t="s">
        <v>120</v>
      </c>
      <c r="O52" s="407" t="s">
        <v>149</v>
      </c>
      <c r="P52" s="510" t="s">
        <v>115</v>
      </c>
      <c r="Q52" s="511"/>
      <c r="R52" s="495" t="s">
        <v>232</v>
      </c>
      <c r="S52" s="495"/>
      <c r="T52" s="495"/>
      <c r="U52" s="495"/>
      <c r="V52" s="480" t="s">
        <v>571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508" t="s">
        <v>119</v>
      </c>
      <c r="B53" s="509"/>
      <c r="C53" s="413" t="s">
        <v>187</v>
      </c>
      <c r="D53" s="413" t="s">
        <v>115</v>
      </c>
      <c r="E53" s="410" t="s">
        <v>541</v>
      </c>
      <c r="F53" s="496" t="s">
        <v>589</v>
      </c>
      <c r="G53" s="497"/>
      <c r="H53" s="497"/>
      <c r="I53" s="497"/>
      <c r="J53" s="497"/>
      <c r="K53" s="497"/>
      <c r="L53" s="497"/>
      <c r="M53" s="498"/>
      <c r="N53" s="409" t="s">
        <v>119</v>
      </c>
      <c r="O53" s="407" t="s">
        <v>280</v>
      </c>
      <c r="P53" s="510" t="s">
        <v>115</v>
      </c>
      <c r="Q53" s="511"/>
      <c r="R53" s="495" t="s">
        <v>541</v>
      </c>
      <c r="S53" s="495"/>
      <c r="T53" s="495"/>
      <c r="U53" s="495"/>
      <c r="V53" s="480" t="s">
        <v>139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120</v>
      </c>
      <c r="B54" s="495"/>
      <c r="C54" s="410" t="s">
        <v>149</v>
      </c>
      <c r="D54" s="410" t="s">
        <v>115</v>
      </c>
      <c r="E54" s="410" t="s">
        <v>232</v>
      </c>
      <c r="F54" s="496" t="s">
        <v>590</v>
      </c>
      <c r="G54" s="497"/>
      <c r="H54" s="497"/>
      <c r="I54" s="497"/>
      <c r="J54" s="497"/>
      <c r="K54" s="497"/>
      <c r="L54" s="497"/>
      <c r="M54" s="498"/>
      <c r="N54" s="409" t="s">
        <v>119</v>
      </c>
      <c r="O54" s="407" t="s">
        <v>314</v>
      </c>
      <c r="P54" s="510" t="s">
        <v>115</v>
      </c>
      <c r="Q54" s="511"/>
      <c r="R54" s="510" t="s">
        <v>268</v>
      </c>
      <c r="S54" s="512"/>
      <c r="T54" s="512"/>
      <c r="U54" s="511"/>
      <c r="V54" s="480" t="s">
        <v>139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494" t="s">
        <v>120</v>
      </c>
      <c r="B55" s="495"/>
      <c r="C55" s="410" t="s">
        <v>177</v>
      </c>
      <c r="D55" s="410" t="s">
        <v>115</v>
      </c>
      <c r="E55" s="410" t="s">
        <v>275</v>
      </c>
      <c r="F55" s="496" t="s">
        <v>296</v>
      </c>
      <c r="G55" s="497"/>
      <c r="H55" s="497"/>
      <c r="I55" s="497"/>
      <c r="J55" s="497"/>
      <c r="K55" s="497"/>
      <c r="L55" s="497"/>
      <c r="M55" s="498"/>
      <c r="N55" s="409"/>
      <c r="O55" s="407"/>
      <c r="P55" s="510"/>
      <c r="Q55" s="511"/>
      <c r="R55" s="510"/>
      <c r="S55" s="512"/>
      <c r="T55" s="512"/>
      <c r="U55" s="511"/>
      <c r="V55" s="480"/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494" t="s">
        <v>119</v>
      </c>
      <c r="B56" s="495"/>
      <c r="C56" s="410" t="s">
        <v>314</v>
      </c>
      <c r="D56" s="413" t="s">
        <v>115</v>
      </c>
      <c r="E56" s="410" t="s">
        <v>268</v>
      </c>
      <c r="F56" s="496" t="s">
        <v>591</v>
      </c>
      <c r="G56" s="497"/>
      <c r="H56" s="497"/>
      <c r="I56" s="497"/>
      <c r="J56" s="497"/>
      <c r="K56" s="497"/>
      <c r="L56" s="497"/>
      <c r="M56" s="498"/>
      <c r="N56" s="409"/>
      <c r="O56" s="407"/>
      <c r="P56" s="510"/>
      <c r="Q56" s="511"/>
      <c r="R56" s="510"/>
      <c r="S56" s="512"/>
      <c r="T56" s="512"/>
      <c r="U56" s="511"/>
      <c r="V56" s="480"/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410"/>
      <c r="D57" s="410"/>
      <c r="E57" s="410"/>
      <c r="F57" s="496"/>
      <c r="G57" s="497"/>
      <c r="H57" s="497"/>
      <c r="I57" s="497"/>
      <c r="J57" s="497"/>
      <c r="K57" s="497"/>
      <c r="L57" s="497"/>
      <c r="M57" s="498"/>
      <c r="N57" s="409"/>
      <c r="O57" s="407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413"/>
      <c r="D58" s="413"/>
      <c r="E58" s="410"/>
      <c r="F58" s="496"/>
      <c r="G58" s="497"/>
      <c r="H58" s="497"/>
      <c r="I58" s="497"/>
      <c r="J58" s="497"/>
      <c r="K58" s="497"/>
      <c r="L58" s="497"/>
      <c r="M58" s="498"/>
      <c r="N58" s="409"/>
      <c r="O58" s="407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413"/>
      <c r="D59" s="413"/>
      <c r="E59" s="410"/>
      <c r="F59" s="496"/>
      <c r="G59" s="497"/>
      <c r="H59" s="497"/>
      <c r="I59" s="497"/>
      <c r="J59" s="497"/>
      <c r="K59" s="497"/>
      <c r="L59" s="497"/>
      <c r="M59" s="498"/>
      <c r="N59" s="409"/>
      <c r="O59" s="407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410"/>
      <c r="D60" s="410"/>
      <c r="E60" s="410"/>
      <c r="F60" s="496"/>
      <c r="G60" s="497"/>
      <c r="H60" s="497"/>
      <c r="I60" s="497"/>
      <c r="J60" s="497"/>
      <c r="K60" s="497"/>
      <c r="L60" s="497"/>
      <c r="M60" s="498"/>
      <c r="N60" s="409"/>
      <c r="O60" s="407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411"/>
      <c r="D61" s="412"/>
      <c r="E61" s="412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593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408" t="s">
        <v>2</v>
      </c>
      <c r="D63" s="408" t="s">
        <v>37</v>
      </c>
      <c r="E63" s="408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408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119</v>
      </c>
      <c r="D64" s="403"/>
      <c r="E64" s="406" t="s">
        <v>128</v>
      </c>
      <c r="F64" s="481" t="s">
        <v>594</v>
      </c>
      <c r="G64" s="482"/>
      <c r="H64" s="482"/>
      <c r="I64" s="482"/>
      <c r="J64" s="483"/>
      <c r="K64" s="469" t="s">
        <v>127</v>
      </c>
      <c r="L64" s="469"/>
      <c r="M64" s="51" t="s">
        <v>140</v>
      </c>
      <c r="N64" s="478" t="s">
        <v>200</v>
      </c>
      <c r="O64" s="478"/>
      <c r="P64" s="479">
        <v>50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120</v>
      </c>
      <c r="D65" s="403"/>
      <c r="E65" s="406" t="s">
        <v>137</v>
      </c>
      <c r="F65" s="481" t="s">
        <v>553</v>
      </c>
      <c r="G65" s="482"/>
      <c r="H65" s="482"/>
      <c r="I65" s="482"/>
      <c r="J65" s="483"/>
      <c r="K65" s="469" t="s">
        <v>123</v>
      </c>
      <c r="L65" s="469"/>
      <c r="M65" s="51" t="s">
        <v>140</v>
      </c>
      <c r="N65" s="478" t="s">
        <v>346</v>
      </c>
      <c r="O65" s="478"/>
      <c r="P65" s="479">
        <v>50</v>
      </c>
      <c r="Q65" s="479"/>
      <c r="R65" s="480"/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120</v>
      </c>
      <c r="D66" s="403"/>
      <c r="E66" s="406" t="s">
        <v>285</v>
      </c>
      <c r="F66" s="481" t="s">
        <v>332</v>
      </c>
      <c r="G66" s="482"/>
      <c r="H66" s="482"/>
      <c r="I66" s="482"/>
      <c r="J66" s="483"/>
      <c r="K66" s="469" t="s">
        <v>287</v>
      </c>
      <c r="L66" s="469"/>
      <c r="M66" s="51" t="s">
        <v>140</v>
      </c>
      <c r="N66" s="478" t="s">
        <v>358</v>
      </c>
      <c r="O66" s="478"/>
      <c r="P66" s="479">
        <v>200</v>
      </c>
      <c r="Q66" s="479"/>
      <c r="R66" s="480"/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 t="s">
        <v>120</v>
      </c>
      <c r="D67" s="403"/>
      <c r="E67" s="406" t="s">
        <v>285</v>
      </c>
      <c r="F67" s="481" t="s">
        <v>595</v>
      </c>
      <c r="G67" s="482"/>
      <c r="H67" s="482"/>
      <c r="I67" s="482"/>
      <c r="J67" s="483"/>
      <c r="K67" s="469" t="s">
        <v>287</v>
      </c>
      <c r="L67" s="469"/>
      <c r="M67" s="51" t="s">
        <v>236</v>
      </c>
      <c r="N67" s="478" t="s">
        <v>358</v>
      </c>
      <c r="O67" s="478"/>
      <c r="P67" s="479">
        <v>200</v>
      </c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 t="s">
        <v>119</v>
      </c>
      <c r="D68" s="403"/>
      <c r="E68" s="406" t="s">
        <v>115</v>
      </c>
      <c r="F68" s="481" t="s">
        <v>541</v>
      </c>
      <c r="G68" s="482"/>
      <c r="H68" s="482"/>
      <c r="I68" s="482"/>
      <c r="J68" s="483"/>
      <c r="K68" s="469">
        <v>7301</v>
      </c>
      <c r="L68" s="469"/>
      <c r="M68" s="51" t="s">
        <v>140</v>
      </c>
      <c r="N68" s="478" t="s">
        <v>187</v>
      </c>
      <c r="O68" s="478"/>
      <c r="P68" s="479">
        <v>50</v>
      </c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403"/>
      <c r="E69" s="406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403"/>
      <c r="E70" s="406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403"/>
      <c r="E71" s="406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403"/>
      <c r="E72" s="406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403"/>
      <c r="E73" s="406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596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585</v>
      </c>
      <c r="B75" s="451"/>
      <c r="C75" s="405" t="s">
        <v>2</v>
      </c>
      <c r="D75" s="405" t="s">
        <v>37</v>
      </c>
      <c r="E75" s="405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404" t="s">
        <v>112</v>
      </c>
      <c r="D76" s="404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403"/>
      <c r="D77" s="403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9">A77+1</f>
        <v>3</v>
      </c>
      <c r="B78" s="437"/>
      <c r="C78" s="403"/>
      <c r="D78" s="403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9"/>
        <v>4</v>
      </c>
      <c r="B79" s="437"/>
      <c r="C79" s="403"/>
      <c r="D79" s="403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9"/>
        <v>5</v>
      </c>
      <c r="B80" s="437"/>
      <c r="C80" s="403"/>
      <c r="D80" s="403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9"/>
        <v>6</v>
      </c>
      <c r="B81" s="437"/>
      <c r="C81" s="403"/>
      <c r="D81" s="403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9"/>
        <v>7</v>
      </c>
      <c r="B82" s="437"/>
      <c r="C82" s="403"/>
      <c r="D82" s="403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597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4608-9430-4E1A-A683-7D80FB1F0025}">
  <dimension ref="A1:AF87"/>
  <sheetViews>
    <sheetView tabSelected="1"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1" t="s">
        <v>598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1"/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2"/>
      <c r="B3" s="542"/>
      <c r="C3" s="542"/>
      <c r="D3" s="542"/>
      <c r="E3" s="542"/>
      <c r="F3" s="542"/>
      <c r="G3" s="5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3" t="s">
        <v>0</v>
      </c>
      <c r="B4" s="545" t="s">
        <v>1</v>
      </c>
      <c r="C4" s="545" t="s">
        <v>2</v>
      </c>
      <c r="D4" s="548" t="s">
        <v>3</v>
      </c>
      <c r="E4" s="550" t="s">
        <v>4</v>
      </c>
      <c r="F4" s="548" t="s">
        <v>5</v>
      </c>
      <c r="G4" s="545" t="s">
        <v>6</v>
      </c>
      <c r="H4" s="551" t="s">
        <v>7</v>
      </c>
      <c r="I4" s="531" t="s">
        <v>8</v>
      </c>
      <c r="J4" s="532"/>
      <c r="K4" s="532"/>
      <c r="L4" s="532"/>
      <c r="M4" s="532"/>
      <c r="N4" s="532"/>
      <c r="O4" s="533"/>
      <c r="P4" s="534" t="s">
        <v>9</v>
      </c>
      <c r="Q4" s="535"/>
      <c r="R4" s="536" t="s">
        <v>10</v>
      </c>
      <c r="S4" s="536"/>
      <c r="T4" s="536"/>
      <c r="U4" s="536"/>
      <c r="V4" s="536"/>
      <c r="W4" s="537" t="s">
        <v>11</v>
      </c>
      <c r="X4" s="536"/>
      <c r="Y4" s="536"/>
      <c r="Z4" s="536"/>
      <c r="AA4" s="538"/>
      <c r="AB4" s="539" t="s">
        <v>12</v>
      </c>
      <c r="AC4" s="513" t="s">
        <v>13</v>
      </c>
      <c r="AD4" s="513" t="s">
        <v>14</v>
      </c>
      <c r="AE4" s="54"/>
    </row>
    <row r="5" spans="1:32" ht="51" customHeight="1" thickBot="1">
      <c r="A5" s="544"/>
      <c r="B5" s="546"/>
      <c r="C5" s="547"/>
      <c r="D5" s="549"/>
      <c r="E5" s="549"/>
      <c r="F5" s="549"/>
      <c r="G5" s="546"/>
      <c r="H5" s="552"/>
      <c r="I5" s="55" t="s">
        <v>15</v>
      </c>
      <c r="J5" s="56" t="s">
        <v>16</v>
      </c>
      <c r="K5" s="416" t="s">
        <v>17</v>
      </c>
      <c r="L5" s="416" t="s">
        <v>18</v>
      </c>
      <c r="M5" s="416" t="s">
        <v>19</v>
      </c>
      <c r="N5" s="4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0"/>
      <c r="AC5" s="514"/>
      <c r="AD5" s="514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128</v>
      </c>
      <c r="E6" s="53" t="s">
        <v>465</v>
      </c>
      <c r="F6" s="12" t="s">
        <v>127</v>
      </c>
      <c r="G6" s="12">
        <v>1</v>
      </c>
      <c r="H6" s="13">
        <v>24</v>
      </c>
      <c r="I6" s="31">
        <v>4000</v>
      </c>
      <c r="J6" s="14">
        <v>3718</v>
      </c>
      <c r="K6" s="15">
        <f>L6+1408+3251+3718</f>
        <v>8377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0.47656249999999994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122</v>
      </c>
      <c r="D7" s="52"/>
      <c r="E7" s="53" t="s">
        <v>493</v>
      </c>
      <c r="F7" s="12" t="s">
        <v>494</v>
      </c>
      <c r="G7" s="12">
        <v>1</v>
      </c>
      <c r="H7" s="13">
        <v>24</v>
      </c>
      <c r="I7" s="31">
        <v>6000</v>
      </c>
      <c r="J7" s="14">
        <v>1012</v>
      </c>
      <c r="K7" s="15">
        <f>L7+2355+900+1012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0.47656249999999994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136</v>
      </c>
      <c r="E8" s="53" t="s">
        <v>143</v>
      </c>
      <c r="F8" s="30" t="s">
        <v>123</v>
      </c>
      <c r="G8" s="33">
        <v>4</v>
      </c>
      <c r="H8" s="35">
        <v>24</v>
      </c>
      <c r="I8" s="7">
        <v>600000</v>
      </c>
      <c r="J8" s="14">
        <v>23944</v>
      </c>
      <c r="K8" s="15">
        <f>L8+23776+23632+22448+10612+24680+24492+25268+13104+24332+13700+17504</f>
        <v>247492</v>
      </c>
      <c r="L8" s="15">
        <f>3142*4+2844*4</f>
        <v>23944</v>
      </c>
      <c r="M8" s="15">
        <f t="shared" si="0"/>
        <v>23944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0.47656249999999994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119</v>
      </c>
      <c r="D9" s="52" t="s">
        <v>136</v>
      </c>
      <c r="E9" s="53" t="s">
        <v>546</v>
      </c>
      <c r="F9" s="30" t="s">
        <v>129</v>
      </c>
      <c r="G9" s="33">
        <v>1</v>
      </c>
      <c r="H9" s="35">
        <v>24</v>
      </c>
      <c r="I9" s="7">
        <v>10000</v>
      </c>
      <c r="J9" s="14">
        <v>5460</v>
      </c>
      <c r="K9" s="15">
        <f>L9+5184+5460</f>
        <v>10644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0.47656249999999994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137</v>
      </c>
      <c r="E10" s="53" t="s">
        <v>141</v>
      </c>
      <c r="F10" s="30" t="s">
        <v>123</v>
      </c>
      <c r="G10" s="33">
        <v>4</v>
      </c>
      <c r="H10" s="35">
        <v>24</v>
      </c>
      <c r="I10" s="7">
        <v>600000</v>
      </c>
      <c r="J10" s="5">
        <v>1424</v>
      </c>
      <c r="K10" s="15">
        <f>L10+25196+23668+24836+25088+24940+25884+1424</f>
        <v>151036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0.47656249999999994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115</v>
      </c>
      <c r="E11" s="53" t="s">
        <v>541</v>
      </c>
      <c r="F11" s="30" t="s">
        <v>129</v>
      </c>
      <c r="G11" s="33">
        <v>1</v>
      </c>
      <c r="H11" s="35">
        <v>24</v>
      </c>
      <c r="I11" s="7">
        <v>7000</v>
      </c>
      <c r="J11" s="14">
        <v>2940</v>
      </c>
      <c r="K11" s="15">
        <f>L11+2508+2541</f>
        <v>7989</v>
      </c>
      <c r="L11" s="15">
        <f>956+1984</f>
        <v>2940</v>
      </c>
      <c r="M11" s="15">
        <f t="shared" si="0"/>
        <v>2940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0.47656249999999994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120</v>
      </c>
      <c r="D12" s="52" t="s">
        <v>115</v>
      </c>
      <c r="E12" s="53" t="s">
        <v>232</v>
      </c>
      <c r="F12" s="30" t="s">
        <v>123</v>
      </c>
      <c r="G12" s="12">
        <v>3</v>
      </c>
      <c r="H12" s="13">
        <v>28</v>
      </c>
      <c r="I12" s="31">
        <v>400000</v>
      </c>
      <c r="J12" s="5">
        <v>20418</v>
      </c>
      <c r="K12" s="15">
        <f>L12+24356+25828+27100+24476+20768+27072+26880+9280+9984+18246+20307+18330</f>
        <v>273045</v>
      </c>
      <c r="L12" s="15">
        <f>3406*3+3400*3</f>
        <v>20418</v>
      </c>
      <c r="M12" s="15">
        <f t="shared" si="0"/>
        <v>20418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0.47656249999999994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115</v>
      </c>
      <c r="E13" s="53" t="s">
        <v>142</v>
      </c>
      <c r="F13" s="30" t="s">
        <v>123</v>
      </c>
      <c r="G13" s="12">
        <v>4</v>
      </c>
      <c r="H13" s="13">
        <v>28</v>
      </c>
      <c r="I13" s="31">
        <v>561000</v>
      </c>
      <c r="J13" s="5">
        <v>27356</v>
      </c>
      <c r="K13" s="15">
        <f>L13+14284+8352+12576+8310+15524+17860+22424+23088+2420+23364+22844+15980+12148+8056+16415+23304+22652+18028+24560+16004+23972+26116+28148+12884+27980+28568+27912+29148+22636+20804+27276+24808</f>
        <v>655801</v>
      </c>
      <c r="L13" s="15">
        <f>3525*4+3314*4</f>
        <v>27356</v>
      </c>
      <c r="M13" s="15">
        <f t="shared" si="0"/>
        <v>27356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0.47656249999999994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120</v>
      </c>
      <c r="D14" s="52"/>
      <c r="E14" s="53" t="s">
        <v>225</v>
      </c>
      <c r="F14" s="30" t="s">
        <v>123</v>
      </c>
      <c r="G14" s="33" t="s">
        <v>242</v>
      </c>
      <c r="H14" s="35">
        <v>60</v>
      </c>
      <c r="I14" s="7">
        <v>4000</v>
      </c>
      <c r="J14" s="5">
        <v>2824</v>
      </c>
      <c r="K14" s="15">
        <f>L14+2220+2966</f>
        <v>8010</v>
      </c>
      <c r="L14" s="15">
        <f>1412*2</f>
        <v>2824</v>
      </c>
      <c r="M14" s="15">
        <f t="shared" si="0"/>
        <v>2824</v>
      </c>
      <c r="N14" s="15">
        <v>0</v>
      </c>
      <c r="O14" s="58">
        <f t="shared" si="1"/>
        <v>0</v>
      </c>
      <c r="P14" s="39">
        <f t="shared" si="2"/>
        <v>13</v>
      </c>
      <c r="Q14" s="40">
        <f t="shared" si="3"/>
        <v>11</v>
      </c>
      <c r="R14" s="7"/>
      <c r="S14" s="6"/>
      <c r="T14" s="16"/>
      <c r="U14" s="16"/>
      <c r="V14" s="17">
        <v>11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0.54166666666666663</v>
      </c>
      <c r="AD14" s="10">
        <f t="shared" si="9"/>
        <v>0.54166666666666663</v>
      </c>
      <c r="AE14" s="36">
        <f t="shared" si="7"/>
        <v>0.47656249999999994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357</v>
      </c>
      <c r="D15" s="52" t="s">
        <v>359</v>
      </c>
      <c r="E15" s="53" t="s">
        <v>367</v>
      </c>
      <c r="F15" s="12" t="s">
        <v>368</v>
      </c>
      <c r="G15" s="12">
        <v>4</v>
      </c>
      <c r="H15" s="13">
        <v>24</v>
      </c>
      <c r="I15" s="31">
        <v>10000</v>
      </c>
      <c r="J15" s="14">
        <v>15572</v>
      </c>
      <c r="K15" s="15">
        <f>L15+20724+15572</f>
        <v>36296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0.47656249999999994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119</v>
      </c>
      <c r="D16" s="52" t="s">
        <v>145</v>
      </c>
      <c r="E16" s="53" t="s">
        <v>146</v>
      </c>
      <c r="F16" s="30" t="s">
        <v>147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0.47656249999999994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128</v>
      </c>
      <c r="E17" s="53" t="s">
        <v>533</v>
      </c>
      <c r="F17" s="30" t="s">
        <v>287</v>
      </c>
      <c r="G17" s="12">
        <v>1</v>
      </c>
      <c r="H17" s="13">
        <v>24</v>
      </c>
      <c r="I17" s="7">
        <v>41000</v>
      </c>
      <c r="J17" s="14">
        <v>5650</v>
      </c>
      <c r="K17" s="15">
        <f>L17+5525+6064+6153</f>
        <v>23392</v>
      </c>
      <c r="L17" s="15">
        <f>2759+2891</f>
        <v>5650</v>
      </c>
      <c r="M17" s="15">
        <f t="shared" si="0"/>
        <v>5650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0.47656249999999994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226</v>
      </c>
      <c r="F18" s="30" t="s">
        <v>243</v>
      </c>
      <c r="G18" s="33">
        <v>1</v>
      </c>
      <c r="H18" s="35">
        <v>24</v>
      </c>
      <c r="I18" s="7">
        <v>300</v>
      </c>
      <c r="J18" s="14">
        <v>429</v>
      </c>
      <c r="K18" s="15">
        <f>L18</f>
        <v>429</v>
      </c>
      <c r="L18" s="15">
        <f>429</f>
        <v>429</v>
      </c>
      <c r="M18" s="15">
        <f t="shared" si="0"/>
        <v>429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16</v>
      </c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0.47656249999999994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119</v>
      </c>
      <c r="D19" s="52" t="s">
        <v>115</v>
      </c>
      <c r="E19" s="53" t="s">
        <v>268</v>
      </c>
      <c r="F19" s="30" t="s">
        <v>118</v>
      </c>
      <c r="G19" s="33">
        <v>4</v>
      </c>
      <c r="H19" s="35">
        <v>24</v>
      </c>
      <c r="I19" s="7">
        <v>100000</v>
      </c>
      <c r="J19" s="14">
        <v>11036</v>
      </c>
      <c r="K19" s="15">
        <f>L19+9612</f>
        <v>20648</v>
      </c>
      <c r="L19" s="15">
        <f>1278*4+1481*4</f>
        <v>11036</v>
      </c>
      <c r="M19" s="15">
        <f t="shared" si="0"/>
        <v>11036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>
        <v>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6">
        <f t="shared" si="7"/>
        <v>0.47656249999999994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137</v>
      </c>
      <c r="E20" s="53" t="s">
        <v>559</v>
      </c>
      <c r="F20" s="30" t="s">
        <v>123</v>
      </c>
      <c r="G20" s="12">
        <v>2</v>
      </c>
      <c r="H20" s="13">
        <v>28</v>
      </c>
      <c r="I20" s="31">
        <v>40000</v>
      </c>
      <c r="J20" s="5">
        <v>12936</v>
      </c>
      <c r="K20" s="15">
        <f>L20+12952</f>
        <v>25888</v>
      </c>
      <c r="L20" s="15">
        <f>3166*2+3302*2</f>
        <v>12936</v>
      </c>
      <c r="M20" s="15">
        <f t="shared" si="0"/>
        <v>12936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0.47656249999999994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524</v>
      </c>
      <c r="F21" s="12" t="s">
        <v>114</v>
      </c>
      <c r="G21" s="12">
        <v>4</v>
      </c>
      <c r="H21" s="35">
        <v>20</v>
      </c>
      <c r="I21" s="7">
        <v>300000</v>
      </c>
      <c r="J21" s="14">
        <v>36084</v>
      </c>
      <c r="K21" s="15">
        <f>L21+28012+37064+34640+37752</f>
        <v>173552</v>
      </c>
      <c r="L21" s="15">
        <f>9021*4</f>
        <v>36084</v>
      </c>
      <c r="M21" s="15">
        <f t="shared" si="0"/>
        <v>36084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0.47656249999999994</v>
      </c>
      <c r="AF21" s="84">
        <f t="shared" si="8"/>
        <v>16</v>
      </c>
    </row>
    <row r="22" spans="1:32" ht="31.5" customHeight="1" thickBot="1">
      <c r="A22" s="515" t="s">
        <v>34</v>
      </c>
      <c r="B22" s="516"/>
      <c r="C22" s="516"/>
      <c r="D22" s="516"/>
      <c r="E22" s="516"/>
      <c r="F22" s="516"/>
      <c r="G22" s="516"/>
      <c r="H22" s="517"/>
      <c r="I22" s="22">
        <f t="shared" ref="I22:N22" si="10">SUM(I6:I21)</f>
        <v>2683800</v>
      </c>
      <c r="J22" s="19">
        <f t="shared" si="10"/>
        <v>171298</v>
      </c>
      <c r="K22" s="20">
        <f t="shared" si="10"/>
        <v>1647361</v>
      </c>
      <c r="L22" s="21">
        <f t="shared" si="10"/>
        <v>143617</v>
      </c>
      <c r="M22" s="20">
        <f t="shared" si="10"/>
        <v>143617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183</v>
      </c>
      <c r="Q22" s="43">
        <f t="shared" si="11"/>
        <v>201</v>
      </c>
      <c r="R22" s="23">
        <f t="shared" si="11"/>
        <v>24</v>
      </c>
      <c r="S22" s="24">
        <f t="shared" si="11"/>
        <v>44</v>
      </c>
      <c r="T22" s="24">
        <f t="shared" si="11"/>
        <v>0</v>
      </c>
      <c r="U22" s="24">
        <f t="shared" si="11"/>
        <v>0</v>
      </c>
      <c r="V22" s="25">
        <f t="shared" si="11"/>
        <v>21</v>
      </c>
      <c r="W22" s="26">
        <f t="shared" si="11"/>
        <v>48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64</v>
      </c>
      <c r="AB22" s="28">
        <f>AVERAGE(AB6:AB21)</f>
        <v>0.625</v>
      </c>
      <c r="AC22" s="4">
        <f>AVERAGE(AC6:AC21)</f>
        <v>0.47656249999999994</v>
      </c>
      <c r="AD22" s="4">
        <f>AVERAGE(AD6:AD21)</f>
        <v>0.47656249999999994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18" t="s">
        <v>45</v>
      </c>
      <c r="B49" s="518"/>
      <c r="C49" s="518"/>
      <c r="D49" s="518"/>
      <c r="E49" s="51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19" t="s">
        <v>599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1"/>
      <c r="N50" s="522" t="s">
        <v>218</v>
      </c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4"/>
    </row>
    <row r="51" spans="1:32" ht="27" customHeight="1">
      <c r="A51" s="525" t="s">
        <v>2</v>
      </c>
      <c r="B51" s="526"/>
      <c r="C51" s="417" t="s">
        <v>46</v>
      </c>
      <c r="D51" s="417" t="s">
        <v>47</v>
      </c>
      <c r="E51" s="417" t="s">
        <v>107</v>
      </c>
      <c r="F51" s="527" t="s">
        <v>106</v>
      </c>
      <c r="G51" s="528"/>
      <c r="H51" s="528"/>
      <c r="I51" s="528"/>
      <c r="J51" s="528"/>
      <c r="K51" s="528"/>
      <c r="L51" s="528"/>
      <c r="M51" s="529"/>
      <c r="N51" s="67" t="s">
        <v>110</v>
      </c>
      <c r="O51" s="417" t="s">
        <v>46</v>
      </c>
      <c r="P51" s="527" t="s">
        <v>47</v>
      </c>
      <c r="Q51" s="530"/>
      <c r="R51" s="527" t="s">
        <v>38</v>
      </c>
      <c r="S51" s="528"/>
      <c r="T51" s="528"/>
      <c r="U51" s="530"/>
      <c r="V51" s="527" t="s">
        <v>48</v>
      </c>
      <c r="W51" s="528"/>
      <c r="X51" s="528"/>
      <c r="Y51" s="528"/>
      <c r="Z51" s="528"/>
      <c r="AA51" s="528"/>
      <c r="AB51" s="528"/>
      <c r="AC51" s="528"/>
      <c r="AD51" s="529"/>
    </row>
    <row r="52" spans="1:32" ht="27" customHeight="1">
      <c r="A52" s="508" t="s">
        <v>119</v>
      </c>
      <c r="B52" s="509"/>
      <c r="C52" s="418" t="s">
        <v>280</v>
      </c>
      <c r="D52" s="418" t="s">
        <v>115</v>
      </c>
      <c r="E52" s="420" t="s">
        <v>541</v>
      </c>
      <c r="F52" s="496" t="s">
        <v>600</v>
      </c>
      <c r="G52" s="497"/>
      <c r="H52" s="497"/>
      <c r="I52" s="497"/>
      <c r="J52" s="497"/>
      <c r="K52" s="497"/>
      <c r="L52" s="497"/>
      <c r="M52" s="498"/>
      <c r="N52" s="419" t="s">
        <v>120</v>
      </c>
      <c r="O52" s="425" t="s">
        <v>149</v>
      </c>
      <c r="P52" s="510" t="s">
        <v>115</v>
      </c>
      <c r="Q52" s="511"/>
      <c r="R52" s="495" t="s">
        <v>232</v>
      </c>
      <c r="S52" s="495"/>
      <c r="T52" s="495"/>
      <c r="U52" s="495"/>
      <c r="V52" s="480" t="s">
        <v>571</v>
      </c>
      <c r="W52" s="480"/>
      <c r="X52" s="480"/>
      <c r="Y52" s="480"/>
      <c r="Z52" s="480"/>
      <c r="AA52" s="480"/>
      <c r="AB52" s="480"/>
      <c r="AC52" s="480"/>
      <c r="AD52" s="499"/>
    </row>
    <row r="53" spans="1:32" ht="27" customHeight="1">
      <c r="A53" s="494" t="s">
        <v>119</v>
      </c>
      <c r="B53" s="495"/>
      <c r="C53" s="420" t="s">
        <v>314</v>
      </c>
      <c r="D53" s="418" t="s">
        <v>115</v>
      </c>
      <c r="E53" s="420" t="s">
        <v>268</v>
      </c>
      <c r="F53" s="496" t="s">
        <v>601</v>
      </c>
      <c r="G53" s="497"/>
      <c r="H53" s="497"/>
      <c r="I53" s="497"/>
      <c r="J53" s="497"/>
      <c r="K53" s="497"/>
      <c r="L53" s="497"/>
      <c r="M53" s="498"/>
      <c r="N53" s="419" t="s">
        <v>119</v>
      </c>
      <c r="O53" s="425" t="s">
        <v>314</v>
      </c>
      <c r="P53" s="510" t="s">
        <v>115</v>
      </c>
      <c r="Q53" s="511"/>
      <c r="R53" s="510" t="s">
        <v>268</v>
      </c>
      <c r="S53" s="512"/>
      <c r="T53" s="512"/>
      <c r="U53" s="511"/>
      <c r="V53" s="480" t="s">
        <v>139</v>
      </c>
      <c r="W53" s="480"/>
      <c r="X53" s="480"/>
      <c r="Y53" s="480"/>
      <c r="Z53" s="480"/>
      <c r="AA53" s="480"/>
      <c r="AB53" s="480"/>
      <c r="AC53" s="480"/>
      <c r="AD53" s="499"/>
    </row>
    <row r="54" spans="1:32" ht="27" customHeight="1">
      <c r="A54" s="494" t="s">
        <v>112</v>
      </c>
      <c r="B54" s="495"/>
      <c r="C54" s="420" t="s">
        <v>187</v>
      </c>
      <c r="D54" s="420" t="s">
        <v>115</v>
      </c>
      <c r="E54" s="420" t="s">
        <v>226</v>
      </c>
      <c r="F54" s="496" t="s">
        <v>180</v>
      </c>
      <c r="G54" s="497"/>
      <c r="H54" s="497"/>
      <c r="I54" s="497"/>
      <c r="J54" s="497"/>
      <c r="K54" s="497"/>
      <c r="L54" s="497"/>
      <c r="M54" s="498"/>
      <c r="N54" s="419" t="s">
        <v>112</v>
      </c>
      <c r="O54" s="425" t="s">
        <v>187</v>
      </c>
      <c r="P54" s="510" t="s">
        <v>115</v>
      </c>
      <c r="Q54" s="511"/>
      <c r="R54" s="510" t="s">
        <v>602</v>
      </c>
      <c r="S54" s="512"/>
      <c r="T54" s="512"/>
      <c r="U54" s="511"/>
      <c r="V54" s="480" t="s">
        <v>180</v>
      </c>
      <c r="W54" s="480"/>
      <c r="X54" s="480"/>
      <c r="Y54" s="480"/>
      <c r="Z54" s="480"/>
      <c r="AA54" s="480"/>
      <c r="AB54" s="480"/>
      <c r="AC54" s="480"/>
      <c r="AD54" s="499"/>
    </row>
    <row r="55" spans="1:32" ht="27" customHeight="1">
      <c r="A55" s="494"/>
      <c r="B55" s="495"/>
      <c r="C55" s="420"/>
      <c r="D55" s="420"/>
      <c r="E55" s="420"/>
      <c r="F55" s="496"/>
      <c r="G55" s="497"/>
      <c r="H55" s="497"/>
      <c r="I55" s="497"/>
      <c r="J55" s="497"/>
      <c r="K55" s="497"/>
      <c r="L55" s="497"/>
      <c r="M55" s="498"/>
      <c r="N55" s="419" t="s">
        <v>112</v>
      </c>
      <c r="O55" s="425" t="s">
        <v>224</v>
      </c>
      <c r="P55" s="510" t="s">
        <v>115</v>
      </c>
      <c r="Q55" s="511"/>
      <c r="R55" s="510" t="s">
        <v>144</v>
      </c>
      <c r="S55" s="512"/>
      <c r="T55" s="512"/>
      <c r="U55" s="511"/>
      <c r="V55" s="480" t="s">
        <v>180</v>
      </c>
      <c r="W55" s="480"/>
      <c r="X55" s="480"/>
      <c r="Y55" s="480"/>
      <c r="Z55" s="480"/>
      <c r="AA55" s="480"/>
      <c r="AB55" s="480"/>
      <c r="AC55" s="480"/>
      <c r="AD55" s="499"/>
    </row>
    <row r="56" spans="1:32" ht="27" customHeight="1">
      <c r="A56" s="494"/>
      <c r="B56" s="495"/>
      <c r="C56" s="420"/>
      <c r="D56" s="418"/>
      <c r="E56" s="420"/>
      <c r="F56" s="496"/>
      <c r="G56" s="497"/>
      <c r="H56" s="497"/>
      <c r="I56" s="497"/>
      <c r="J56" s="497"/>
      <c r="K56" s="497"/>
      <c r="L56" s="497"/>
      <c r="M56" s="498"/>
      <c r="N56" s="419" t="s">
        <v>119</v>
      </c>
      <c r="O56" s="425" t="s">
        <v>174</v>
      </c>
      <c r="P56" s="510" t="s">
        <v>285</v>
      </c>
      <c r="Q56" s="511"/>
      <c r="R56" s="510" t="s">
        <v>474</v>
      </c>
      <c r="S56" s="512"/>
      <c r="T56" s="512"/>
      <c r="U56" s="511"/>
      <c r="V56" s="480" t="s">
        <v>180</v>
      </c>
      <c r="W56" s="480"/>
      <c r="X56" s="480"/>
      <c r="Y56" s="480"/>
      <c r="Z56" s="480"/>
      <c r="AA56" s="480"/>
      <c r="AB56" s="480"/>
      <c r="AC56" s="480"/>
      <c r="AD56" s="499"/>
    </row>
    <row r="57" spans="1:32" ht="27" customHeight="1">
      <c r="A57" s="494"/>
      <c r="B57" s="495"/>
      <c r="C57" s="420"/>
      <c r="D57" s="420"/>
      <c r="E57" s="420"/>
      <c r="F57" s="496"/>
      <c r="G57" s="497"/>
      <c r="H57" s="497"/>
      <c r="I57" s="497"/>
      <c r="J57" s="497"/>
      <c r="K57" s="497"/>
      <c r="L57" s="497"/>
      <c r="M57" s="498"/>
      <c r="N57" s="419"/>
      <c r="O57" s="425"/>
      <c r="P57" s="510"/>
      <c r="Q57" s="511"/>
      <c r="R57" s="510"/>
      <c r="S57" s="512"/>
      <c r="T57" s="512"/>
      <c r="U57" s="511"/>
      <c r="V57" s="496"/>
      <c r="W57" s="497"/>
      <c r="X57" s="497"/>
      <c r="Y57" s="497"/>
      <c r="Z57" s="497"/>
      <c r="AA57" s="497"/>
      <c r="AB57" s="497"/>
      <c r="AC57" s="497"/>
      <c r="AD57" s="498"/>
    </row>
    <row r="58" spans="1:32" ht="27" customHeight="1">
      <c r="A58" s="508"/>
      <c r="B58" s="509"/>
      <c r="C58" s="418"/>
      <c r="D58" s="418"/>
      <c r="E58" s="420"/>
      <c r="F58" s="496"/>
      <c r="G58" s="497"/>
      <c r="H58" s="497"/>
      <c r="I58" s="497"/>
      <c r="J58" s="497"/>
      <c r="K58" s="497"/>
      <c r="L58" s="497"/>
      <c r="M58" s="498"/>
      <c r="N58" s="419"/>
      <c r="O58" s="425"/>
      <c r="P58" s="510"/>
      <c r="Q58" s="511"/>
      <c r="R58" s="495"/>
      <c r="S58" s="495"/>
      <c r="T58" s="495"/>
      <c r="U58" s="495"/>
      <c r="V58" s="480"/>
      <c r="W58" s="480"/>
      <c r="X58" s="480"/>
      <c r="Y58" s="480"/>
      <c r="Z58" s="480"/>
      <c r="AA58" s="480"/>
      <c r="AB58" s="480"/>
      <c r="AC58" s="480"/>
      <c r="AD58" s="499"/>
    </row>
    <row r="59" spans="1:32" ht="27" customHeight="1">
      <c r="A59" s="508"/>
      <c r="B59" s="509"/>
      <c r="C59" s="418"/>
      <c r="D59" s="418"/>
      <c r="E59" s="420"/>
      <c r="F59" s="496"/>
      <c r="G59" s="497"/>
      <c r="H59" s="497"/>
      <c r="I59" s="497"/>
      <c r="J59" s="497"/>
      <c r="K59" s="497"/>
      <c r="L59" s="497"/>
      <c r="M59" s="498"/>
      <c r="N59" s="419"/>
      <c r="O59" s="425"/>
      <c r="P59" s="510"/>
      <c r="Q59" s="511"/>
      <c r="R59" s="495"/>
      <c r="S59" s="495"/>
      <c r="T59" s="495"/>
      <c r="U59" s="495"/>
      <c r="V59" s="480"/>
      <c r="W59" s="480"/>
      <c r="X59" s="480"/>
      <c r="Y59" s="480"/>
      <c r="Z59" s="480"/>
      <c r="AA59" s="480"/>
      <c r="AB59" s="480"/>
      <c r="AC59" s="480"/>
      <c r="AD59" s="499"/>
    </row>
    <row r="60" spans="1:32" ht="27" customHeight="1">
      <c r="A60" s="494"/>
      <c r="B60" s="495"/>
      <c r="C60" s="420"/>
      <c r="D60" s="420"/>
      <c r="E60" s="420"/>
      <c r="F60" s="496"/>
      <c r="G60" s="497"/>
      <c r="H60" s="497"/>
      <c r="I60" s="497"/>
      <c r="J60" s="497"/>
      <c r="K60" s="497"/>
      <c r="L60" s="497"/>
      <c r="M60" s="498"/>
      <c r="N60" s="419"/>
      <c r="O60" s="425"/>
      <c r="P60" s="495"/>
      <c r="Q60" s="495"/>
      <c r="R60" s="495"/>
      <c r="S60" s="495"/>
      <c r="T60" s="495"/>
      <c r="U60" s="495"/>
      <c r="V60" s="480"/>
      <c r="W60" s="480"/>
      <c r="X60" s="480"/>
      <c r="Y60" s="480"/>
      <c r="Z60" s="480"/>
      <c r="AA60" s="480"/>
      <c r="AB60" s="480"/>
      <c r="AC60" s="480"/>
      <c r="AD60" s="499"/>
      <c r="AF60" s="84">
        <f>8*3000</f>
        <v>24000</v>
      </c>
    </row>
    <row r="61" spans="1:32" ht="27" customHeight="1" thickBot="1">
      <c r="A61" s="500"/>
      <c r="B61" s="501"/>
      <c r="C61" s="421"/>
      <c r="D61" s="422"/>
      <c r="E61" s="422"/>
      <c r="F61" s="502"/>
      <c r="G61" s="503"/>
      <c r="H61" s="503"/>
      <c r="I61" s="503"/>
      <c r="J61" s="503"/>
      <c r="K61" s="503"/>
      <c r="L61" s="503"/>
      <c r="M61" s="504"/>
      <c r="N61" s="112"/>
      <c r="O61" s="103"/>
      <c r="P61" s="505"/>
      <c r="Q61" s="505"/>
      <c r="R61" s="505"/>
      <c r="S61" s="505"/>
      <c r="T61" s="505"/>
      <c r="U61" s="505"/>
      <c r="V61" s="506"/>
      <c r="W61" s="506"/>
      <c r="X61" s="506"/>
      <c r="Y61" s="506"/>
      <c r="Z61" s="506"/>
      <c r="AA61" s="506"/>
      <c r="AB61" s="506"/>
      <c r="AC61" s="506"/>
      <c r="AD61" s="507"/>
      <c r="AF61" s="84">
        <f>16*3000</f>
        <v>48000</v>
      </c>
    </row>
    <row r="62" spans="1:32" ht="27.75" thickBot="1">
      <c r="A62" s="492" t="s">
        <v>603</v>
      </c>
      <c r="B62" s="492"/>
      <c r="C62" s="492"/>
      <c r="D62" s="492"/>
      <c r="E62" s="49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3" t="s">
        <v>111</v>
      </c>
      <c r="B63" s="487"/>
      <c r="C63" s="423" t="s">
        <v>2</v>
      </c>
      <c r="D63" s="423" t="s">
        <v>37</v>
      </c>
      <c r="E63" s="423" t="s">
        <v>3</v>
      </c>
      <c r="F63" s="487" t="s">
        <v>109</v>
      </c>
      <c r="G63" s="487"/>
      <c r="H63" s="487"/>
      <c r="I63" s="487"/>
      <c r="J63" s="487"/>
      <c r="K63" s="487" t="s">
        <v>39</v>
      </c>
      <c r="L63" s="487"/>
      <c r="M63" s="423" t="s">
        <v>40</v>
      </c>
      <c r="N63" s="487" t="s">
        <v>41</v>
      </c>
      <c r="O63" s="487"/>
      <c r="P63" s="484" t="s">
        <v>42</v>
      </c>
      <c r="Q63" s="486"/>
      <c r="R63" s="484" t="s">
        <v>43</v>
      </c>
      <c r="S63" s="485"/>
      <c r="T63" s="485"/>
      <c r="U63" s="485"/>
      <c r="V63" s="485"/>
      <c r="W63" s="485"/>
      <c r="X63" s="485"/>
      <c r="Y63" s="485"/>
      <c r="Z63" s="485"/>
      <c r="AA63" s="486"/>
      <c r="AB63" s="487" t="s">
        <v>44</v>
      </c>
      <c r="AC63" s="487"/>
      <c r="AD63" s="488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427"/>
      <c r="E64" s="424" t="s">
        <v>285</v>
      </c>
      <c r="F64" s="481" t="s">
        <v>604</v>
      </c>
      <c r="G64" s="482"/>
      <c r="H64" s="482"/>
      <c r="I64" s="482"/>
      <c r="J64" s="483"/>
      <c r="K64" s="469" t="s">
        <v>287</v>
      </c>
      <c r="L64" s="469"/>
      <c r="M64" s="51" t="s">
        <v>236</v>
      </c>
      <c r="N64" s="478" t="s">
        <v>174</v>
      </c>
      <c r="O64" s="478"/>
      <c r="P64" s="479">
        <v>50</v>
      </c>
      <c r="Q64" s="479"/>
      <c r="R64" s="480"/>
      <c r="S64" s="480"/>
      <c r="T64" s="480"/>
      <c r="U64" s="480"/>
      <c r="V64" s="480"/>
      <c r="W64" s="480"/>
      <c r="X64" s="480"/>
      <c r="Y64" s="480"/>
      <c r="Z64" s="480"/>
      <c r="AA64" s="480"/>
      <c r="AB64" s="489"/>
      <c r="AC64" s="490"/>
      <c r="AD64" s="491"/>
      <c r="AF64" s="50"/>
    </row>
    <row r="65" spans="1:32" ht="25.5" customHeight="1">
      <c r="A65" s="475">
        <v>2</v>
      </c>
      <c r="B65" s="476"/>
      <c r="C65" s="105" t="s">
        <v>120</v>
      </c>
      <c r="D65" s="427"/>
      <c r="E65" s="424" t="s">
        <v>137</v>
      </c>
      <c r="F65" s="481" t="s">
        <v>605</v>
      </c>
      <c r="G65" s="482"/>
      <c r="H65" s="482"/>
      <c r="I65" s="482"/>
      <c r="J65" s="483"/>
      <c r="K65" s="469" t="s">
        <v>123</v>
      </c>
      <c r="L65" s="469"/>
      <c r="M65" s="51" t="s">
        <v>236</v>
      </c>
      <c r="N65" s="478" t="s">
        <v>181</v>
      </c>
      <c r="O65" s="478"/>
      <c r="P65" s="479">
        <v>100</v>
      </c>
      <c r="Q65" s="479"/>
      <c r="R65" s="480" t="s">
        <v>606</v>
      </c>
      <c r="S65" s="480"/>
      <c r="T65" s="480"/>
      <c r="U65" s="480"/>
      <c r="V65" s="480"/>
      <c r="W65" s="480"/>
      <c r="X65" s="480"/>
      <c r="Y65" s="480"/>
      <c r="Z65" s="480"/>
      <c r="AA65" s="480"/>
      <c r="AB65" s="469"/>
      <c r="AC65" s="469"/>
      <c r="AD65" s="470"/>
      <c r="AF65" s="50"/>
    </row>
    <row r="66" spans="1:32" ht="25.5" customHeight="1">
      <c r="A66" s="475">
        <v>3</v>
      </c>
      <c r="B66" s="476"/>
      <c r="C66" s="105" t="s">
        <v>120</v>
      </c>
      <c r="D66" s="427"/>
      <c r="E66" s="424" t="s">
        <v>115</v>
      </c>
      <c r="F66" s="481" t="s">
        <v>607</v>
      </c>
      <c r="G66" s="482"/>
      <c r="H66" s="482"/>
      <c r="I66" s="482"/>
      <c r="J66" s="483"/>
      <c r="K66" s="469" t="s">
        <v>123</v>
      </c>
      <c r="L66" s="469"/>
      <c r="M66" s="51" t="s">
        <v>236</v>
      </c>
      <c r="N66" s="478" t="s">
        <v>187</v>
      </c>
      <c r="O66" s="478"/>
      <c r="P66" s="479">
        <v>50</v>
      </c>
      <c r="Q66" s="479"/>
      <c r="R66" s="480" t="s">
        <v>276</v>
      </c>
      <c r="S66" s="480"/>
      <c r="T66" s="480"/>
      <c r="U66" s="480"/>
      <c r="V66" s="480"/>
      <c r="W66" s="480"/>
      <c r="X66" s="480"/>
      <c r="Y66" s="480"/>
      <c r="Z66" s="480"/>
      <c r="AA66" s="480"/>
      <c r="AB66" s="469"/>
      <c r="AC66" s="469"/>
      <c r="AD66" s="470"/>
      <c r="AF66" s="50"/>
    </row>
    <row r="67" spans="1:32" ht="25.5" customHeight="1">
      <c r="A67" s="475">
        <v>4</v>
      </c>
      <c r="B67" s="476"/>
      <c r="C67" s="105"/>
      <c r="D67" s="427"/>
      <c r="E67" s="424"/>
      <c r="F67" s="481"/>
      <c r="G67" s="482"/>
      <c r="H67" s="482"/>
      <c r="I67" s="482"/>
      <c r="J67" s="483"/>
      <c r="K67" s="469"/>
      <c r="L67" s="469"/>
      <c r="M67" s="51"/>
      <c r="N67" s="478"/>
      <c r="O67" s="478"/>
      <c r="P67" s="479"/>
      <c r="Q67" s="479"/>
      <c r="R67" s="480"/>
      <c r="S67" s="480"/>
      <c r="T67" s="480"/>
      <c r="U67" s="480"/>
      <c r="V67" s="480"/>
      <c r="W67" s="480"/>
      <c r="X67" s="480"/>
      <c r="Y67" s="480"/>
      <c r="Z67" s="480"/>
      <c r="AA67" s="480"/>
      <c r="AB67" s="469"/>
      <c r="AC67" s="469"/>
      <c r="AD67" s="470"/>
      <c r="AF67" s="50"/>
    </row>
    <row r="68" spans="1:32" ht="25.5" customHeight="1">
      <c r="A68" s="475">
        <v>5</v>
      </c>
      <c r="B68" s="476"/>
      <c r="C68" s="105"/>
      <c r="D68" s="427"/>
      <c r="E68" s="424"/>
      <c r="F68" s="481"/>
      <c r="G68" s="482"/>
      <c r="H68" s="482"/>
      <c r="I68" s="482"/>
      <c r="J68" s="483"/>
      <c r="K68" s="469"/>
      <c r="L68" s="469"/>
      <c r="M68" s="51"/>
      <c r="N68" s="478"/>
      <c r="O68" s="478"/>
      <c r="P68" s="479"/>
      <c r="Q68" s="479"/>
      <c r="R68" s="480"/>
      <c r="S68" s="480"/>
      <c r="T68" s="480"/>
      <c r="U68" s="480"/>
      <c r="V68" s="480"/>
      <c r="W68" s="480"/>
      <c r="X68" s="480"/>
      <c r="Y68" s="480"/>
      <c r="Z68" s="480"/>
      <c r="AA68" s="480"/>
      <c r="AB68" s="469"/>
      <c r="AC68" s="469"/>
      <c r="AD68" s="470"/>
      <c r="AF68" s="50"/>
    </row>
    <row r="69" spans="1:32" ht="25.5" customHeight="1">
      <c r="A69" s="475">
        <v>6</v>
      </c>
      <c r="B69" s="476"/>
      <c r="C69" s="105"/>
      <c r="D69" s="427"/>
      <c r="E69" s="424"/>
      <c r="F69" s="481"/>
      <c r="G69" s="482"/>
      <c r="H69" s="482"/>
      <c r="I69" s="482"/>
      <c r="J69" s="483"/>
      <c r="K69" s="469"/>
      <c r="L69" s="469"/>
      <c r="M69" s="51"/>
      <c r="N69" s="478"/>
      <c r="O69" s="478"/>
      <c r="P69" s="479"/>
      <c r="Q69" s="479"/>
      <c r="R69" s="480"/>
      <c r="S69" s="480"/>
      <c r="T69" s="480"/>
      <c r="U69" s="480"/>
      <c r="V69" s="480"/>
      <c r="W69" s="480"/>
      <c r="X69" s="480"/>
      <c r="Y69" s="480"/>
      <c r="Z69" s="480"/>
      <c r="AA69" s="480"/>
      <c r="AB69" s="469"/>
      <c r="AC69" s="469"/>
      <c r="AD69" s="470"/>
      <c r="AF69" s="50"/>
    </row>
    <row r="70" spans="1:32" ht="25.5" customHeight="1">
      <c r="A70" s="475">
        <v>7</v>
      </c>
      <c r="B70" s="476"/>
      <c r="C70" s="105"/>
      <c r="D70" s="427"/>
      <c r="E70" s="424"/>
      <c r="F70" s="477"/>
      <c r="G70" s="469"/>
      <c r="H70" s="469"/>
      <c r="I70" s="469"/>
      <c r="J70" s="469"/>
      <c r="K70" s="469"/>
      <c r="L70" s="469"/>
      <c r="M70" s="51"/>
      <c r="N70" s="478"/>
      <c r="O70" s="478"/>
      <c r="P70" s="479"/>
      <c r="Q70" s="479"/>
      <c r="R70" s="480"/>
      <c r="S70" s="480"/>
      <c r="T70" s="480"/>
      <c r="U70" s="480"/>
      <c r="V70" s="480"/>
      <c r="W70" s="480"/>
      <c r="X70" s="480"/>
      <c r="Y70" s="480"/>
      <c r="Z70" s="480"/>
      <c r="AA70" s="480"/>
      <c r="AB70" s="469"/>
      <c r="AC70" s="469"/>
      <c r="AD70" s="470"/>
      <c r="AF70" s="50"/>
    </row>
    <row r="71" spans="1:32" ht="25.5" customHeight="1">
      <c r="A71" s="475">
        <v>8</v>
      </c>
      <c r="B71" s="476"/>
      <c r="C71" s="105"/>
      <c r="D71" s="427"/>
      <c r="E71" s="424"/>
      <c r="F71" s="477"/>
      <c r="G71" s="469"/>
      <c r="H71" s="469"/>
      <c r="I71" s="469"/>
      <c r="J71" s="469"/>
      <c r="K71" s="469"/>
      <c r="L71" s="469"/>
      <c r="M71" s="51"/>
      <c r="N71" s="478"/>
      <c r="O71" s="478"/>
      <c r="P71" s="479"/>
      <c r="Q71" s="479"/>
      <c r="R71" s="480"/>
      <c r="S71" s="480"/>
      <c r="T71" s="480"/>
      <c r="U71" s="480"/>
      <c r="V71" s="480"/>
      <c r="W71" s="480"/>
      <c r="X71" s="480"/>
      <c r="Y71" s="480"/>
      <c r="Z71" s="480"/>
      <c r="AA71" s="480"/>
      <c r="AB71" s="469"/>
      <c r="AC71" s="469"/>
      <c r="AD71" s="470"/>
      <c r="AF71" s="50"/>
    </row>
    <row r="72" spans="1:32" ht="25.5" customHeight="1">
      <c r="A72" s="475">
        <v>9</v>
      </c>
      <c r="B72" s="476"/>
      <c r="C72" s="105"/>
      <c r="D72" s="427"/>
      <c r="E72" s="424"/>
      <c r="F72" s="477"/>
      <c r="G72" s="469"/>
      <c r="H72" s="469"/>
      <c r="I72" s="469"/>
      <c r="J72" s="469"/>
      <c r="K72" s="469"/>
      <c r="L72" s="469"/>
      <c r="M72" s="51"/>
      <c r="N72" s="478"/>
      <c r="O72" s="478"/>
      <c r="P72" s="479"/>
      <c r="Q72" s="479"/>
      <c r="R72" s="480"/>
      <c r="S72" s="480"/>
      <c r="T72" s="480"/>
      <c r="U72" s="480"/>
      <c r="V72" s="480"/>
      <c r="W72" s="480"/>
      <c r="X72" s="480"/>
      <c r="Y72" s="480"/>
      <c r="Z72" s="480"/>
      <c r="AA72" s="480"/>
      <c r="AB72" s="469"/>
      <c r="AC72" s="469"/>
      <c r="AD72" s="470"/>
      <c r="AF72" s="50"/>
    </row>
    <row r="73" spans="1:32" ht="25.5" customHeight="1">
      <c r="A73" s="475">
        <v>10</v>
      </c>
      <c r="B73" s="476"/>
      <c r="C73" s="105"/>
      <c r="D73" s="427"/>
      <c r="E73" s="424"/>
      <c r="F73" s="477"/>
      <c r="G73" s="469"/>
      <c r="H73" s="469"/>
      <c r="I73" s="469"/>
      <c r="J73" s="469"/>
      <c r="K73" s="469"/>
      <c r="L73" s="469"/>
      <c r="M73" s="51"/>
      <c r="N73" s="478"/>
      <c r="O73" s="478"/>
      <c r="P73" s="479"/>
      <c r="Q73" s="479"/>
      <c r="R73" s="480"/>
      <c r="S73" s="480"/>
      <c r="T73" s="480"/>
      <c r="U73" s="480"/>
      <c r="V73" s="480"/>
      <c r="W73" s="480"/>
      <c r="X73" s="480"/>
      <c r="Y73" s="480"/>
      <c r="Z73" s="480"/>
      <c r="AA73" s="480"/>
      <c r="AB73" s="469"/>
      <c r="AC73" s="469"/>
      <c r="AD73" s="470"/>
      <c r="AF73" s="50"/>
    </row>
    <row r="74" spans="1:32" ht="26.25" customHeight="1" thickBot="1">
      <c r="A74" s="449" t="s">
        <v>608</v>
      </c>
      <c r="B74" s="449"/>
      <c r="C74" s="449"/>
      <c r="D74" s="449"/>
      <c r="E74" s="44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0" t="s">
        <v>585</v>
      </c>
      <c r="B75" s="451"/>
      <c r="C75" s="426" t="s">
        <v>2</v>
      </c>
      <c r="D75" s="426" t="s">
        <v>37</v>
      </c>
      <c r="E75" s="426" t="s">
        <v>150</v>
      </c>
      <c r="F75" s="451" t="s">
        <v>38</v>
      </c>
      <c r="G75" s="451"/>
      <c r="H75" s="451"/>
      <c r="I75" s="451"/>
      <c r="J75" s="451"/>
      <c r="K75" s="471" t="s">
        <v>58</v>
      </c>
      <c r="L75" s="472"/>
      <c r="M75" s="472"/>
      <c r="N75" s="472"/>
      <c r="O75" s="472"/>
      <c r="P75" s="472"/>
      <c r="Q75" s="472"/>
      <c r="R75" s="472"/>
      <c r="S75" s="473"/>
      <c r="T75" s="451" t="s">
        <v>49</v>
      </c>
      <c r="U75" s="451"/>
      <c r="V75" s="471" t="s">
        <v>50</v>
      </c>
      <c r="W75" s="473"/>
      <c r="X75" s="472" t="s">
        <v>51</v>
      </c>
      <c r="Y75" s="472"/>
      <c r="Z75" s="472"/>
      <c r="AA75" s="472"/>
      <c r="AB75" s="472"/>
      <c r="AC75" s="472"/>
      <c r="AD75" s="474"/>
      <c r="AF75" s="50"/>
    </row>
    <row r="76" spans="1:32" ht="33.75" customHeight="1">
      <c r="A76" s="443">
        <v>1</v>
      </c>
      <c r="B76" s="444"/>
      <c r="C76" s="428" t="s">
        <v>112</v>
      </c>
      <c r="D76" s="428"/>
      <c r="E76" s="65" t="s">
        <v>117</v>
      </c>
      <c r="F76" s="458" t="s">
        <v>116</v>
      </c>
      <c r="G76" s="459"/>
      <c r="H76" s="459"/>
      <c r="I76" s="459"/>
      <c r="J76" s="460"/>
      <c r="K76" s="461" t="s">
        <v>121</v>
      </c>
      <c r="L76" s="462"/>
      <c r="M76" s="462"/>
      <c r="N76" s="462"/>
      <c r="O76" s="462"/>
      <c r="P76" s="462"/>
      <c r="Q76" s="462"/>
      <c r="R76" s="462"/>
      <c r="S76" s="463"/>
      <c r="T76" s="464">
        <v>43675</v>
      </c>
      <c r="U76" s="465"/>
      <c r="V76" s="466"/>
      <c r="W76" s="466"/>
      <c r="X76" s="467"/>
      <c r="Y76" s="467"/>
      <c r="Z76" s="467"/>
      <c r="AA76" s="467"/>
      <c r="AB76" s="467"/>
      <c r="AC76" s="467"/>
      <c r="AD76" s="468"/>
      <c r="AF76" s="50"/>
    </row>
    <row r="77" spans="1:32" ht="30" customHeight="1">
      <c r="A77" s="436">
        <f>A76+1</f>
        <v>2</v>
      </c>
      <c r="B77" s="437"/>
      <c r="C77" s="427"/>
      <c r="D77" s="427"/>
      <c r="E77" s="32"/>
      <c r="F77" s="437"/>
      <c r="G77" s="437"/>
      <c r="H77" s="437"/>
      <c r="I77" s="437"/>
      <c r="J77" s="437"/>
      <c r="K77" s="452"/>
      <c r="L77" s="453"/>
      <c r="M77" s="453"/>
      <c r="N77" s="453"/>
      <c r="O77" s="453"/>
      <c r="P77" s="453"/>
      <c r="Q77" s="453"/>
      <c r="R77" s="453"/>
      <c r="S77" s="454"/>
      <c r="T77" s="455"/>
      <c r="U77" s="455"/>
      <c r="V77" s="455"/>
      <c r="W77" s="455"/>
      <c r="X77" s="456"/>
      <c r="Y77" s="456"/>
      <c r="Z77" s="456"/>
      <c r="AA77" s="456"/>
      <c r="AB77" s="456"/>
      <c r="AC77" s="456"/>
      <c r="AD77" s="457"/>
      <c r="AF77" s="50"/>
    </row>
    <row r="78" spans="1:32" ht="30" customHeight="1">
      <c r="A78" s="436">
        <f t="shared" ref="A78:A82" si="12">A77+1</f>
        <v>3</v>
      </c>
      <c r="B78" s="437"/>
      <c r="C78" s="427"/>
      <c r="D78" s="427"/>
      <c r="E78" s="32"/>
      <c r="F78" s="437"/>
      <c r="G78" s="437"/>
      <c r="H78" s="437"/>
      <c r="I78" s="437"/>
      <c r="J78" s="437"/>
      <c r="K78" s="452"/>
      <c r="L78" s="453"/>
      <c r="M78" s="453"/>
      <c r="N78" s="453"/>
      <c r="O78" s="453"/>
      <c r="P78" s="453"/>
      <c r="Q78" s="453"/>
      <c r="R78" s="453"/>
      <c r="S78" s="454"/>
      <c r="T78" s="455"/>
      <c r="U78" s="455"/>
      <c r="V78" s="455"/>
      <c r="W78" s="455"/>
      <c r="X78" s="456"/>
      <c r="Y78" s="456"/>
      <c r="Z78" s="456"/>
      <c r="AA78" s="456"/>
      <c r="AB78" s="456"/>
      <c r="AC78" s="456"/>
      <c r="AD78" s="457"/>
      <c r="AF78" s="50"/>
    </row>
    <row r="79" spans="1:32" ht="30" customHeight="1">
      <c r="A79" s="436">
        <f t="shared" si="12"/>
        <v>4</v>
      </c>
      <c r="B79" s="437"/>
      <c r="C79" s="427"/>
      <c r="D79" s="427"/>
      <c r="E79" s="32"/>
      <c r="F79" s="437"/>
      <c r="G79" s="437"/>
      <c r="H79" s="437"/>
      <c r="I79" s="437"/>
      <c r="J79" s="437"/>
      <c r="K79" s="452"/>
      <c r="L79" s="453"/>
      <c r="M79" s="453"/>
      <c r="N79" s="453"/>
      <c r="O79" s="453"/>
      <c r="P79" s="453"/>
      <c r="Q79" s="453"/>
      <c r="R79" s="453"/>
      <c r="S79" s="454"/>
      <c r="T79" s="455"/>
      <c r="U79" s="455"/>
      <c r="V79" s="455"/>
      <c r="W79" s="455"/>
      <c r="X79" s="456"/>
      <c r="Y79" s="456"/>
      <c r="Z79" s="456"/>
      <c r="AA79" s="456"/>
      <c r="AB79" s="456"/>
      <c r="AC79" s="456"/>
      <c r="AD79" s="457"/>
      <c r="AF79" s="50"/>
    </row>
    <row r="80" spans="1:32" ht="30" customHeight="1">
      <c r="A80" s="436">
        <f t="shared" si="12"/>
        <v>5</v>
      </c>
      <c r="B80" s="437"/>
      <c r="C80" s="427"/>
      <c r="D80" s="427"/>
      <c r="E80" s="32"/>
      <c r="F80" s="437"/>
      <c r="G80" s="437"/>
      <c r="H80" s="437"/>
      <c r="I80" s="437"/>
      <c r="J80" s="437"/>
      <c r="K80" s="452"/>
      <c r="L80" s="453"/>
      <c r="M80" s="453"/>
      <c r="N80" s="453"/>
      <c r="O80" s="453"/>
      <c r="P80" s="453"/>
      <c r="Q80" s="453"/>
      <c r="R80" s="453"/>
      <c r="S80" s="454"/>
      <c r="T80" s="455"/>
      <c r="U80" s="455"/>
      <c r="V80" s="455"/>
      <c r="W80" s="455"/>
      <c r="X80" s="456"/>
      <c r="Y80" s="456"/>
      <c r="Z80" s="456"/>
      <c r="AA80" s="456"/>
      <c r="AB80" s="456"/>
      <c r="AC80" s="456"/>
      <c r="AD80" s="457"/>
      <c r="AF80" s="50"/>
    </row>
    <row r="81" spans="1:32" ht="30" customHeight="1">
      <c r="A81" s="436">
        <f t="shared" si="12"/>
        <v>6</v>
      </c>
      <c r="B81" s="437"/>
      <c r="C81" s="427"/>
      <c r="D81" s="427"/>
      <c r="E81" s="32"/>
      <c r="F81" s="437"/>
      <c r="G81" s="437"/>
      <c r="H81" s="437"/>
      <c r="I81" s="437"/>
      <c r="J81" s="437"/>
      <c r="K81" s="452"/>
      <c r="L81" s="453"/>
      <c r="M81" s="453"/>
      <c r="N81" s="453"/>
      <c r="O81" s="453"/>
      <c r="P81" s="453"/>
      <c r="Q81" s="453"/>
      <c r="R81" s="453"/>
      <c r="S81" s="454"/>
      <c r="T81" s="455"/>
      <c r="U81" s="455"/>
      <c r="V81" s="455"/>
      <c r="W81" s="455"/>
      <c r="X81" s="456"/>
      <c r="Y81" s="456"/>
      <c r="Z81" s="456"/>
      <c r="AA81" s="456"/>
      <c r="AB81" s="456"/>
      <c r="AC81" s="456"/>
      <c r="AD81" s="457"/>
      <c r="AF81" s="50"/>
    </row>
    <row r="82" spans="1:32" ht="30" customHeight="1">
      <c r="A82" s="436">
        <f t="shared" si="12"/>
        <v>7</v>
      </c>
      <c r="B82" s="437"/>
      <c r="C82" s="427"/>
      <c r="D82" s="427"/>
      <c r="E82" s="32"/>
      <c r="F82" s="437"/>
      <c r="G82" s="437"/>
      <c r="H82" s="437"/>
      <c r="I82" s="437"/>
      <c r="J82" s="437"/>
      <c r="K82" s="452"/>
      <c r="L82" s="453"/>
      <c r="M82" s="453"/>
      <c r="N82" s="453"/>
      <c r="O82" s="453"/>
      <c r="P82" s="453"/>
      <c r="Q82" s="453"/>
      <c r="R82" s="453"/>
      <c r="S82" s="454"/>
      <c r="T82" s="455"/>
      <c r="U82" s="455"/>
      <c r="V82" s="455"/>
      <c r="W82" s="455"/>
      <c r="X82" s="456"/>
      <c r="Y82" s="456"/>
      <c r="Z82" s="456"/>
      <c r="AA82" s="456"/>
      <c r="AB82" s="456"/>
      <c r="AC82" s="456"/>
      <c r="AD82" s="457"/>
      <c r="AF82" s="50"/>
    </row>
    <row r="83" spans="1:32" ht="36" thickBot="1">
      <c r="A83" s="449" t="s">
        <v>609</v>
      </c>
      <c r="B83" s="449"/>
      <c r="C83" s="449"/>
      <c r="D83" s="449"/>
      <c r="E83" s="44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0" t="s">
        <v>111</v>
      </c>
      <c r="B84" s="451"/>
      <c r="C84" s="441" t="s">
        <v>52</v>
      </c>
      <c r="D84" s="441"/>
      <c r="E84" s="441" t="s">
        <v>53</v>
      </c>
      <c r="F84" s="441"/>
      <c r="G84" s="441"/>
      <c r="H84" s="441"/>
      <c r="I84" s="441"/>
      <c r="J84" s="441"/>
      <c r="K84" s="441" t="s">
        <v>54</v>
      </c>
      <c r="L84" s="441"/>
      <c r="M84" s="441"/>
      <c r="N84" s="441"/>
      <c r="O84" s="441"/>
      <c r="P84" s="441"/>
      <c r="Q84" s="441"/>
      <c r="R84" s="441"/>
      <c r="S84" s="441"/>
      <c r="T84" s="441" t="s">
        <v>55</v>
      </c>
      <c r="U84" s="441"/>
      <c r="V84" s="441" t="s">
        <v>56</v>
      </c>
      <c r="W84" s="441"/>
      <c r="X84" s="441"/>
      <c r="Y84" s="441" t="s">
        <v>51</v>
      </c>
      <c r="Z84" s="441"/>
      <c r="AA84" s="441"/>
      <c r="AB84" s="441"/>
      <c r="AC84" s="441"/>
      <c r="AD84" s="442"/>
      <c r="AF84" s="50"/>
    </row>
    <row r="85" spans="1:32" ht="30.75" customHeight="1">
      <c r="A85" s="443">
        <v>1</v>
      </c>
      <c r="B85" s="444"/>
      <c r="C85" s="445">
        <v>11</v>
      </c>
      <c r="D85" s="445"/>
      <c r="E85" s="445" t="s">
        <v>151</v>
      </c>
      <c r="F85" s="445"/>
      <c r="G85" s="445"/>
      <c r="H85" s="445"/>
      <c r="I85" s="445"/>
      <c r="J85" s="445"/>
      <c r="K85" s="445" t="s">
        <v>153</v>
      </c>
      <c r="L85" s="445"/>
      <c r="M85" s="445"/>
      <c r="N85" s="445"/>
      <c r="O85" s="445"/>
      <c r="P85" s="445"/>
      <c r="Q85" s="445"/>
      <c r="R85" s="445"/>
      <c r="S85" s="445"/>
      <c r="T85" s="445" t="s">
        <v>152</v>
      </c>
      <c r="U85" s="445"/>
      <c r="V85" s="446"/>
      <c r="W85" s="446"/>
      <c r="X85" s="446"/>
      <c r="Y85" s="447" t="s">
        <v>154</v>
      </c>
      <c r="Z85" s="447"/>
      <c r="AA85" s="447"/>
      <c r="AB85" s="447"/>
      <c r="AC85" s="447"/>
      <c r="AD85" s="448"/>
      <c r="AF85" s="50"/>
    </row>
    <row r="86" spans="1:32" ht="30.75" customHeight="1">
      <c r="A86" s="436">
        <v>2</v>
      </c>
      <c r="B86" s="437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  <c r="N86" s="438"/>
      <c r="O86" s="438"/>
      <c r="P86" s="438"/>
      <c r="Q86" s="438"/>
      <c r="R86" s="438"/>
      <c r="S86" s="438"/>
      <c r="T86" s="439"/>
      <c r="U86" s="439"/>
      <c r="V86" s="440"/>
      <c r="W86" s="440"/>
      <c r="X86" s="440"/>
      <c r="Y86" s="429"/>
      <c r="Z86" s="429"/>
      <c r="AA86" s="429"/>
      <c r="AB86" s="429"/>
      <c r="AC86" s="429"/>
      <c r="AD86" s="430"/>
      <c r="AF86" s="50"/>
    </row>
    <row r="87" spans="1:32" ht="30.75" customHeight="1" thickBot="1">
      <c r="A87" s="431">
        <v>3</v>
      </c>
      <c r="B87" s="432"/>
      <c r="C87" s="433"/>
      <c r="D87" s="433"/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4"/>
      <c r="Z87" s="434"/>
      <c r="AA87" s="434"/>
      <c r="AB87" s="434"/>
      <c r="AC87" s="434"/>
      <c r="AD87" s="43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8" sqref="AI8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53" t="s">
        <v>168</v>
      </c>
      <c r="B1" s="553"/>
      <c r="C1" s="553"/>
      <c r="D1" s="553"/>
      <c r="E1" s="553"/>
      <c r="F1" s="553"/>
      <c r="G1" s="553"/>
      <c r="H1" s="553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4" t="s">
        <v>60</v>
      </c>
      <c r="B3" s="115">
        <f>'01'!AD6</f>
        <v>0</v>
      </c>
      <c r="C3" s="115">
        <f>'02'!AD6</f>
        <v>0.20833333333333334</v>
      </c>
      <c r="D3" s="116">
        <f>'03'!AD6</f>
        <v>0</v>
      </c>
      <c r="E3" s="116">
        <f>'04'!AD6</f>
        <v>0.70833333333333337</v>
      </c>
      <c r="F3" s="116"/>
      <c r="G3" s="116">
        <f>'06'!AD6</f>
        <v>0.5</v>
      </c>
      <c r="H3" s="116">
        <f>'07'!AD6</f>
        <v>0</v>
      </c>
      <c r="I3" s="116">
        <f>'08'!AD6</f>
        <v>0</v>
      </c>
      <c r="J3" s="116">
        <f>'09'!AD6</f>
        <v>0.58333333333333337</v>
      </c>
      <c r="K3" s="116">
        <f>'10'!AD6</f>
        <v>0</v>
      </c>
      <c r="L3" s="116">
        <f>'11'!AD6</f>
        <v>1</v>
      </c>
      <c r="M3" s="116"/>
      <c r="N3" s="117">
        <f>'13'!AD6</f>
        <v>1</v>
      </c>
      <c r="O3" s="116">
        <f>'14'!AD6</f>
        <v>0.33333333333333331</v>
      </c>
      <c r="P3" s="116">
        <f>'15'!AD6</f>
        <v>0.58333333333333337</v>
      </c>
      <c r="Q3" s="116">
        <f>'16'!AD6</f>
        <v>0.29166666666666669</v>
      </c>
      <c r="R3" s="116">
        <f>'17'!AD6</f>
        <v>0</v>
      </c>
      <c r="S3" s="116">
        <f>'18'!AD6</f>
        <v>0</v>
      </c>
      <c r="T3" s="116"/>
      <c r="U3" s="116">
        <f>'20'!AD6</f>
        <v>0.625</v>
      </c>
      <c r="V3" s="116">
        <f>'21'!AD6</f>
        <v>0.70833333333333337</v>
      </c>
      <c r="W3" s="117">
        <f>'22'!AD6</f>
        <v>0</v>
      </c>
      <c r="X3" s="116">
        <f>'23'!AD6</f>
        <v>0</v>
      </c>
      <c r="Y3" s="116">
        <f>'24'!AD6</f>
        <v>0</v>
      </c>
      <c r="Z3" s="116"/>
      <c r="AA3" s="116"/>
      <c r="AB3" s="116">
        <f>'27'!AD6</f>
        <v>0</v>
      </c>
      <c r="AC3" s="116">
        <f>'28'!AD6</f>
        <v>0</v>
      </c>
      <c r="AD3" s="116">
        <f>'29'!AD6</f>
        <v>0</v>
      </c>
      <c r="AE3" s="116">
        <f>'30'!AD6</f>
        <v>0</v>
      </c>
      <c r="AF3" s="118">
        <f>'31'!AD6</f>
        <v>0</v>
      </c>
      <c r="AG3" s="119">
        <f>SUM(B3:AF3)/31</f>
        <v>0.21102150537634407</v>
      </c>
    </row>
    <row r="4" spans="1:33" ht="21.75" customHeight="1">
      <c r="A4" s="101" t="s">
        <v>61</v>
      </c>
      <c r="B4" s="98">
        <f>'01'!AD7</f>
        <v>0.41666666666666669</v>
      </c>
      <c r="C4" s="98">
        <f>'02'!AD7</f>
        <v>0.875</v>
      </c>
      <c r="D4" s="77">
        <f>'03'!AD7</f>
        <v>0.91666666666666663</v>
      </c>
      <c r="E4" s="77">
        <f>'04'!AD7</f>
        <v>0.95833333333333337</v>
      </c>
      <c r="F4" s="77"/>
      <c r="G4" s="77">
        <f>'06'!AD7</f>
        <v>0.83333333333333337</v>
      </c>
      <c r="H4" s="77">
        <f>'07'!AD7</f>
        <v>0</v>
      </c>
      <c r="I4" s="77">
        <f>'08'!AD7</f>
        <v>0</v>
      </c>
      <c r="J4" s="77">
        <f>'09'!AD7</f>
        <v>0.75</v>
      </c>
      <c r="K4" s="77">
        <f>'10'!AD7</f>
        <v>0</v>
      </c>
      <c r="L4" s="77">
        <f>'11'!AD7</f>
        <v>0.33333333333333331</v>
      </c>
      <c r="M4" s="77"/>
      <c r="N4" s="77">
        <f>'13'!AD7</f>
        <v>0</v>
      </c>
      <c r="O4" s="77">
        <f>'14'!AD7</f>
        <v>0</v>
      </c>
      <c r="P4" s="77">
        <f>'15'!AD7</f>
        <v>0</v>
      </c>
      <c r="Q4" s="77">
        <f>'16'!AD7</f>
        <v>0</v>
      </c>
      <c r="R4" s="77">
        <f>'17'!AD7</f>
        <v>0</v>
      </c>
      <c r="S4" s="77">
        <f>'18'!AD7</f>
        <v>0</v>
      </c>
      <c r="T4" s="77"/>
      <c r="U4" s="77">
        <f>'20'!AD7</f>
        <v>0</v>
      </c>
      <c r="V4" s="77">
        <f>'21'!AD7</f>
        <v>0</v>
      </c>
      <c r="W4" s="77">
        <f>'22'!AD7</f>
        <v>0.58333333333333337</v>
      </c>
      <c r="X4" s="77">
        <f>'23'!AD7</f>
        <v>0.16666666666666666</v>
      </c>
      <c r="Y4" s="77">
        <f>'24'!AD7</f>
        <v>0.25</v>
      </c>
      <c r="Z4" s="77"/>
      <c r="AA4" s="77"/>
      <c r="AB4" s="77">
        <f>'27'!AD7</f>
        <v>0</v>
      </c>
      <c r="AC4" s="77">
        <f>'28'!AD7</f>
        <v>0</v>
      </c>
      <c r="AD4" s="77">
        <f>'29'!AD7</f>
        <v>0</v>
      </c>
      <c r="AE4" s="77">
        <f>'30'!AD7</f>
        <v>0</v>
      </c>
      <c r="AF4" s="78">
        <f>'31'!AD7</f>
        <v>0</v>
      </c>
      <c r="AG4" s="79">
        <f t="shared" ref="AG4:AG19" si="0">SUM(B4:AF4)/31</f>
        <v>0.19623655913978494</v>
      </c>
    </row>
    <row r="5" spans="1:33" ht="21.75" customHeight="1">
      <c r="A5" s="100" t="s">
        <v>62</v>
      </c>
      <c r="B5" s="97">
        <f>'01'!AD8</f>
        <v>0.45833333333333331</v>
      </c>
      <c r="C5" s="97">
        <f>'02'!AD8</f>
        <v>0.66666666666666663</v>
      </c>
      <c r="D5" s="74">
        <f>'03'!AD8</f>
        <v>0.95833333333333337</v>
      </c>
      <c r="E5" s="74">
        <f>'04'!AD8</f>
        <v>1</v>
      </c>
      <c r="F5" s="74"/>
      <c r="G5" s="74">
        <f>'06'!AD8</f>
        <v>1</v>
      </c>
      <c r="H5" s="74">
        <f>'07'!AD8</f>
        <v>1</v>
      </c>
      <c r="I5" s="74">
        <f>'08'!AD8</f>
        <v>1</v>
      </c>
      <c r="J5" s="74">
        <f>'09'!AD8</f>
        <v>1</v>
      </c>
      <c r="K5" s="74">
        <f>'10'!AD8</f>
        <v>0.91666666666666663</v>
      </c>
      <c r="L5" s="74">
        <f>'11'!AD8</f>
        <v>1</v>
      </c>
      <c r="M5" s="74"/>
      <c r="N5" s="74">
        <f>'13'!AD8</f>
        <v>1</v>
      </c>
      <c r="O5" s="74">
        <f>'14'!AD8</f>
        <v>1</v>
      </c>
      <c r="P5" s="74">
        <f>'15'!AD8</f>
        <v>1</v>
      </c>
      <c r="Q5" s="74">
        <f>'16'!AD8</f>
        <v>1</v>
      </c>
      <c r="R5" s="74">
        <f>'17'!AD8</f>
        <v>1</v>
      </c>
      <c r="S5" s="74">
        <f>'18'!AD8</f>
        <v>1</v>
      </c>
      <c r="T5" s="74"/>
      <c r="U5" s="74">
        <f>'20'!AD8</f>
        <v>1</v>
      </c>
      <c r="V5" s="74">
        <f>'21'!AD8</f>
        <v>0.54166666666666663</v>
      </c>
      <c r="W5" s="104">
        <f>'22'!AD8</f>
        <v>1</v>
      </c>
      <c r="X5" s="74">
        <f>'23'!AD8</f>
        <v>1</v>
      </c>
      <c r="Y5" s="74">
        <f>'24'!AD8</f>
        <v>1</v>
      </c>
      <c r="Z5" s="74"/>
      <c r="AA5" s="74"/>
      <c r="AB5" s="74">
        <f>'27'!AD8</f>
        <v>0.66666666666666663</v>
      </c>
      <c r="AC5" s="74">
        <f>'28'!AD8</f>
        <v>1</v>
      </c>
      <c r="AD5" s="74">
        <f>'29'!AD8</f>
        <v>0.58333333333333337</v>
      </c>
      <c r="AE5" s="74">
        <f>'30'!AD8</f>
        <v>0.79166666666666663</v>
      </c>
      <c r="AF5" s="75">
        <f>'31'!AD8</f>
        <v>0.79166666666666663</v>
      </c>
      <c r="AG5" s="76">
        <f t="shared" si="0"/>
        <v>0.75403225806451624</v>
      </c>
    </row>
    <row r="6" spans="1:33" ht="21.75" customHeight="1">
      <c r="A6" s="101" t="s">
        <v>63</v>
      </c>
      <c r="B6" s="98">
        <f>'01'!AD9+'01'!AD10</f>
        <v>0.33333333333333331</v>
      </c>
      <c r="C6" s="98">
        <f>'02'!AD9</f>
        <v>0</v>
      </c>
      <c r="D6" s="77">
        <f>'03'!AD9</f>
        <v>0</v>
      </c>
      <c r="E6" s="77">
        <f>'04'!AD9</f>
        <v>0</v>
      </c>
      <c r="F6" s="77"/>
      <c r="G6" s="77">
        <f>'06'!AD9</f>
        <v>0.875</v>
      </c>
      <c r="H6" s="77">
        <f>'07'!AD9</f>
        <v>0.95833333333333337</v>
      </c>
      <c r="I6" s="77">
        <f>'08'!AD9+'08'!AD10</f>
        <v>0.83333333333333326</v>
      </c>
      <c r="J6" s="77">
        <f>'09'!AD9</f>
        <v>1</v>
      </c>
      <c r="K6" s="77">
        <f>'10'!AD9</f>
        <v>1</v>
      </c>
      <c r="L6" s="77">
        <f>'11'!AD9</f>
        <v>1</v>
      </c>
      <c r="M6" s="77"/>
      <c r="N6" s="77">
        <f>'13'!AD9</f>
        <v>1</v>
      </c>
      <c r="O6" s="77">
        <f>'14'!AD9</f>
        <v>0.875</v>
      </c>
      <c r="P6" s="77">
        <f>'15'!AD9</f>
        <v>1</v>
      </c>
      <c r="Q6" s="77">
        <f>'16'!AD9</f>
        <v>0.91666666666666663</v>
      </c>
      <c r="R6" s="77">
        <f>'17'!AD9</f>
        <v>0.25</v>
      </c>
      <c r="S6" s="77">
        <f>'18'!AD9</f>
        <v>0</v>
      </c>
      <c r="T6" s="77"/>
      <c r="U6" s="77">
        <f>'20'!AD9</f>
        <v>0.95833333333333337</v>
      </c>
      <c r="V6" s="77">
        <f>'21'!AD9</f>
        <v>0.95833333333333337</v>
      </c>
      <c r="W6" s="77">
        <f>'22'!AD9</f>
        <v>1</v>
      </c>
      <c r="X6" s="77">
        <f>'23'!AD9</f>
        <v>0</v>
      </c>
      <c r="Y6" s="77">
        <f>'24'!AD9</f>
        <v>0.70833333333333337</v>
      </c>
      <c r="Z6" s="77"/>
      <c r="AA6" s="77"/>
      <c r="AB6" s="77">
        <f>'27'!AD9</f>
        <v>0.83333333333333337</v>
      </c>
      <c r="AC6" s="77">
        <f>'28'!AD9</f>
        <v>0.83333333333333337</v>
      </c>
      <c r="AD6" s="77">
        <f>'29'!AD9</f>
        <v>1</v>
      </c>
      <c r="AE6" s="77">
        <f>'30'!AD9</f>
        <v>1</v>
      </c>
      <c r="AF6" s="78">
        <f>'31'!AD9</f>
        <v>0</v>
      </c>
      <c r="AG6" s="79">
        <f t="shared" si="0"/>
        <v>0.55913978494623662</v>
      </c>
    </row>
    <row r="7" spans="1:33" ht="21.75" customHeight="1">
      <c r="A7" s="101" t="s">
        <v>64</v>
      </c>
      <c r="B7" s="98">
        <f>'01'!AD11</f>
        <v>1</v>
      </c>
      <c r="C7" s="98">
        <f>'02'!AD10</f>
        <v>1</v>
      </c>
      <c r="D7" s="77">
        <f>'03'!AD10</f>
        <v>1</v>
      </c>
      <c r="E7" s="77">
        <f>'04'!AD10</f>
        <v>1</v>
      </c>
      <c r="F7" s="77"/>
      <c r="G7" s="77">
        <f>'06'!AD10</f>
        <v>1</v>
      </c>
      <c r="H7" s="77">
        <f>'07'!AD10</f>
        <v>1</v>
      </c>
      <c r="I7" s="77">
        <f>'08'!AD11</f>
        <v>1</v>
      </c>
      <c r="J7" s="77">
        <f>'09'!AD10</f>
        <v>1</v>
      </c>
      <c r="K7" s="77">
        <f>'10'!AD10</f>
        <v>0.83333333333333337</v>
      </c>
      <c r="L7" s="77">
        <f>'11'!AD10</f>
        <v>1</v>
      </c>
      <c r="M7" s="77"/>
      <c r="N7" s="77">
        <f>'13'!AD10</f>
        <v>1</v>
      </c>
      <c r="O7" s="77">
        <f>'14'!AD10</f>
        <v>1</v>
      </c>
      <c r="P7" s="77">
        <f>'15'!AD10</f>
        <v>1</v>
      </c>
      <c r="Q7" s="77">
        <f>'16'!AD10</f>
        <v>1</v>
      </c>
      <c r="R7" s="77">
        <f>'17'!AD10</f>
        <v>1</v>
      </c>
      <c r="S7" s="77">
        <f>'18'!AD10</f>
        <v>1</v>
      </c>
      <c r="T7" s="77"/>
      <c r="U7" s="77">
        <f>'20'!AD10</f>
        <v>1</v>
      </c>
      <c r="V7" s="77">
        <f>'21'!AD10</f>
        <v>1</v>
      </c>
      <c r="W7" s="77">
        <f>'22'!AD10</f>
        <v>1</v>
      </c>
      <c r="X7" s="77">
        <f>'23'!AD10</f>
        <v>1</v>
      </c>
      <c r="Y7" s="77">
        <f>'24'!AD10</f>
        <v>1</v>
      </c>
      <c r="Z7" s="77"/>
      <c r="AA7" s="77"/>
      <c r="AB7" s="77">
        <f>'27'!AD10</f>
        <v>8.3333333333333329E-2</v>
      </c>
      <c r="AC7" s="77">
        <f>'28'!AD10</f>
        <v>0</v>
      </c>
      <c r="AD7" s="77">
        <f>'29'!AD10</f>
        <v>0</v>
      </c>
      <c r="AE7" s="77">
        <f>'30'!AD10</f>
        <v>0</v>
      </c>
      <c r="AF7" s="78">
        <f>'31'!AD10</f>
        <v>0</v>
      </c>
      <c r="AG7" s="79">
        <f t="shared" si="0"/>
        <v>0.67473118279569899</v>
      </c>
    </row>
    <row r="8" spans="1:33" ht="21.75" customHeight="1">
      <c r="A8" s="101" t="s">
        <v>65</v>
      </c>
      <c r="B8" s="98">
        <f>'01'!AD12</f>
        <v>1</v>
      </c>
      <c r="C8" s="98">
        <f>'02'!AD11</f>
        <v>1</v>
      </c>
      <c r="D8" s="77">
        <f>'03'!AD11</f>
        <v>1</v>
      </c>
      <c r="E8" s="77">
        <f>'04'!AD11</f>
        <v>1</v>
      </c>
      <c r="F8" s="77"/>
      <c r="G8" s="77">
        <f>'06'!AD11</f>
        <v>0.95833333333333337</v>
      </c>
      <c r="H8" s="77">
        <f>'07'!AD11</f>
        <v>0.66666666666666663</v>
      </c>
      <c r="I8" s="77">
        <f>'08'!AD12</f>
        <v>1</v>
      </c>
      <c r="J8" s="77">
        <f>'09'!AD11</f>
        <v>0.75</v>
      </c>
      <c r="K8" s="77">
        <f>'10'!AD11</f>
        <v>0</v>
      </c>
      <c r="L8" s="77">
        <f>'11'!AD11</f>
        <v>0</v>
      </c>
      <c r="M8" s="77"/>
      <c r="N8" s="77">
        <f>'13'!AD11</f>
        <v>0</v>
      </c>
      <c r="O8" s="77">
        <f>'14'!AD11</f>
        <v>0.91666666666666663</v>
      </c>
      <c r="P8" s="77">
        <f>'15'!AD11</f>
        <v>0.95833333333333337</v>
      </c>
      <c r="Q8" s="77">
        <f>'16'!AD11</f>
        <v>0.95833333333333337</v>
      </c>
      <c r="R8" s="77">
        <f>'17'!AD11</f>
        <v>0</v>
      </c>
      <c r="S8" s="77">
        <f>'18'!AD11</f>
        <v>0</v>
      </c>
      <c r="T8" s="77"/>
      <c r="U8" s="77">
        <f>'20'!AD11</f>
        <v>0</v>
      </c>
      <c r="V8" s="77">
        <f>'21'!AD11</f>
        <v>0</v>
      </c>
      <c r="W8" s="77">
        <f>'22'!AD11</f>
        <v>0</v>
      </c>
      <c r="X8" s="77">
        <f>'23'!AD11</f>
        <v>0.66666666666666663</v>
      </c>
      <c r="Y8" s="77">
        <f>'24'!AD11</f>
        <v>0.875</v>
      </c>
      <c r="Z8" s="77"/>
      <c r="AA8" s="77"/>
      <c r="AB8" s="77">
        <f>'27'!AD11</f>
        <v>0.83333333333333337</v>
      </c>
      <c r="AC8" s="77">
        <f>'28'!AD11</f>
        <v>0.54166666666666663</v>
      </c>
      <c r="AD8" s="77">
        <f>'29'!AD11</f>
        <v>0.54166666666666663</v>
      </c>
      <c r="AE8" s="77">
        <f>'30'!AD11</f>
        <v>0</v>
      </c>
      <c r="AF8" s="78">
        <f>'31'!AD11</f>
        <v>0.66666666666666663</v>
      </c>
      <c r="AG8" s="79">
        <f t="shared" si="0"/>
        <v>0.46236559139784944</v>
      </c>
    </row>
    <row r="9" spans="1:33" ht="21.75" customHeight="1">
      <c r="A9" s="101" t="s">
        <v>66</v>
      </c>
      <c r="B9" s="98">
        <f>'01'!AD13</f>
        <v>0.58333333333333337</v>
      </c>
      <c r="C9" s="98">
        <f>'02'!AD12</f>
        <v>0.41666666666666669</v>
      </c>
      <c r="D9" s="77">
        <f>'03'!AD12</f>
        <v>0.34456576305220882</v>
      </c>
      <c r="E9" s="77">
        <f>'04'!AD12</f>
        <v>0.91666666666666663</v>
      </c>
      <c r="F9" s="77"/>
      <c r="G9" s="77">
        <f>'06'!AD12</f>
        <v>1</v>
      </c>
      <c r="H9" s="77">
        <f>'07'!AD12</f>
        <v>0.625</v>
      </c>
      <c r="I9" s="77">
        <f>'08'!AD13</f>
        <v>1</v>
      </c>
      <c r="J9" s="77">
        <f>'09'!AD12</f>
        <v>0</v>
      </c>
      <c r="K9" s="77">
        <f>'10'!AD12</f>
        <v>0</v>
      </c>
      <c r="L9" s="77">
        <f>'11'!AD12</f>
        <v>0</v>
      </c>
      <c r="M9" s="77"/>
      <c r="N9" s="77">
        <f>'13'!AD12</f>
        <v>0</v>
      </c>
      <c r="O9" s="77">
        <f>'14'!AD12</f>
        <v>0.58333333333333337</v>
      </c>
      <c r="P9" s="77">
        <f>'15'!AD12</f>
        <v>0.95833333333333337</v>
      </c>
      <c r="Q9" s="77">
        <f>'16'!AD12</f>
        <v>0.95833333333333337</v>
      </c>
      <c r="R9" s="77">
        <f>'17'!AD12</f>
        <v>1</v>
      </c>
      <c r="S9" s="77">
        <f>'18'!AD12</f>
        <v>1</v>
      </c>
      <c r="T9" s="77"/>
      <c r="U9" s="77">
        <f>'20'!AD12</f>
        <v>1</v>
      </c>
      <c r="V9" s="77">
        <f>'21'!AD12</f>
        <v>0.91666666666666663</v>
      </c>
      <c r="W9" s="77">
        <f>'22'!AD12</f>
        <v>1</v>
      </c>
      <c r="X9" s="77">
        <f>'23'!AD12</f>
        <v>1</v>
      </c>
      <c r="Y9" s="77">
        <f>'24'!AD12</f>
        <v>0.41666666666666669</v>
      </c>
      <c r="Z9" s="77"/>
      <c r="AA9" s="77"/>
      <c r="AB9" s="77">
        <f>'27'!AD12</f>
        <v>0.54166666666666663</v>
      </c>
      <c r="AC9" s="77">
        <f>'28'!AD12</f>
        <v>0.91666666666666663</v>
      </c>
      <c r="AD9" s="77">
        <f>'29'!AD12</f>
        <v>1</v>
      </c>
      <c r="AE9" s="77">
        <f>'30'!AD12</f>
        <v>0.83333333333333337</v>
      </c>
      <c r="AF9" s="78">
        <f>'31'!AD12</f>
        <v>1</v>
      </c>
      <c r="AG9" s="79">
        <f t="shared" si="0"/>
        <v>0.58100749773286675</v>
      </c>
    </row>
    <row r="10" spans="1:33" ht="21.75" customHeight="1">
      <c r="A10" s="101" t="s">
        <v>67</v>
      </c>
      <c r="B10" s="98">
        <f>'01'!AD14</f>
        <v>0.91666666666666663</v>
      </c>
      <c r="C10" s="98">
        <f>'02'!AD13</f>
        <v>1</v>
      </c>
      <c r="D10" s="77">
        <f>'03'!AD13</f>
        <v>0.25</v>
      </c>
      <c r="E10" s="77">
        <f>'04'!AD13</f>
        <v>0.25</v>
      </c>
      <c r="F10" s="77"/>
      <c r="G10" s="77">
        <f>'06'!AD13</f>
        <v>1</v>
      </c>
      <c r="H10" s="77">
        <f>'07'!AD13</f>
        <v>1</v>
      </c>
      <c r="I10" s="77">
        <f>'08'!AD14</f>
        <v>1</v>
      </c>
      <c r="J10" s="77">
        <f>'09'!AD13</f>
        <v>0.83333333333333337</v>
      </c>
      <c r="K10" s="77">
        <f>'10'!AD13</f>
        <v>0.95833333333333337</v>
      </c>
      <c r="L10" s="77">
        <f>'11'!AD13</f>
        <v>1</v>
      </c>
      <c r="M10" s="77"/>
      <c r="N10" s="77">
        <f>'13'!AD13</f>
        <v>0.75</v>
      </c>
      <c r="O10" s="77">
        <f>'14'!AD13</f>
        <v>1</v>
      </c>
      <c r="P10" s="77">
        <f>'15'!AD13</f>
        <v>0.70833333333333337</v>
      </c>
      <c r="Q10" s="77">
        <f>'16'!AD13</f>
        <v>1</v>
      </c>
      <c r="R10" s="77">
        <f>'17'!AD13</f>
        <v>1</v>
      </c>
      <c r="S10" s="77">
        <f>'18'!AD13</f>
        <v>1</v>
      </c>
      <c r="T10" s="77"/>
      <c r="U10" s="77">
        <f>'20'!AD13</f>
        <v>0.58333333333333337</v>
      </c>
      <c r="V10" s="77">
        <f>'21'!AD13</f>
        <v>1</v>
      </c>
      <c r="W10" s="77">
        <f>'22'!AD13</f>
        <v>1</v>
      </c>
      <c r="X10" s="77">
        <f>'23'!AD13</f>
        <v>1</v>
      </c>
      <c r="Y10" s="77">
        <f>'24'!AD13</f>
        <v>1</v>
      </c>
      <c r="Z10" s="77"/>
      <c r="AA10" s="77"/>
      <c r="AB10" s="77">
        <f>'27'!AD13</f>
        <v>0.95833333333333337</v>
      </c>
      <c r="AC10" s="77">
        <f>'28'!AD13</f>
        <v>0.875</v>
      </c>
      <c r="AD10" s="77">
        <f>'29'!AD13</f>
        <v>1</v>
      </c>
      <c r="AE10" s="77">
        <f>'30'!AD13</f>
        <v>0.875</v>
      </c>
      <c r="AF10" s="78">
        <f>'31'!AD13</f>
        <v>1</v>
      </c>
      <c r="AG10" s="79">
        <f t="shared" si="0"/>
        <v>0.74059139784946237</v>
      </c>
    </row>
    <row r="11" spans="1:33" ht="21.75" customHeight="1">
      <c r="A11" s="107" t="s">
        <v>68</v>
      </c>
      <c r="B11" s="108">
        <f>'01'!AD15</f>
        <v>0</v>
      </c>
      <c r="C11" s="108">
        <f>'02'!AD14</f>
        <v>0</v>
      </c>
      <c r="D11" s="109">
        <f>'03'!AD14</f>
        <v>0.41666666666666669</v>
      </c>
      <c r="E11" s="109">
        <f>'04'!AD14</f>
        <v>0</v>
      </c>
      <c r="F11" s="109"/>
      <c r="G11" s="109">
        <f>'06'!AD14</f>
        <v>0</v>
      </c>
      <c r="H11" s="109">
        <f>'07'!AD14</f>
        <v>0</v>
      </c>
      <c r="I11" s="109">
        <f>'08'!AD15</f>
        <v>0.29166666666666669</v>
      </c>
      <c r="J11" s="109">
        <f>'09'!AD14</f>
        <v>0</v>
      </c>
      <c r="K11" s="109">
        <f>'10'!AD14</f>
        <v>0</v>
      </c>
      <c r="L11" s="109">
        <f>'11'!AD14</f>
        <v>0</v>
      </c>
      <c r="M11" s="109"/>
      <c r="N11" s="109">
        <f>'13'!AD14</f>
        <v>0.16666666666666666</v>
      </c>
      <c r="O11" s="109">
        <f>'14'!AD14</f>
        <v>0.16666666666666666</v>
      </c>
      <c r="P11" s="109">
        <f>'15'!AD14+'15'!AD15+총괄!Y18</f>
        <v>0.75</v>
      </c>
      <c r="Q11" s="109">
        <f>'16'!AD14</f>
        <v>0</v>
      </c>
      <c r="R11" s="109">
        <f>'17'!AD14</f>
        <v>0</v>
      </c>
      <c r="S11" s="109">
        <f>'18'!AD14</f>
        <v>0</v>
      </c>
      <c r="T11" s="109"/>
      <c r="U11" s="109">
        <f>'20'!AD14</f>
        <v>0</v>
      </c>
      <c r="V11" s="109">
        <f>'21'!AD14</f>
        <v>0.25</v>
      </c>
      <c r="W11" s="109">
        <f>'22'!AD14</f>
        <v>0</v>
      </c>
      <c r="X11" s="109">
        <f>'23'!AD14</f>
        <v>0</v>
      </c>
      <c r="Y11" s="109">
        <f>'24'!AD14</f>
        <v>0</v>
      </c>
      <c r="Z11" s="109"/>
      <c r="AA11" s="109"/>
      <c r="AB11" s="109">
        <f>'27'!AD14</f>
        <v>0</v>
      </c>
      <c r="AC11" s="109">
        <f>'28'!AD14</f>
        <v>0.16666666666666666</v>
      </c>
      <c r="AD11" s="109">
        <f>'29'!AD14</f>
        <v>0.54166666666666663</v>
      </c>
      <c r="AE11" s="109">
        <f>'30'!AD14</f>
        <v>0.54166666666666663</v>
      </c>
      <c r="AF11" s="110">
        <f>'31'!AD14</f>
        <v>0.54166666666666663</v>
      </c>
      <c r="AG11" s="111">
        <f t="shared" si="0"/>
        <v>0.12365591397849461</v>
      </c>
    </row>
    <row r="12" spans="1:33" ht="21.75" customHeight="1">
      <c r="A12" s="100" t="s">
        <v>69</v>
      </c>
      <c r="B12" s="97">
        <f>'01'!AD16</f>
        <v>1</v>
      </c>
      <c r="C12" s="97">
        <f>'02'!AD15</f>
        <v>0.33333333333333331</v>
      </c>
      <c r="D12" s="74">
        <f>'03'!AD15</f>
        <v>0</v>
      </c>
      <c r="E12" s="74">
        <f>'04'!AD15</f>
        <v>0</v>
      </c>
      <c r="F12" s="74"/>
      <c r="G12" s="74">
        <f>'06'!AD15</f>
        <v>0</v>
      </c>
      <c r="H12" s="74">
        <f>'07'!AD15</f>
        <v>0</v>
      </c>
      <c r="I12" s="74">
        <f>'08'!AD16</f>
        <v>0</v>
      </c>
      <c r="J12" s="74">
        <f>'09'!AD15</f>
        <v>0</v>
      </c>
      <c r="K12" s="74">
        <f>'10'!AD15</f>
        <v>0</v>
      </c>
      <c r="L12" s="74">
        <f>'11'!AD15</f>
        <v>0.91666666666666663</v>
      </c>
      <c r="M12" s="74"/>
      <c r="N12" s="74">
        <f>'13'!AD15</f>
        <v>0.75</v>
      </c>
      <c r="O12" s="74">
        <f>'14'!AD15</f>
        <v>0</v>
      </c>
      <c r="P12" s="74">
        <f>'15'!AD16</f>
        <v>0</v>
      </c>
      <c r="Q12" s="74">
        <f>'16'!AD15</f>
        <v>0</v>
      </c>
      <c r="R12" s="74">
        <f>'17'!AD15</f>
        <v>0</v>
      </c>
      <c r="S12" s="74">
        <f>'18'!AD15</f>
        <v>0</v>
      </c>
      <c r="T12" s="74"/>
      <c r="U12" s="74">
        <f>'20'!AD15</f>
        <v>0</v>
      </c>
      <c r="V12" s="74">
        <f>'21'!AD15</f>
        <v>0</v>
      </c>
      <c r="W12" s="74">
        <f>'22'!AD15</f>
        <v>0</v>
      </c>
      <c r="X12" s="74">
        <f>'23'!AD15</f>
        <v>0</v>
      </c>
      <c r="Y12" s="74">
        <f>'24'!AD15</f>
        <v>0</v>
      </c>
      <c r="Z12" s="74"/>
      <c r="AA12" s="74"/>
      <c r="AB12" s="74">
        <f>'27'!AD15</f>
        <v>0</v>
      </c>
      <c r="AC12" s="74">
        <f>'28'!AD15</f>
        <v>0</v>
      </c>
      <c r="AD12" s="74">
        <f>'29'!AD15</f>
        <v>0</v>
      </c>
      <c r="AE12" s="74">
        <f>'30'!AD15</f>
        <v>0</v>
      </c>
      <c r="AF12" s="75">
        <f>'31'!AD15</f>
        <v>0</v>
      </c>
      <c r="AG12" s="76">
        <f t="shared" si="0"/>
        <v>9.6774193548387094E-2</v>
      </c>
    </row>
    <row r="13" spans="1:33" ht="21.75" customHeight="1">
      <c r="A13" s="100" t="s">
        <v>70</v>
      </c>
      <c r="B13" s="97">
        <f>'01'!AD17</f>
        <v>0</v>
      </c>
      <c r="C13" s="97">
        <f>'02'!AD16</f>
        <v>0</v>
      </c>
      <c r="D13" s="74">
        <f>'03'!AD16</f>
        <v>0</v>
      </c>
      <c r="E13" s="74">
        <f>'04'!AD16</f>
        <v>0</v>
      </c>
      <c r="F13" s="74"/>
      <c r="G13" s="74">
        <f>'06'!AD16</f>
        <v>0</v>
      </c>
      <c r="H13" s="74">
        <f>'07'!AD16</f>
        <v>0</v>
      </c>
      <c r="I13" s="74">
        <f>'08'!AD17</f>
        <v>0</v>
      </c>
      <c r="J13" s="74">
        <f>'09'!AD16</f>
        <v>0</v>
      </c>
      <c r="K13" s="74">
        <f>'10'!AD16</f>
        <v>0</v>
      </c>
      <c r="L13" s="74">
        <f>'11'!AD16</f>
        <v>0</v>
      </c>
      <c r="M13" s="74"/>
      <c r="N13" s="74">
        <f>'13'!AD16</f>
        <v>0</v>
      </c>
      <c r="O13" s="74">
        <f>'14'!AD16</f>
        <v>0</v>
      </c>
      <c r="P13" s="74">
        <f>'15'!AD17</f>
        <v>0</v>
      </c>
      <c r="Q13" s="74">
        <f>'16'!AD16</f>
        <v>0</v>
      </c>
      <c r="R13" s="74">
        <f>'17'!AD16</f>
        <v>0</v>
      </c>
      <c r="S13" s="74">
        <f>'18'!AD16</f>
        <v>0</v>
      </c>
      <c r="T13" s="74"/>
      <c r="U13" s="74">
        <f>'20'!AD16</f>
        <v>0</v>
      </c>
      <c r="V13" s="74">
        <f>'21'!AD16</f>
        <v>0</v>
      </c>
      <c r="W13" s="74">
        <f>'22'!AD16</f>
        <v>0</v>
      </c>
      <c r="X13" s="74">
        <f>'23'!AD16</f>
        <v>0</v>
      </c>
      <c r="Y13" s="74">
        <f>'24'!AD16</f>
        <v>0</v>
      </c>
      <c r="Z13" s="74"/>
      <c r="AA13" s="74"/>
      <c r="AB13" s="74">
        <f>'27'!AD16</f>
        <v>0</v>
      </c>
      <c r="AC13" s="74">
        <f>'28'!AD16</f>
        <v>0</v>
      </c>
      <c r="AD13" s="74">
        <f>'29'!AD16</f>
        <v>0</v>
      </c>
      <c r="AE13" s="74">
        <f>'30'!AD16</f>
        <v>0</v>
      </c>
      <c r="AF13" s="75">
        <f>'31'!AD16</f>
        <v>0</v>
      </c>
      <c r="AG13" s="76">
        <f t="shared" si="0"/>
        <v>0</v>
      </c>
    </row>
    <row r="14" spans="1:33" ht="21.75" customHeight="1">
      <c r="A14" s="100" t="s">
        <v>71</v>
      </c>
      <c r="B14" s="97">
        <f>'01'!AD18</f>
        <v>0.33333333333333331</v>
      </c>
      <c r="C14" s="97">
        <f>'02'!AD17</f>
        <v>0.16666666666666666</v>
      </c>
      <c r="D14" s="74">
        <f>'03'!AD17</f>
        <v>0</v>
      </c>
      <c r="E14" s="74">
        <f>'04'!AD17</f>
        <v>0</v>
      </c>
      <c r="F14" s="74"/>
      <c r="G14" s="74">
        <f>'06'!AD17</f>
        <v>0</v>
      </c>
      <c r="H14" s="74">
        <f>'07'!AD17</f>
        <v>0</v>
      </c>
      <c r="I14" s="74">
        <f>'08'!AD18</f>
        <v>0</v>
      </c>
      <c r="J14" s="74">
        <f>'09'!AD17</f>
        <v>0</v>
      </c>
      <c r="K14" s="74">
        <f>'10'!AD17</f>
        <v>0</v>
      </c>
      <c r="L14" s="74">
        <f>'11'!AD17</f>
        <v>0</v>
      </c>
      <c r="M14" s="74"/>
      <c r="N14" s="74">
        <f>'13'!AD17</f>
        <v>0.70833333333333337</v>
      </c>
      <c r="O14" s="74">
        <f>'14'!AD17</f>
        <v>0</v>
      </c>
      <c r="P14" s="74">
        <f>'15'!AD18</f>
        <v>0</v>
      </c>
      <c r="Q14" s="74">
        <f>'16'!AD17</f>
        <v>0</v>
      </c>
      <c r="R14" s="74">
        <f>'17'!AD17</f>
        <v>0</v>
      </c>
      <c r="S14" s="74">
        <f>'18'!AD17</f>
        <v>0</v>
      </c>
      <c r="T14" s="74"/>
      <c r="U14" s="74">
        <f>'20'!AD17</f>
        <v>0</v>
      </c>
      <c r="V14" s="74">
        <f>'21'!AD17</f>
        <v>0</v>
      </c>
      <c r="W14" s="74">
        <f>'22'!AD17</f>
        <v>0</v>
      </c>
      <c r="X14" s="74">
        <f>'23'!AD17</f>
        <v>0</v>
      </c>
      <c r="Y14" s="74">
        <f>'24'!AD17</f>
        <v>0</v>
      </c>
      <c r="Z14" s="74"/>
      <c r="AA14" s="74"/>
      <c r="AB14" s="74">
        <f>'27'!AD17</f>
        <v>0</v>
      </c>
      <c r="AC14" s="74">
        <f>'28'!AD17</f>
        <v>0.95833333333333337</v>
      </c>
      <c r="AD14" s="74">
        <f>'29'!AD17</f>
        <v>1</v>
      </c>
      <c r="AE14" s="74">
        <f>'30'!AD17</f>
        <v>1</v>
      </c>
      <c r="AF14" s="75">
        <f>'31'!AD17</f>
        <v>1</v>
      </c>
      <c r="AG14" s="76">
        <f t="shared" si="0"/>
        <v>0.16666666666666669</v>
      </c>
    </row>
    <row r="15" spans="1:33" ht="21.75" customHeight="1">
      <c r="A15" s="101" t="s">
        <v>72</v>
      </c>
      <c r="B15" s="98">
        <f>'01'!AD19+'01'!AD20</f>
        <v>0.45833333333333337</v>
      </c>
      <c r="C15" s="98">
        <f>'02'!AD18</f>
        <v>0</v>
      </c>
      <c r="D15" s="77">
        <f>'03'!AD18+'03'!AD19</f>
        <v>0.375</v>
      </c>
      <c r="E15" s="77">
        <f>'04'!AD18</f>
        <v>0.66666666666666663</v>
      </c>
      <c r="F15" s="77"/>
      <c r="G15" s="77">
        <f>'06'!AD18</f>
        <v>0</v>
      </c>
      <c r="H15" s="77">
        <f>'07'!AD18</f>
        <v>0</v>
      </c>
      <c r="I15" s="77">
        <f>'08'!AD19</f>
        <v>0.54166666666666663</v>
      </c>
      <c r="J15" s="77">
        <f>'09'!AD18</f>
        <v>0.875</v>
      </c>
      <c r="K15" s="77">
        <f>'10'!AD18</f>
        <v>1</v>
      </c>
      <c r="L15" s="77">
        <f>'11'!AD18</f>
        <v>0.16666666666666666</v>
      </c>
      <c r="M15" s="77"/>
      <c r="N15" s="77">
        <f>'13'!AD18</f>
        <v>0.16666666666666666</v>
      </c>
      <c r="O15" s="77">
        <f>'14'!AD18</f>
        <v>0</v>
      </c>
      <c r="P15" s="77">
        <f>'15'!AD19</f>
        <v>0.45833333333333331</v>
      </c>
      <c r="Q15" s="77">
        <f>'16'!AD18</f>
        <v>0.70833333333333337</v>
      </c>
      <c r="R15" s="77">
        <f>'17'!AD18</f>
        <v>0</v>
      </c>
      <c r="S15" s="77">
        <f>'18'!AD18</f>
        <v>0</v>
      </c>
      <c r="T15" s="77"/>
      <c r="U15" s="77">
        <f>'20'!AD18</f>
        <v>0.33333333333333331</v>
      </c>
      <c r="V15" s="77">
        <f>'21'!AD18</f>
        <v>0.29166666666666669</v>
      </c>
      <c r="W15" s="77">
        <f>'22'!AD18</f>
        <v>0.625</v>
      </c>
      <c r="X15" s="77">
        <f>'23'!AD18</f>
        <v>0.95833333333333337</v>
      </c>
      <c r="Y15" s="77">
        <f>'24'!AD18</f>
        <v>0.125</v>
      </c>
      <c r="Z15" s="77"/>
      <c r="AA15" s="77"/>
      <c r="AB15" s="77">
        <f>'27'!AD18</f>
        <v>0.25</v>
      </c>
      <c r="AC15" s="77">
        <f>'28'!AD18</f>
        <v>0</v>
      </c>
      <c r="AD15" s="77">
        <f>'29'!AD18</f>
        <v>0</v>
      </c>
      <c r="AE15" s="77">
        <f>'30'!AD18</f>
        <v>0.70833333333333337</v>
      </c>
      <c r="AF15" s="78">
        <f>'31'!AD18</f>
        <v>0.33333333333333331</v>
      </c>
      <c r="AG15" s="79">
        <f t="shared" si="0"/>
        <v>0.29166666666666663</v>
      </c>
    </row>
    <row r="16" spans="1:33" ht="21.75" customHeight="1">
      <c r="A16" s="101" t="s">
        <v>124</v>
      </c>
      <c r="B16" s="98">
        <f>'01'!AD21</f>
        <v>1</v>
      </c>
      <c r="C16" s="98">
        <f>'02'!AD19</f>
        <v>1</v>
      </c>
      <c r="D16" s="77">
        <f>'03'!AD20</f>
        <v>1</v>
      </c>
      <c r="E16" s="77">
        <f>'04'!AD19</f>
        <v>1</v>
      </c>
      <c r="F16" s="77"/>
      <c r="G16" s="77">
        <f>'06'!AD19</f>
        <v>0.79166666666666663</v>
      </c>
      <c r="H16" s="77">
        <f>'07'!AD19+'07'!AD20</f>
        <v>0.45833333333333337</v>
      </c>
      <c r="I16" s="77">
        <f>'08'!AD20</f>
        <v>0</v>
      </c>
      <c r="J16" s="77">
        <f>'09'!AD19</f>
        <v>0.58333333333333337</v>
      </c>
      <c r="K16" s="77">
        <f>'10'!AD19</f>
        <v>0.66666666666666663</v>
      </c>
      <c r="L16" s="77">
        <f>'11'!AD19</f>
        <v>0</v>
      </c>
      <c r="M16" s="77"/>
      <c r="N16" s="77">
        <f>'13'!AD19</f>
        <v>0</v>
      </c>
      <c r="O16" s="77">
        <f>'14'!AD19</f>
        <v>0.25</v>
      </c>
      <c r="P16" s="77">
        <f>'15'!AD20</f>
        <v>0.83333333333333337</v>
      </c>
      <c r="Q16" s="77">
        <f>'16'!AD19</f>
        <v>0.33333333333333331</v>
      </c>
      <c r="R16" s="77">
        <f>'17'!AD19</f>
        <v>0.625</v>
      </c>
      <c r="S16" s="77">
        <f>'18'!AD19</f>
        <v>0</v>
      </c>
      <c r="T16" s="77"/>
      <c r="U16" s="77">
        <f>'20'!AD19</f>
        <v>0.5</v>
      </c>
      <c r="V16" s="77">
        <f>'21'!AD19</f>
        <v>0</v>
      </c>
      <c r="W16" s="77">
        <f>'22'!AD19</f>
        <v>0</v>
      </c>
      <c r="X16" s="77">
        <f>'23'!AD19</f>
        <v>0</v>
      </c>
      <c r="Y16" s="77">
        <f>'24'!AD19</f>
        <v>0</v>
      </c>
      <c r="Z16" s="77"/>
      <c r="AA16" s="77"/>
      <c r="AB16" s="77">
        <f>'27'!AD19</f>
        <v>0</v>
      </c>
      <c r="AC16" s="77">
        <f>'28'!AD19</f>
        <v>0</v>
      </c>
      <c r="AD16" s="77">
        <f>'29'!AD19</f>
        <v>0</v>
      </c>
      <c r="AE16" s="77">
        <f>'30'!AD19</f>
        <v>0.58333333333333337</v>
      </c>
      <c r="AF16" s="78">
        <f>'31'!AD19</f>
        <v>0.70833333333333337</v>
      </c>
      <c r="AG16" s="79">
        <f t="shared" si="0"/>
        <v>0.33333333333333337</v>
      </c>
    </row>
    <row r="17" spans="1:33" ht="21.75" customHeight="1">
      <c r="A17" s="101" t="s">
        <v>125</v>
      </c>
      <c r="B17" s="98">
        <f>'01'!AD22</f>
        <v>1</v>
      </c>
      <c r="C17" s="98">
        <f>'02'!AD20</f>
        <v>1</v>
      </c>
      <c r="D17" s="77">
        <f>'03'!AD21</f>
        <v>1</v>
      </c>
      <c r="E17" s="77">
        <f>'04'!AD20</f>
        <v>0.91666666666666663</v>
      </c>
      <c r="F17" s="77"/>
      <c r="G17" s="77">
        <f>'06'!AD20</f>
        <v>0.70833333333333337</v>
      </c>
      <c r="H17" s="77">
        <f>'07'!AD21</f>
        <v>0.75</v>
      </c>
      <c r="I17" s="77">
        <f>'08'!AD21</f>
        <v>0.45833333333333331</v>
      </c>
      <c r="J17" s="77">
        <f>'09'!AD20</f>
        <v>0</v>
      </c>
      <c r="K17" s="77">
        <f>'10'!AD20</f>
        <v>0</v>
      </c>
      <c r="L17" s="77">
        <f>'11'!AD20</f>
        <v>0</v>
      </c>
      <c r="M17" s="77"/>
      <c r="N17" s="77">
        <f>'13'!AD20</f>
        <v>0.58333333333333337</v>
      </c>
      <c r="O17" s="77">
        <f>'14'!AD20</f>
        <v>0</v>
      </c>
      <c r="P17" s="77">
        <f>'15'!AD21</f>
        <v>0</v>
      </c>
      <c r="Q17" s="77">
        <f>'16'!AD20</f>
        <v>0</v>
      </c>
      <c r="R17" s="77">
        <f>'17'!AD20</f>
        <v>0</v>
      </c>
      <c r="S17" s="77">
        <f>'18'!AD20</f>
        <v>0</v>
      </c>
      <c r="T17" s="77"/>
      <c r="U17" s="77">
        <f>'20'!AD20</f>
        <v>0</v>
      </c>
      <c r="V17" s="77">
        <f>'21'!AD20</f>
        <v>0.25</v>
      </c>
      <c r="W17" s="77">
        <f>'22'!AD20</f>
        <v>0.58333333333333337</v>
      </c>
      <c r="X17" s="77">
        <f>'23'!AD20</f>
        <v>0.91666666666666663</v>
      </c>
      <c r="Y17" s="77">
        <f>'24'!AD20</f>
        <v>0.95833333333333337</v>
      </c>
      <c r="Z17" s="77"/>
      <c r="AA17" s="77"/>
      <c r="AB17" s="77">
        <f>'27'!AD20</f>
        <v>1</v>
      </c>
      <c r="AC17" s="77">
        <f>'28'!AD20</f>
        <v>0.875</v>
      </c>
      <c r="AD17" s="77">
        <f>'29'!AD20</f>
        <v>0.79166666666666663</v>
      </c>
      <c r="AE17" s="77">
        <f>'30'!AD20</f>
        <v>1</v>
      </c>
      <c r="AF17" s="78">
        <f>'31'!AD20</f>
        <v>1</v>
      </c>
      <c r="AG17" s="79">
        <f t="shared" si="0"/>
        <v>0.44489247311827956</v>
      </c>
    </row>
    <row r="18" spans="1:33" ht="21.75" customHeight="1" thickBot="1">
      <c r="A18" s="102" t="s">
        <v>126</v>
      </c>
      <c r="B18" s="99">
        <f>'01'!AD23</f>
        <v>0.41666666666666669</v>
      </c>
      <c r="C18" s="99">
        <f>'02'!AD21</f>
        <v>0.5</v>
      </c>
      <c r="D18" s="80">
        <f>'03'!AD22</f>
        <v>0.5</v>
      </c>
      <c r="E18" s="80">
        <f>'04'!AD21</f>
        <v>0</v>
      </c>
      <c r="F18" s="80"/>
      <c r="G18" s="80">
        <f>'06'!AD21</f>
        <v>0.29166666666666669</v>
      </c>
      <c r="H18" s="80">
        <f>'07'!AD22</f>
        <v>0.375</v>
      </c>
      <c r="I18" s="80">
        <f>'08'!AD22</f>
        <v>0.45833333333333331</v>
      </c>
      <c r="J18" s="80">
        <f>'09'!AD21</f>
        <v>0.79166666666666663</v>
      </c>
      <c r="K18" s="80">
        <f>'10'!AD21</f>
        <v>1</v>
      </c>
      <c r="L18" s="80">
        <f>'11'!AD21</f>
        <v>0</v>
      </c>
      <c r="M18" s="80"/>
      <c r="N18" s="80">
        <f>'13'!AD21</f>
        <v>0.41666666666666669</v>
      </c>
      <c r="O18" s="80">
        <f>'14'!AD21</f>
        <v>1</v>
      </c>
      <c r="P18" s="80">
        <f>'15'!AD22</f>
        <v>1</v>
      </c>
      <c r="Q18" s="80">
        <f>'16'!AD21</f>
        <v>0.58333333333333337</v>
      </c>
      <c r="R18" s="80">
        <f>'17'!AD21</f>
        <v>1</v>
      </c>
      <c r="S18" s="80">
        <f>'18'!AD21</f>
        <v>1</v>
      </c>
      <c r="T18" s="80"/>
      <c r="U18" s="80">
        <f>'20'!AD21</f>
        <v>0.58333333333333337</v>
      </c>
      <c r="V18" s="80">
        <f>'21'!AD21</f>
        <v>0.58333333333333337</v>
      </c>
      <c r="W18" s="80">
        <f>'22'!AD21</f>
        <v>0.5</v>
      </c>
      <c r="X18" s="80">
        <f>'23'!AD21</f>
        <v>0.5</v>
      </c>
      <c r="Y18" s="80">
        <f>'24'!AD21</f>
        <v>0.5</v>
      </c>
      <c r="Z18" s="80"/>
      <c r="AA18" s="80"/>
      <c r="AB18" s="80">
        <f>'27'!AD21</f>
        <v>0.45833333333333331</v>
      </c>
      <c r="AC18" s="80">
        <f>'28'!AD21</f>
        <v>0.54166666666666663</v>
      </c>
      <c r="AD18" s="80">
        <f>'29'!AD21</f>
        <v>0.54166666666666663</v>
      </c>
      <c r="AE18" s="80">
        <f>'30'!AD21</f>
        <v>0.58333333333333337</v>
      </c>
      <c r="AF18" s="81">
        <f>'31'!AD21</f>
        <v>0.58333333333333337</v>
      </c>
      <c r="AG18" s="82">
        <f t="shared" si="0"/>
        <v>0.47446236559139793</v>
      </c>
    </row>
    <row r="19" spans="1:33" s="83" customFormat="1" ht="21.75" customHeight="1">
      <c r="A19" s="87" t="s">
        <v>104</v>
      </c>
      <c r="B19" s="91">
        <f>'01'!AD24</f>
        <v>0.49537037037037035</v>
      </c>
      <c r="C19" s="91">
        <f>'02'!AD22</f>
        <v>0.51041666666666674</v>
      </c>
      <c r="D19" s="92">
        <f>'03'!AD23</f>
        <v>0.45654308410111039</v>
      </c>
      <c r="E19" s="92">
        <f>'04'!AD22</f>
        <v>0.52604166666666674</v>
      </c>
      <c r="F19" s="92"/>
      <c r="G19" s="92">
        <f>'06'!AD22</f>
        <v>0.55989583333333337</v>
      </c>
      <c r="H19" s="92">
        <f>'07'!AD23</f>
        <v>0.40196078431372551</v>
      </c>
      <c r="I19" s="92">
        <f>'08'!AD23</f>
        <v>0.44607843137254899</v>
      </c>
      <c r="J19" s="92">
        <f>'09'!AD22</f>
        <v>0.51041666666666663</v>
      </c>
      <c r="K19" s="92">
        <f>'10'!AD22</f>
        <v>0.39843750000000006</v>
      </c>
      <c r="L19" s="92">
        <f>'11'!AD22</f>
        <v>0.40104166666666669</v>
      </c>
      <c r="M19" s="92"/>
      <c r="N19" s="92">
        <f>'13'!AD22</f>
        <v>0.47135416666666669</v>
      </c>
      <c r="O19" s="92">
        <f>'14'!AD22</f>
        <v>0.4453125</v>
      </c>
      <c r="P19" s="92">
        <f>'15'!AD23</f>
        <v>0.51470588235294112</v>
      </c>
      <c r="Q19" s="92">
        <f>'16'!AD22</f>
        <v>0.48437499999999994</v>
      </c>
      <c r="R19" s="92">
        <f>'17'!AD22</f>
        <v>0.3671875</v>
      </c>
      <c r="S19" s="92">
        <f>'18'!AD22</f>
        <v>0.3125</v>
      </c>
      <c r="T19" s="92"/>
      <c r="U19" s="92">
        <f>'20'!AD22</f>
        <v>0.41145833333333331</v>
      </c>
      <c r="V19" s="92">
        <f>'21'!AD22</f>
        <v>0.40625</v>
      </c>
      <c r="W19" s="92">
        <f>'22'!AD22</f>
        <v>0.45572916666666669</v>
      </c>
      <c r="X19" s="92">
        <f>'23'!AD22</f>
        <v>0.45052083333333337</v>
      </c>
      <c r="Y19" s="92">
        <f>'24'!AD22</f>
        <v>0.42708333333333331</v>
      </c>
      <c r="Z19" s="92"/>
      <c r="AA19" s="92"/>
      <c r="AB19" s="92">
        <f>'27'!AD22</f>
        <v>0.35156249999999994</v>
      </c>
      <c r="AC19" s="92">
        <f>'28'!AD22</f>
        <v>0.41927083333333331</v>
      </c>
      <c r="AD19" s="92">
        <f>'29'!AD22</f>
        <v>0.43750000000000006</v>
      </c>
      <c r="AE19" s="92">
        <f>'30'!AD22</f>
        <v>0.49479166666666663</v>
      </c>
      <c r="AF19" s="93">
        <f>'31'!AD22</f>
        <v>0.47656249999999994</v>
      </c>
      <c r="AG19" s="94">
        <f t="shared" si="0"/>
        <v>0.3752376414788397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52</vt:i4>
      </vt:variant>
    </vt:vector>
  </HeadingPairs>
  <TitlesOfParts>
    <vt:vector size="79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18</vt:lpstr>
      <vt:lpstr>20</vt:lpstr>
      <vt:lpstr>21</vt:lpstr>
      <vt:lpstr>22</vt:lpstr>
      <vt:lpstr>23</vt:lpstr>
      <vt:lpstr>24</vt:lpstr>
      <vt:lpstr>27</vt:lpstr>
      <vt:lpstr>28</vt:lpstr>
      <vt:lpstr>29</vt:lpstr>
      <vt:lpstr>30</vt:lpstr>
      <vt:lpstr>31</vt:lpstr>
      <vt:lpstr>총괄</vt:lpstr>
      <vt:lpstr>'01'!Print_Area</vt:lpstr>
      <vt:lpstr>'02'!Print_Area</vt:lpstr>
      <vt:lpstr>'03'!Print_Area</vt:lpstr>
      <vt:lpstr>'04'!Print_Area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'20'!Print_Area</vt:lpstr>
      <vt:lpstr>'21'!Print_Area</vt:lpstr>
      <vt:lpstr>'22'!Print_Area</vt:lpstr>
      <vt:lpstr>'23'!Print_Area</vt:lpstr>
      <vt:lpstr>'24'!Print_Area</vt:lpstr>
      <vt:lpstr>'27'!Print_Area</vt:lpstr>
      <vt:lpstr>'28'!Print_Area</vt:lpstr>
      <vt:lpstr>'29'!Print_Area</vt:lpstr>
      <vt:lpstr>'30'!Print_Area</vt:lpstr>
      <vt:lpstr>'31'!Print_Area</vt:lpstr>
      <vt:lpstr>'01'!ㅁ1</vt:lpstr>
      <vt:lpstr>'02'!ㅁ1</vt:lpstr>
      <vt:lpstr>'03'!ㅁ1</vt:lpstr>
      <vt:lpstr>'04'!ㅁ1</vt:lpstr>
      <vt:lpstr>'06'!ㅁ1</vt:lpstr>
      <vt:lpstr>'07'!ㅁ1</vt:lpstr>
      <vt:lpstr>'08'!ㅁ1</vt:lpstr>
      <vt:lpstr>'09'!ㅁ1</vt:lpstr>
      <vt:lpstr>'10'!ㅁ1</vt:lpstr>
      <vt:lpstr>'11'!ㅁ1</vt:lpstr>
      <vt:lpstr>'13'!ㅁ1</vt:lpstr>
      <vt:lpstr>'14'!ㅁ1</vt:lpstr>
      <vt:lpstr>'15'!ㅁ1</vt:lpstr>
      <vt:lpstr>'16'!ㅁ1</vt:lpstr>
      <vt:lpstr>'17'!ㅁ1</vt:lpstr>
      <vt:lpstr>'18'!ㅁ1</vt:lpstr>
      <vt:lpstr>'20'!ㅁ1</vt:lpstr>
      <vt:lpstr>'21'!ㅁ1</vt:lpstr>
      <vt:lpstr>'22'!ㅁ1</vt:lpstr>
      <vt:lpstr>'23'!ㅁ1</vt:lpstr>
      <vt:lpstr>'24'!ㅁ1</vt:lpstr>
      <vt:lpstr>'27'!ㅁ1</vt:lpstr>
      <vt:lpstr>'28'!ㅁ1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2020-08-01T00:51:20Z</dcterms:modified>
</cp:coreProperties>
</file>