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20년도\일일업무\생산일보\"/>
    </mc:Choice>
  </mc:AlternateContent>
  <xr:revisionPtr revIDLastSave="0" documentId="13_ncr:1_{779BC177-8F74-4F5B-A975-27C5FF249463}" xr6:coauthVersionLast="45" xr6:coauthVersionMax="45" xr10:uidLastSave="{00000000-0000-0000-0000-000000000000}"/>
  <bookViews>
    <workbookView xWindow="-120" yWindow="-120" windowWidth="29040" windowHeight="15840" activeTab="22" xr2:uid="{00000000-000D-0000-FFFF-FFFF00000000}"/>
  </bookViews>
  <sheets>
    <sheet name="03" sheetId="1799" r:id="rId1"/>
    <sheet name="04" sheetId="1800" r:id="rId2"/>
    <sheet name="05" sheetId="1801" r:id="rId3"/>
    <sheet name="06" sheetId="1802" r:id="rId4"/>
    <sheet name="07" sheetId="1803" r:id="rId5"/>
    <sheet name="08" sheetId="1804" r:id="rId6"/>
    <sheet name="10" sheetId="1805" r:id="rId7"/>
    <sheet name="11" sheetId="1806" r:id="rId8"/>
    <sheet name="12" sheetId="1807" r:id="rId9"/>
    <sheet name="13" sheetId="1808" r:id="rId10"/>
    <sheet name="14" sheetId="1809" r:id="rId11"/>
    <sheet name="15" sheetId="1810" r:id="rId12"/>
    <sheet name="17" sheetId="1811" r:id="rId13"/>
    <sheet name="18" sheetId="1812" r:id="rId14"/>
    <sheet name="19" sheetId="1813" r:id="rId15"/>
    <sheet name="20" sheetId="1814" r:id="rId16"/>
    <sheet name="21" sheetId="1815" r:id="rId17"/>
    <sheet name="24" sheetId="1816" r:id="rId18"/>
    <sheet name="25" sheetId="1817" r:id="rId19"/>
    <sheet name="26" sheetId="1818" r:id="rId20"/>
    <sheet name="27" sheetId="1819" r:id="rId21"/>
    <sheet name="28" sheetId="1820" r:id="rId22"/>
    <sheet name="31" sheetId="1821" r:id="rId23"/>
    <sheet name="총괄" sheetId="16" r:id="rId24"/>
  </sheets>
  <definedNames>
    <definedName name="_xlnm.Print_Area" localSheetId="0">'03'!$A$1:$AD$87</definedName>
    <definedName name="_xlnm.Print_Area" localSheetId="1">'04'!$A$1:$AD$87</definedName>
    <definedName name="_xlnm.Print_Area" localSheetId="2">'05'!$A$1:$AD$87</definedName>
    <definedName name="_xlnm.Print_Area" localSheetId="3">'06'!$A$1:$AD$87</definedName>
    <definedName name="_xlnm.Print_Area" localSheetId="4">'07'!$A$1:$AD$87</definedName>
    <definedName name="_xlnm.Print_Area" localSheetId="5">'08'!$A$1:$AD$87</definedName>
    <definedName name="_xlnm.Print_Area" localSheetId="6">'10'!$A$1:$AD$87</definedName>
    <definedName name="_xlnm.Print_Area" localSheetId="7">'11'!$A$1:$AD$87</definedName>
    <definedName name="_xlnm.Print_Area" localSheetId="8">'12'!$A$1:$AD$87</definedName>
    <definedName name="_xlnm.Print_Area" localSheetId="9">'13'!$A$1:$AD$87</definedName>
    <definedName name="_xlnm.Print_Area" localSheetId="10">'14'!$A$1:$AD$87</definedName>
    <definedName name="_xlnm.Print_Area" localSheetId="11">'15'!$A$1:$AD$87</definedName>
    <definedName name="_xlnm.Print_Area" localSheetId="12">'17'!$A$1:$AD$87</definedName>
    <definedName name="_xlnm.Print_Area" localSheetId="13">'18'!$A$1:$AD$87</definedName>
    <definedName name="_xlnm.Print_Area" localSheetId="14">'19'!$A$1:$AD$87</definedName>
    <definedName name="_xlnm.Print_Area" localSheetId="15">'20'!$A$1:$AD$87</definedName>
    <definedName name="_xlnm.Print_Area" localSheetId="16">'21'!$A$1:$AD$87</definedName>
    <definedName name="_xlnm.Print_Area" localSheetId="17">'24'!$A$1:$AD$89</definedName>
    <definedName name="_xlnm.Print_Area" localSheetId="18">'25'!$A$1:$AD$87</definedName>
    <definedName name="_xlnm.Print_Area" localSheetId="19">'26'!$A$1:$AD$87</definedName>
    <definedName name="_xlnm.Print_Area" localSheetId="20">'27'!$A$1:$AD$88</definedName>
    <definedName name="_xlnm.Print_Area" localSheetId="21">'28'!$A$1:$AD$87</definedName>
    <definedName name="_xlnm.Print_Area" localSheetId="22">'31'!$A$1:$AD$87</definedName>
    <definedName name="ㅁ1" localSheetId="0">'03'!$M$1048522:$M$1048576</definedName>
    <definedName name="ㅁ1" localSheetId="1">'04'!$M$1048522:$M$1048576</definedName>
    <definedName name="ㅁ1" localSheetId="2">'05'!$M$1048522:$M$1048576</definedName>
    <definedName name="ㅁ1" localSheetId="3">'06'!$M$1048522:$M$1048576</definedName>
    <definedName name="ㅁ1" localSheetId="4">'07'!$M$1048522:$M$1048576</definedName>
    <definedName name="ㅁ1" localSheetId="5">'08'!$M$1048522:$M$1048576</definedName>
    <definedName name="ㅁ1" localSheetId="6">'10'!$M$1048522:$M$1048576</definedName>
    <definedName name="ㅁ1" localSheetId="7">'11'!$M$1048522:$M$1048576</definedName>
    <definedName name="ㅁ1" localSheetId="8">'12'!$M$1048522:$M$1048576</definedName>
    <definedName name="ㅁ1" localSheetId="9">'13'!$M$1048522:$M$1048576</definedName>
    <definedName name="ㅁ1" localSheetId="10">'14'!$M$1048522:$M$1048576</definedName>
    <definedName name="ㅁ1" localSheetId="11">'15'!$M$1048522:$M$1048576</definedName>
    <definedName name="ㅁ1" localSheetId="12">'17'!$M$1048522:$M$1048576</definedName>
    <definedName name="ㅁ1" localSheetId="13">'18'!$M$1048522:$M$1048576</definedName>
    <definedName name="ㅁ1" localSheetId="14">'19'!$M$1048522:$M$1048576</definedName>
    <definedName name="ㅁ1" localSheetId="15">'20'!$M$1048522:$M$1048576</definedName>
    <definedName name="ㅁ1" localSheetId="16">'21'!$M$1048522:$M$1048576</definedName>
    <definedName name="ㅁ1" localSheetId="17">'24'!$M$1048524:$M$1048576</definedName>
    <definedName name="ㅁ1" localSheetId="18">'25'!$M$1048522:$M$1048576</definedName>
    <definedName name="ㅁ1" localSheetId="19">'26'!$M$1048522:$M$1048576</definedName>
    <definedName name="ㅁ1" localSheetId="20">'27'!$M$1048523:$M$1048576</definedName>
    <definedName name="ㅁ1" localSheetId="21">'28'!$M$1048522:$M$1048576</definedName>
    <definedName name="ㅁ1" localSheetId="22">'31'!$M$1048522:$M$1048576</definedName>
    <definedName name="ㅁ1">#REF!</definedName>
  </definedNames>
  <calcPr calcId="181029"/>
</workbook>
</file>

<file path=xl/calcChain.xml><?xml version="1.0" encoding="utf-8"?>
<calcChain xmlns="http://schemas.openxmlformats.org/spreadsheetml/2006/main">
  <c r="AF19" i="16" l="1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21" i="1821"/>
  <c r="O21" i="1821" s="1"/>
  <c r="L20" i="1821"/>
  <c r="L19" i="1821"/>
  <c r="K19" i="1821" s="1"/>
  <c r="L18" i="1821"/>
  <c r="K18" i="1821" s="1"/>
  <c r="L13" i="1821"/>
  <c r="L12" i="1821"/>
  <c r="L10" i="1821"/>
  <c r="P10" i="1821" s="1"/>
  <c r="AC10" i="1821" s="1"/>
  <c r="K10" i="1821"/>
  <c r="L9" i="1821"/>
  <c r="K9" i="1821"/>
  <c r="L8" i="1821"/>
  <c r="L6" i="1821"/>
  <c r="O6" i="1821" s="1"/>
  <c r="K6" i="1821"/>
  <c r="K20" i="1821"/>
  <c r="K15" i="1821"/>
  <c r="K13" i="1821"/>
  <c r="K8" i="1821"/>
  <c r="A79" i="1821"/>
  <c r="A80" i="1821" s="1"/>
  <c r="A81" i="1821" s="1"/>
  <c r="A82" i="1821" s="1"/>
  <c r="A78" i="1821"/>
  <c r="A77" i="1821"/>
  <c r="AF61" i="1821"/>
  <c r="AF60" i="1821"/>
  <c r="AF63" i="1821" s="1"/>
  <c r="AA22" i="1821"/>
  <c r="Z22" i="1821"/>
  <c r="Y22" i="1821"/>
  <c r="X22" i="1821"/>
  <c r="W22" i="1821"/>
  <c r="V22" i="1821"/>
  <c r="U22" i="1821"/>
  <c r="T22" i="1821"/>
  <c r="S22" i="1821"/>
  <c r="R22" i="1821"/>
  <c r="N22" i="1821"/>
  <c r="J22" i="1821"/>
  <c r="I22" i="1821"/>
  <c r="AF21" i="1821"/>
  <c r="AB21" i="1821"/>
  <c r="Q21" i="1821"/>
  <c r="P21" i="1821" s="1"/>
  <c r="AC21" i="1821" s="1"/>
  <c r="M21" i="1821"/>
  <c r="K21" i="1821"/>
  <c r="AF20" i="1821"/>
  <c r="Q20" i="1821"/>
  <c r="M20" i="1821"/>
  <c r="O20" i="1821"/>
  <c r="AF19" i="1821"/>
  <c r="Q19" i="1821"/>
  <c r="O19" i="1821"/>
  <c r="AB19" i="1821"/>
  <c r="AF18" i="1821"/>
  <c r="AB18" i="1821"/>
  <c r="Q18" i="1821"/>
  <c r="P18" i="1821"/>
  <c r="AC18" i="1821" s="1"/>
  <c r="AD18" i="1821" s="1"/>
  <c r="O18" i="1821"/>
  <c r="M18" i="1821"/>
  <c r="AF17" i="1821"/>
  <c r="AB17" i="1821"/>
  <c r="Q17" i="1821"/>
  <c r="P17" i="1821"/>
  <c r="AC17" i="1821" s="1"/>
  <c r="AD17" i="1821" s="1"/>
  <c r="O17" i="1821"/>
  <c r="M17" i="1821"/>
  <c r="K17" i="1821"/>
  <c r="AF16" i="1821"/>
  <c r="AB16" i="1821"/>
  <c r="Q16" i="1821"/>
  <c r="P16" i="1821"/>
  <c r="AC16" i="1821" s="1"/>
  <c r="O16" i="1821"/>
  <c r="M16" i="1821"/>
  <c r="K16" i="1821"/>
  <c r="AF15" i="1821"/>
  <c r="AB15" i="1821"/>
  <c r="Q15" i="1821"/>
  <c r="P15" i="1821"/>
  <c r="AC15" i="1821" s="1"/>
  <c r="M15" i="1821"/>
  <c r="O15" i="1821"/>
  <c r="AF14" i="1821"/>
  <c r="AB14" i="1821"/>
  <c r="Q14" i="1821"/>
  <c r="P14" i="1821"/>
  <c r="AC14" i="1821" s="1"/>
  <c r="AD14" i="1821" s="1"/>
  <c r="O14" i="1821"/>
  <c r="M14" i="1821"/>
  <c r="K14" i="1821"/>
  <c r="AF13" i="1821"/>
  <c r="Q13" i="1821"/>
  <c r="P13" i="1821" s="1"/>
  <c r="AC13" i="1821" s="1"/>
  <c r="AF12" i="1821"/>
  <c r="AB12" i="1821"/>
  <c r="Q12" i="1821"/>
  <c r="O12" i="1821"/>
  <c r="M12" i="1821"/>
  <c r="K12" i="1821"/>
  <c r="AF11" i="1821"/>
  <c r="AB11" i="1821"/>
  <c r="Q11" i="1821"/>
  <c r="P11" i="1821"/>
  <c r="AC11" i="1821" s="1"/>
  <c r="O11" i="1821"/>
  <c r="M11" i="1821"/>
  <c r="K11" i="1821"/>
  <c r="AF10" i="1821"/>
  <c r="AB10" i="1821"/>
  <c r="Q10" i="1821"/>
  <c r="M10" i="1821"/>
  <c r="O10" i="1821"/>
  <c r="AF9" i="1821"/>
  <c r="Q9" i="1821"/>
  <c r="O9" i="1821"/>
  <c r="AB9" i="1821"/>
  <c r="AF8" i="1821"/>
  <c r="AB8" i="1821"/>
  <c r="Q8" i="1821"/>
  <c r="P8" i="1821" s="1"/>
  <c r="AC8" i="1821" s="1"/>
  <c r="O8" i="1821"/>
  <c r="M8" i="1821"/>
  <c r="AF7" i="1821"/>
  <c r="AC7" i="1821"/>
  <c r="AD7" i="1821" s="1"/>
  <c r="AB7" i="1821"/>
  <c r="Q7" i="1821"/>
  <c r="P7" i="1821"/>
  <c r="O7" i="1821"/>
  <c r="M7" i="1821"/>
  <c r="K7" i="1821"/>
  <c r="AF6" i="1821"/>
  <c r="AB6" i="1821"/>
  <c r="Q6" i="1821"/>
  <c r="M6" i="1821"/>
  <c r="AD21" i="1821" l="1"/>
  <c r="P20" i="1821"/>
  <c r="AC20" i="1821" s="1"/>
  <c r="P12" i="1821"/>
  <c r="AC12" i="1821" s="1"/>
  <c r="Q22" i="1821"/>
  <c r="P6" i="1821"/>
  <c r="AC6" i="1821" s="1"/>
  <c r="AD8" i="1821"/>
  <c r="AD12" i="1821"/>
  <c r="AD16" i="1821"/>
  <c r="AD11" i="1821"/>
  <c r="AD15" i="1821"/>
  <c r="AD10" i="1821"/>
  <c r="L22" i="1821"/>
  <c r="O22" i="1821" s="1"/>
  <c r="AD6" i="1821"/>
  <c r="K22" i="1821"/>
  <c r="P9" i="1821"/>
  <c r="M13" i="1821"/>
  <c r="AB13" i="1821"/>
  <c r="P19" i="1821"/>
  <c r="AC19" i="1821" s="1"/>
  <c r="AD19" i="1821" s="1"/>
  <c r="O13" i="1821"/>
  <c r="AB20" i="1821"/>
  <c r="M9" i="1821"/>
  <c r="M19" i="1821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820"/>
  <c r="L19" i="1820"/>
  <c r="L15" i="1820"/>
  <c r="L13" i="1820"/>
  <c r="K13" i="1820" s="1"/>
  <c r="K12" i="1820"/>
  <c r="L10" i="1820"/>
  <c r="L9" i="1820"/>
  <c r="L8" i="1820"/>
  <c r="AD20" i="1821" l="1"/>
  <c r="M22" i="1821"/>
  <c r="AD13" i="1821"/>
  <c r="P22" i="1821"/>
  <c r="AC9" i="1821"/>
  <c r="AB22" i="1821"/>
  <c r="K21" i="1820"/>
  <c r="K20" i="1820"/>
  <c r="K19" i="1820"/>
  <c r="K18" i="1820"/>
  <c r="K15" i="1820"/>
  <c r="K10" i="1820"/>
  <c r="K9" i="1820"/>
  <c r="K8" i="1820"/>
  <c r="K6" i="1820"/>
  <c r="A77" i="1820"/>
  <c r="A78" i="1820" s="1"/>
  <c r="A79" i="1820" s="1"/>
  <c r="A80" i="1820" s="1"/>
  <c r="A81" i="1820" s="1"/>
  <c r="A82" i="1820" s="1"/>
  <c r="AF61" i="1820"/>
  <c r="AF63" i="1820" s="1"/>
  <c r="AF60" i="1820"/>
  <c r="AA22" i="1820"/>
  <c r="Z22" i="1820"/>
  <c r="Y22" i="1820"/>
  <c r="X22" i="1820"/>
  <c r="W22" i="1820"/>
  <c r="V22" i="1820"/>
  <c r="U22" i="1820"/>
  <c r="T22" i="1820"/>
  <c r="S22" i="1820"/>
  <c r="R22" i="1820"/>
  <c r="N22" i="1820"/>
  <c r="J22" i="1820"/>
  <c r="I22" i="1820"/>
  <c r="AF21" i="1820"/>
  <c r="Q21" i="1820"/>
  <c r="P21" i="1820"/>
  <c r="AC21" i="1820" s="1"/>
  <c r="O21" i="1820"/>
  <c r="AB21" i="1820"/>
  <c r="AF20" i="1820"/>
  <c r="AB20" i="1820"/>
  <c r="Q20" i="1820"/>
  <c r="P20" i="1820" s="1"/>
  <c r="AC20" i="1820" s="1"/>
  <c r="O20" i="1820"/>
  <c r="M20" i="1820"/>
  <c r="AF19" i="1820"/>
  <c r="Q19" i="1820"/>
  <c r="AB19" i="1820"/>
  <c r="AF18" i="1820"/>
  <c r="Q18" i="1820"/>
  <c r="P18" i="1820"/>
  <c r="AC18" i="1820" s="1"/>
  <c r="O18" i="1820"/>
  <c r="AB18" i="1820"/>
  <c r="AF17" i="1820"/>
  <c r="AC17" i="1820"/>
  <c r="AB17" i="1820"/>
  <c r="Q17" i="1820"/>
  <c r="P17" i="1820"/>
  <c r="O17" i="1820"/>
  <c r="M17" i="1820"/>
  <c r="K17" i="1820"/>
  <c r="AF16" i="1820"/>
  <c r="AB16" i="1820"/>
  <c r="Q16" i="1820"/>
  <c r="P16" i="1820"/>
  <c r="AC16" i="1820" s="1"/>
  <c r="O16" i="1820"/>
  <c r="M16" i="1820"/>
  <c r="K16" i="1820"/>
  <c r="AF15" i="1820"/>
  <c r="AB15" i="1820"/>
  <c r="Q15" i="1820"/>
  <c r="P15" i="1820"/>
  <c r="AC15" i="1820" s="1"/>
  <c r="O15" i="1820"/>
  <c r="M15" i="1820"/>
  <c r="AF14" i="1820"/>
  <c r="AC14" i="1820"/>
  <c r="AB14" i="1820"/>
  <c r="Q14" i="1820"/>
  <c r="P14" i="1820"/>
  <c r="O14" i="1820"/>
  <c r="M14" i="1820"/>
  <c r="K14" i="1820"/>
  <c r="AF13" i="1820"/>
  <c r="AB13" i="1820"/>
  <c r="Q13" i="1820"/>
  <c r="P13" i="1820" s="1"/>
  <c r="AC13" i="1820" s="1"/>
  <c r="O13" i="1820"/>
  <c r="M13" i="1820"/>
  <c r="AF12" i="1820"/>
  <c r="AB12" i="1820"/>
  <c r="Q12" i="1820"/>
  <c r="M12" i="1820"/>
  <c r="O12" i="1820"/>
  <c r="AF11" i="1820"/>
  <c r="AB11" i="1820"/>
  <c r="Q11" i="1820"/>
  <c r="P11" i="1820"/>
  <c r="AC11" i="1820" s="1"/>
  <c r="O11" i="1820"/>
  <c r="M11" i="1820"/>
  <c r="K11" i="1820"/>
  <c r="AF10" i="1820"/>
  <c r="AB10" i="1820"/>
  <c r="Q10" i="1820"/>
  <c r="P10" i="1820" s="1"/>
  <c r="AC10" i="1820" s="1"/>
  <c r="O10" i="1820"/>
  <c r="M10" i="1820"/>
  <c r="L22" i="1820"/>
  <c r="O22" i="1820" s="1"/>
  <c r="AF9" i="1820"/>
  <c r="AB9" i="1820"/>
  <c r="Q9" i="1820"/>
  <c r="P9" i="1820" s="1"/>
  <c r="AC9" i="1820" s="1"/>
  <c r="O9" i="1820"/>
  <c r="M9" i="1820"/>
  <c r="AF8" i="1820"/>
  <c r="AB8" i="1820"/>
  <c r="Q8" i="1820"/>
  <c r="P8" i="1820" s="1"/>
  <c r="AC8" i="1820" s="1"/>
  <c r="O8" i="1820"/>
  <c r="M8" i="1820"/>
  <c r="AF7" i="1820"/>
  <c r="AC7" i="1820"/>
  <c r="AB7" i="1820"/>
  <c r="Q7" i="1820"/>
  <c r="P7" i="1820"/>
  <c r="O7" i="1820"/>
  <c r="M7" i="1820"/>
  <c r="K7" i="1820"/>
  <c r="AF6" i="1820"/>
  <c r="AB6" i="1820"/>
  <c r="Q6" i="1820"/>
  <c r="P6" i="1820"/>
  <c r="AC6" i="1820" s="1"/>
  <c r="O6" i="1820"/>
  <c r="M6" i="1820"/>
  <c r="AD9" i="1821" l="1"/>
  <c r="AD22" i="1821" s="1"/>
  <c r="AC22" i="1821"/>
  <c r="AD18" i="1820"/>
  <c r="AD13" i="1820"/>
  <c r="Q22" i="1820"/>
  <c r="AD10" i="1820"/>
  <c r="AD7" i="1820"/>
  <c r="AD11" i="1820"/>
  <c r="AD15" i="1820"/>
  <c r="AD14" i="1820"/>
  <c r="AD16" i="1820"/>
  <c r="AD17" i="1820"/>
  <c r="AD20" i="1820"/>
  <c r="AD8" i="1820"/>
  <c r="AD9" i="1820"/>
  <c r="AD6" i="1820"/>
  <c r="AB22" i="1820"/>
  <c r="AD21" i="1820"/>
  <c r="K22" i="1820"/>
  <c r="P12" i="1820"/>
  <c r="AC12" i="1820" s="1"/>
  <c r="AD12" i="1820" s="1"/>
  <c r="M18" i="1820"/>
  <c r="O19" i="1820"/>
  <c r="M21" i="1820"/>
  <c r="P19" i="1820"/>
  <c r="AC19" i="1820" s="1"/>
  <c r="M19" i="1820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2" i="1819"/>
  <c r="K22" i="1819" s="1"/>
  <c r="L21" i="1819"/>
  <c r="O21" i="1819" s="1"/>
  <c r="AF21" i="1819"/>
  <c r="Q21" i="1819"/>
  <c r="AB21" i="1819"/>
  <c r="L20" i="1819"/>
  <c r="L19" i="1819"/>
  <c r="K19" i="1819" s="1"/>
  <c r="L18" i="1819"/>
  <c r="K18" i="1819" s="1"/>
  <c r="L15" i="1819"/>
  <c r="L12" i="1819"/>
  <c r="K12" i="1819" s="1"/>
  <c r="L10" i="1819"/>
  <c r="K10" i="1819" s="1"/>
  <c r="K9" i="1819"/>
  <c r="K6" i="1819"/>
  <c r="K20" i="1819"/>
  <c r="K15" i="1819"/>
  <c r="K13" i="1819"/>
  <c r="K7" i="1819"/>
  <c r="A78" i="1819"/>
  <c r="A79" i="1819" s="1"/>
  <c r="A80" i="1819" s="1"/>
  <c r="A81" i="1819" s="1"/>
  <c r="A82" i="1819" s="1"/>
  <c r="A83" i="1819" s="1"/>
  <c r="AF62" i="1819"/>
  <c r="AF61" i="1819"/>
  <c r="AF64" i="1819" s="1"/>
  <c r="AA23" i="1819"/>
  <c r="Z23" i="1819"/>
  <c r="Y23" i="1819"/>
  <c r="X23" i="1819"/>
  <c r="W23" i="1819"/>
  <c r="V23" i="1819"/>
  <c r="U23" i="1819"/>
  <c r="T23" i="1819"/>
  <c r="S23" i="1819"/>
  <c r="R23" i="1819"/>
  <c r="N23" i="1819"/>
  <c r="J23" i="1819"/>
  <c r="I23" i="1819"/>
  <c r="AF22" i="1819"/>
  <c r="Q22" i="1819"/>
  <c r="P22" i="1819"/>
  <c r="AC22" i="1819" s="1"/>
  <c r="O22" i="1819"/>
  <c r="AF20" i="1819"/>
  <c r="Q20" i="1819"/>
  <c r="P20" i="1819" s="1"/>
  <c r="AC20" i="1819" s="1"/>
  <c r="O20" i="1819"/>
  <c r="AB20" i="1819"/>
  <c r="AF19" i="1819"/>
  <c r="AB19" i="1819"/>
  <c r="Q19" i="1819"/>
  <c r="P19" i="1819" s="1"/>
  <c r="AC19" i="1819" s="1"/>
  <c r="O19" i="1819"/>
  <c r="M19" i="1819"/>
  <c r="AF18" i="1819"/>
  <c r="AB18" i="1819"/>
  <c r="Q18" i="1819"/>
  <c r="P18" i="1819" s="1"/>
  <c r="AC18" i="1819" s="1"/>
  <c r="O18" i="1819"/>
  <c r="M18" i="1819"/>
  <c r="AF17" i="1819"/>
  <c r="AB17" i="1819"/>
  <c r="Q17" i="1819"/>
  <c r="P17" i="1819"/>
  <c r="AC17" i="1819" s="1"/>
  <c r="AD17" i="1819" s="1"/>
  <c r="O17" i="1819"/>
  <c r="M17" i="1819"/>
  <c r="K17" i="1819"/>
  <c r="AF16" i="1819"/>
  <c r="AB16" i="1819"/>
  <c r="Q16" i="1819"/>
  <c r="P16" i="1819"/>
  <c r="AC16" i="1819" s="1"/>
  <c r="O16" i="1819"/>
  <c r="M16" i="1819"/>
  <c r="K16" i="1819"/>
  <c r="AF15" i="1819"/>
  <c r="AB15" i="1819"/>
  <c r="Q15" i="1819"/>
  <c r="O15" i="1819"/>
  <c r="M15" i="1819"/>
  <c r="AF14" i="1819"/>
  <c r="AB14" i="1819"/>
  <c r="Q14" i="1819"/>
  <c r="P14" i="1819"/>
  <c r="AC14" i="1819" s="1"/>
  <c r="O14" i="1819"/>
  <c r="M14" i="1819"/>
  <c r="K14" i="1819"/>
  <c r="AF13" i="1819"/>
  <c r="Q13" i="1819"/>
  <c r="P13" i="1819" s="1"/>
  <c r="AC13" i="1819" s="1"/>
  <c r="O13" i="1819"/>
  <c r="AF12" i="1819"/>
  <c r="Q12" i="1819"/>
  <c r="P12" i="1819" s="1"/>
  <c r="AC12" i="1819" s="1"/>
  <c r="O12" i="1819"/>
  <c r="M12" i="1819"/>
  <c r="AB12" i="1819"/>
  <c r="AF11" i="1819"/>
  <c r="AC11" i="1819"/>
  <c r="AD11" i="1819" s="1"/>
  <c r="AB11" i="1819"/>
  <c r="Q11" i="1819"/>
  <c r="P11" i="1819"/>
  <c r="O11" i="1819"/>
  <c r="M11" i="1819"/>
  <c r="K11" i="1819"/>
  <c r="AF10" i="1819"/>
  <c r="Q10" i="1819"/>
  <c r="P10" i="1819" s="1"/>
  <c r="AC10" i="1819" s="1"/>
  <c r="O10" i="1819"/>
  <c r="AF9" i="1819"/>
  <c r="AB9" i="1819"/>
  <c r="Q9" i="1819"/>
  <c r="P9" i="1819" s="1"/>
  <c r="AC9" i="1819" s="1"/>
  <c r="O9" i="1819"/>
  <c r="M9" i="1819"/>
  <c r="AF8" i="1819"/>
  <c r="AB8" i="1819"/>
  <c r="Q8" i="1819"/>
  <c r="P8" i="1819" s="1"/>
  <c r="AC8" i="1819" s="1"/>
  <c r="O8" i="1819"/>
  <c r="M8" i="1819"/>
  <c r="K8" i="1819"/>
  <c r="AF7" i="1819"/>
  <c r="AB7" i="1819"/>
  <c r="Q7" i="1819"/>
  <c r="P7" i="1819"/>
  <c r="AC7" i="1819" s="1"/>
  <c r="AD7" i="1819" s="1"/>
  <c r="O7" i="1819"/>
  <c r="M7" i="1819"/>
  <c r="AF6" i="1819"/>
  <c r="AB6" i="1819"/>
  <c r="Q6" i="1819"/>
  <c r="O6" i="1819"/>
  <c r="M6" i="1819"/>
  <c r="AE21" i="1821" l="1"/>
  <c r="AE18" i="1821"/>
  <c r="AE16" i="1821"/>
  <c r="AE11" i="1821"/>
  <c r="AE8" i="1821"/>
  <c r="AE6" i="1821"/>
  <c r="AE13" i="1821"/>
  <c r="AE7" i="1821"/>
  <c r="AE19" i="1821"/>
  <c r="AE14" i="1821"/>
  <c r="AE9" i="1821"/>
  <c r="AE20" i="1821"/>
  <c r="AE17" i="1821"/>
  <c r="AE15" i="1821"/>
  <c r="AE12" i="1821"/>
  <c r="AE10" i="1821"/>
  <c r="AD19" i="1820"/>
  <c r="M22" i="1820"/>
  <c r="P22" i="1820"/>
  <c r="AD22" i="1820"/>
  <c r="AC22" i="1820"/>
  <c r="AD14" i="1819"/>
  <c r="P15" i="1819"/>
  <c r="AC15" i="1819" s="1"/>
  <c r="K21" i="1819"/>
  <c r="P21" i="1819"/>
  <c r="AC21" i="1819" s="1"/>
  <c r="AD21" i="1819" s="1"/>
  <c r="M21" i="1819"/>
  <c r="AD19" i="1819"/>
  <c r="AD9" i="1819"/>
  <c r="Q23" i="1819"/>
  <c r="P6" i="1819"/>
  <c r="AD15" i="1819"/>
  <c r="AD18" i="1819"/>
  <c r="AD8" i="1819"/>
  <c r="AD12" i="1819"/>
  <c r="AD16" i="1819"/>
  <c r="K23" i="1819"/>
  <c r="AD20" i="1819"/>
  <c r="AC6" i="1819"/>
  <c r="M10" i="1819"/>
  <c r="AB10" i="1819"/>
  <c r="AD10" i="1819" s="1"/>
  <c r="M13" i="1819"/>
  <c r="AB13" i="1819"/>
  <c r="AD13" i="1819" s="1"/>
  <c r="M22" i="1819"/>
  <c r="AB22" i="1819"/>
  <c r="AD22" i="1819" s="1"/>
  <c r="L23" i="1819"/>
  <c r="O23" i="1819" s="1"/>
  <c r="M20" i="1819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1" i="1818"/>
  <c r="O21" i="1818" s="1"/>
  <c r="L20" i="1818"/>
  <c r="M20" i="1818" s="1"/>
  <c r="L19" i="1818"/>
  <c r="K19" i="1818" s="1"/>
  <c r="L15" i="1818"/>
  <c r="L13" i="1818"/>
  <c r="O13" i="1818" s="1"/>
  <c r="L12" i="1818"/>
  <c r="O12" i="1818" s="1"/>
  <c r="L10" i="1818"/>
  <c r="K9" i="1818"/>
  <c r="K20" i="1818"/>
  <c r="K15" i="1818"/>
  <c r="K13" i="1818"/>
  <c r="K12" i="1818"/>
  <c r="K10" i="1818"/>
  <c r="K7" i="1818"/>
  <c r="A77" i="1818"/>
  <c r="A78" i="1818" s="1"/>
  <c r="A79" i="1818" s="1"/>
  <c r="A80" i="1818" s="1"/>
  <c r="A81" i="1818" s="1"/>
  <c r="A82" i="1818" s="1"/>
  <c r="AF61" i="1818"/>
  <c r="AF60" i="1818"/>
  <c r="AF63" i="1818" s="1"/>
  <c r="AA22" i="1818"/>
  <c r="Z22" i="1818"/>
  <c r="Y22" i="1818"/>
  <c r="X22" i="1818"/>
  <c r="W22" i="1818"/>
  <c r="V22" i="1818"/>
  <c r="U22" i="1818"/>
  <c r="T22" i="1818"/>
  <c r="S22" i="1818"/>
  <c r="R22" i="1818"/>
  <c r="N22" i="1818"/>
  <c r="J22" i="1818"/>
  <c r="I22" i="1818"/>
  <c r="AF21" i="1818"/>
  <c r="Q21" i="1818"/>
  <c r="P21" i="1818"/>
  <c r="AC21" i="1818" s="1"/>
  <c r="AF20" i="1818"/>
  <c r="Q20" i="1818"/>
  <c r="P20" i="1818"/>
  <c r="AC20" i="1818" s="1"/>
  <c r="O20" i="1818"/>
  <c r="AB20" i="1818"/>
  <c r="AF19" i="1818"/>
  <c r="AB19" i="1818"/>
  <c r="Q19" i="1818"/>
  <c r="M19" i="1818"/>
  <c r="P19" i="1818"/>
  <c r="AC19" i="1818" s="1"/>
  <c r="AF18" i="1818"/>
  <c r="AB18" i="1818"/>
  <c r="Q18" i="1818"/>
  <c r="P18" i="1818"/>
  <c r="AC18" i="1818" s="1"/>
  <c r="O18" i="1818"/>
  <c r="M18" i="1818"/>
  <c r="K18" i="1818"/>
  <c r="AF17" i="1818"/>
  <c r="AB17" i="1818"/>
  <c r="Q17" i="1818"/>
  <c r="P17" i="1818"/>
  <c r="AC17" i="1818" s="1"/>
  <c r="O17" i="1818"/>
  <c r="M17" i="1818"/>
  <c r="K17" i="1818"/>
  <c r="AF16" i="1818"/>
  <c r="AB16" i="1818"/>
  <c r="Q16" i="1818"/>
  <c r="P16" i="1818"/>
  <c r="AC16" i="1818" s="1"/>
  <c r="O16" i="1818"/>
  <c r="M16" i="1818"/>
  <c r="K16" i="1818"/>
  <c r="AF15" i="1818"/>
  <c r="Q15" i="1818"/>
  <c r="P15" i="1818"/>
  <c r="AC15" i="1818" s="1"/>
  <c r="AF14" i="1818"/>
  <c r="AB14" i="1818"/>
  <c r="Q14" i="1818"/>
  <c r="P14" i="1818"/>
  <c r="AC14" i="1818" s="1"/>
  <c r="O14" i="1818"/>
  <c r="M14" i="1818"/>
  <c r="K14" i="1818"/>
  <c r="AF13" i="1818"/>
  <c r="AB13" i="1818"/>
  <c r="Q13" i="1818"/>
  <c r="M13" i="1818"/>
  <c r="AF12" i="1818"/>
  <c r="Q12" i="1818"/>
  <c r="P12" i="1818" s="1"/>
  <c r="AC12" i="1818" s="1"/>
  <c r="AF11" i="1818"/>
  <c r="AB11" i="1818"/>
  <c r="Q11" i="1818"/>
  <c r="P11" i="1818"/>
  <c r="AC11" i="1818" s="1"/>
  <c r="AD11" i="1818" s="1"/>
  <c r="O11" i="1818"/>
  <c r="M11" i="1818"/>
  <c r="K11" i="1818"/>
  <c r="AF10" i="1818"/>
  <c r="Q10" i="1818"/>
  <c r="P10" i="1818"/>
  <c r="AC10" i="1818" s="1"/>
  <c r="AF9" i="1818"/>
  <c r="AB9" i="1818"/>
  <c r="Q9" i="1818"/>
  <c r="P9" i="1818" s="1"/>
  <c r="AC9" i="1818" s="1"/>
  <c r="O9" i="1818"/>
  <c r="M9" i="1818"/>
  <c r="AF8" i="1818"/>
  <c r="AC8" i="1818"/>
  <c r="AB8" i="1818"/>
  <c r="Q8" i="1818"/>
  <c r="P8" i="1818"/>
  <c r="O8" i="1818"/>
  <c r="M8" i="1818"/>
  <c r="K8" i="1818"/>
  <c r="AF7" i="1818"/>
  <c r="Q7" i="1818"/>
  <c r="P7" i="1818"/>
  <c r="AC7" i="1818" s="1"/>
  <c r="O7" i="1818"/>
  <c r="AF6" i="1818"/>
  <c r="AB6" i="1818"/>
  <c r="Q6" i="1818"/>
  <c r="P6" i="1818"/>
  <c r="AC6" i="1818" s="1"/>
  <c r="AD6" i="1818" s="1"/>
  <c r="O6" i="1818"/>
  <c r="M6" i="1818"/>
  <c r="K6" i="1818"/>
  <c r="AE21" i="1820" l="1"/>
  <c r="AE18" i="1820"/>
  <c r="AE13" i="1820"/>
  <c r="AE8" i="1820"/>
  <c r="AE19" i="1820"/>
  <c r="AE14" i="1820"/>
  <c r="AE12" i="1820"/>
  <c r="AE9" i="1820"/>
  <c r="AE7" i="1820"/>
  <c r="AE6" i="1820"/>
  <c r="AE16" i="1820"/>
  <c r="AE11" i="1820"/>
  <c r="AE20" i="1820"/>
  <c r="AE17" i="1820"/>
  <c r="AE15" i="1820"/>
  <c r="AE10" i="1820"/>
  <c r="P23" i="1819"/>
  <c r="M23" i="1819"/>
  <c r="AC23" i="1819"/>
  <c r="AD6" i="1819"/>
  <c r="AD23" i="1819" s="1"/>
  <c r="AE21" i="1819" s="1"/>
  <c r="AB23" i="1819"/>
  <c r="K21" i="1818"/>
  <c r="K22" i="1818" s="1"/>
  <c r="O19" i="1818"/>
  <c r="AD19" i="1818" s="1"/>
  <c r="P13" i="1818"/>
  <c r="AC13" i="1818" s="1"/>
  <c r="AC22" i="1818" s="1"/>
  <c r="Q22" i="1818"/>
  <c r="AD14" i="1818"/>
  <c r="AD18" i="1818"/>
  <c r="P22" i="1818"/>
  <c r="AD9" i="1818"/>
  <c r="AD17" i="1818"/>
  <c r="AD13" i="1818"/>
  <c r="AD16" i="1818"/>
  <c r="AD8" i="1818"/>
  <c r="AD20" i="1818"/>
  <c r="M21" i="1818"/>
  <c r="AB21" i="1818"/>
  <c r="AD21" i="1818" s="1"/>
  <c r="L22" i="1818"/>
  <c r="O22" i="1818" s="1"/>
  <c r="M10" i="1818"/>
  <c r="AB10" i="1818"/>
  <c r="M15" i="1818"/>
  <c r="M22" i="1818" s="1"/>
  <c r="AB15" i="1818"/>
  <c r="M7" i="1818"/>
  <c r="AB7" i="1818"/>
  <c r="AD7" i="1818" s="1"/>
  <c r="O10" i="1818"/>
  <c r="M12" i="1818"/>
  <c r="AB12" i="1818"/>
  <c r="AD12" i="1818" s="1"/>
  <c r="O15" i="1818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1817"/>
  <c r="K21" i="1817" s="1"/>
  <c r="L20" i="1817"/>
  <c r="L19" i="1817"/>
  <c r="P19" i="1817" s="1"/>
  <c r="AC19" i="1817" s="1"/>
  <c r="L15" i="1817"/>
  <c r="K15" i="1817"/>
  <c r="L12" i="1817"/>
  <c r="K12" i="1817"/>
  <c r="L10" i="1817"/>
  <c r="O10" i="1817" s="1"/>
  <c r="L7" i="1817"/>
  <c r="K7" i="1817" s="1"/>
  <c r="K20" i="1817"/>
  <c r="K13" i="1817"/>
  <c r="K10" i="1817"/>
  <c r="K9" i="1817"/>
  <c r="K6" i="1817"/>
  <c r="A78" i="1817"/>
  <c r="A79" i="1817" s="1"/>
  <c r="A80" i="1817" s="1"/>
  <c r="A81" i="1817" s="1"/>
  <c r="A82" i="1817" s="1"/>
  <c r="A77" i="1817"/>
  <c r="AF61" i="1817"/>
  <c r="AF60" i="1817"/>
  <c r="AA22" i="1817"/>
  <c r="Z22" i="1817"/>
  <c r="Y22" i="1817"/>
  <c r="X22" i="1817"/>
  <c r="W22" i="1817"/>
  <c r="V22" i="1817"/>
  <c r="U22" i="1817"/>
  <c r="T22" i="1817"/>
  <c r="S22" i="1817"/>
  <c r="R22" i="1817"/>
  <c r="N22" i="1817"/>
  <c r="J22" i="1817"/>
  <c r="I22" i="1817"/>
  <c r="AF21" i="1817"/>
  <c r="Q21" i="1817"/>
  <c r="AF20" i="1817"/>
  <c r="Q20" i="1817"/>
  <c r="P20" i="1817" s="1"/>
  <c r="AC20" i="1817" s="1"/>
  <c r="AF19" i="1817"/>
  <c r="Q19" i="1817"/>
  <c r="AF18" i="1817"/>
  <c r="AB18" i="1817"/>
  <c r="Q18" i="1817"/>
  <c r="P18" i="1817"/>
  <c r="AC18" i="1817" s="1"/>
  <c r="O18" i="1817"/>
  <c r="M18" i="1817"/>
  <c r="K18" i="1817"/>
  <c r="AF17" i="1817"/>
  <c r="AB17" i="1817"/>
  <c r="Q17" i="1817"/>
  <c r="P17" i="1817"/>
  <c r="AC17" i="1817" s="1"/>
  <c r="O17" i="1817"/>
  <c r="M17" i="1817"/>
  <c r="K17" i="1817"/>
  <c r="AF16" i="1817"/>
  <c r="AB16" i="1817"/>
  <c r="Q16" i="1817"/>
  <c r="P16" i="1817"/>
  <c r="AC16" i="1817" s="1"/>
  <c r="O16" i="1817"/>
  <c r="M16" i="1817"/>
  <c r="K16" i="1817"/>
  <c r="AF15" i="1817"/>
  <c r="Q15" i="1817"/>
  <c r="AF14" i="1817"/>
  <c r="AB14" i="1817"/>
  <c r="Q14" i="1817"/>
  <c r="P14" i="1817"/>
  <c r="AC14" i="1817" s="1"/>
  <c r="O14" i="1817"/>
  <c r="M14" i="1817"/>
  <c r="K14" i="1817"/>
  <c r="AF13" i="1817"/>
  <c r="Q13" i="1817"/>
  <c r="P13" i="1817" s="1"/>
  <c r="AC13" i="1817" s="1"/>
  <c r="AF12" i="1817"/>
  <c r="AB12" i="1817"/>
  <c r="Q12" i="1817"/>
  <c r="P12" i="1817" s="1"/>
  <c r="AC12" i="1817" s="1"/>
  <c r="O12" i="1817"/>
  <c r="M12" i="1817"/>
  <c r="AF11" i="1817"/>
  <c r="AB11" i="1817"/>
  <c r="Q11" i="1817"/>
  <c r="P11" i="1817"/>
  <c r="AC11" i="1817" s="1"/>
  <c r="O11" i="1817"/>
  <c r="M11" i="1817"/>
  <c r="K11" i="1817"/>
  <c r="AF10" i="1817"/>
  <c r="Q10" i="1817"/>
  <c r="P10" i="1817" s="1"/>
  <c r="AC10" i="1817" s="1"/>
  <c r="AF9" i="1817"/>
  <c r="AB9" i="1817"/>
  <c r="Q9" i="1817"/>
  <c r="P9" i="1817"/>
  <c r="AC9" i="1817" s="1"/>
  <c r="O9" i="1817"/>
  <c r="M9" i="1817"/>
  <c r="AF8" i="1817"/>
  <c r="AB8" i="1817"/>
  <c r="Q8" i="1817"/>
  <c r="P8" i="1817"/>
  <c r="AC8" i="1817" s="1"/>
  <c r="O8" i="1817"/>
  <c r="M8" i="1817"/>
  <c r="K8" i="1817"/>
  <c r="AF7" i="1817"/>
  <c r="Q7" i="1817"/>
  <c r="AF6" i="1817"/>
  <c r="AB6" i="1817"/>
  <c r="Q6" i="1817"/>
  <c r="P6" i="1817"/>
  <c r="AC6" i="1817" s="1"/>
  <c r="O6" i="1817"/>
  <c r="M6" i="1817"/>
  <c r="AE22" i="1819" l="1"/>
  <c r="AE8" i="1819"/>
  <c r="AE18" i="1819"/>
  <c r="AE19" i="1819"/>
  <c r="AE14" i="1819"/>
  <c r="AE11" i="1819"/>
  <c r="AE10" i="1819"/>
  <c r="AE16" i="1819"/>
  <c r="AE6" i="1819"/>
  <c r="AE20" i="1819"/>
  <c r="AE17" i="1819"/>
  <c r="AE15" i="1819"/>
  <c r="AE12" i="1819"/>
  <c r="AE9" i="1819"/>
  <c r="AE7" i="1819"/>
  <c r="AE13" i="1819"/>
  <c r="AD15" i="1818"/>
  <c r="AD10" i="1818"/>
  <c r="AB22" i="1818"/>
  <c r="M21" i="1817"/>
  <c r="P21" i="1817"/>
  <c r="AC21" i="1817" s="1"/>
  <c r="AB21" i="1817"/>
  <c r="M19" i="1817"/>
  <c r="AB19" i="1817"/>
  <c r="AD19" i="1817" s="1"/>
  <c r="O19" i="1817"/>
  <c r="K19" i="1817"/>
  <c r="AD8" i="1817"/>
  <c r="AD11" i="1817"/>
  <c r="AD16" i="1817"/>
  <c r="AD9" i="1817"/>
  <c r="AF63" i="1817"/>
  <c r="AB15" i="1817"/>
  <c r="O15" i="1817"/>
  <c r="P15" i="1817"/>
  <c r="AC15" i="1817" s="1"/>
  <c r="Q22" i="1817"/>
  <c r="P7" i="1817"/>
  <c r="AC7" i="1817" s="1"/>
  <c r="O7" i="1817"/>
  <c r="AD12" i="1817"/>
  <c r="AD14" i="1817"/>
  <c r="AD18" i="1817"/>
  <c r="AD17" i="1817"/>
  <c r="L22" i="1817"/>
  <c r="O22" i="1817" s="1"/>
  <c r="AD6" i="1817"/>
  <c r="M13" i="1817"/>
  <c r="AB13" i="1817"/>
  <c r="M20" i="1817"/>
  <c r="AB20" i="1817"/>
  <c r="O21" i="1817"/>
  <c r="M7" i="1817"/>
  <c r="AB7" i="1817"/>
  <c r="M10" i="1817"/>
  <c r="AB10" i="1817"/>
  <c r="AD10" i="1817" s="1"/>
  <c r="O13" i="1817"/>
  <c r="M15" i="1817"/>
  <c r="O20" i="1817"/>
  <c r="K22" i="1817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AD22" i="1818" l="1"/>
  <c r="AE18" i="1818" s="1"/>
  <c r="AD21" i="1817"/>
  <c r="AC22" i="1817"/>
  <c r="AD15" i="1817"/>
  <c r="M22" i="1817"/>
  <c r="AD13" i="1817"/>
  <c r="P22" i="1817"/>
  <c r="AB22" i="1817"/>
  <c r="AD20" i="1817"/>
  <c r="AD7" i="1817"/>
  <c r="L23" i="1816"/>
  <c r="L22" i="1816"/>
  <c r="K22" i="1816"/>
  <c r="AF20" i="1816"/>
  <c r="AB20" i="1816"/>
  <c r="Q20" i="1816"/>
  <c r="P20" i="1816" s="1"/>
  <c r="AC20" i="1816" s="1"/>
  <c r="AD20" i="1816" s="1"/>
  <c r="O20" i="1816"/>
  <c r="M20" i="1816"/>
  <c r="K20" i="1816"/>
  <c r="K21" i="1816"/>
  <c r="AF19" i="1816"/>
  <c r="AB19" i="1816"/>
  <c r="Q19" i="1816"/>
  <c r="P19" i="1816" s="1"/>
  <c r="AC19" i="1816" s="1"/>
  <c r="AD19" i="1816" s="1"/>
  <c r="O19" i="1816"/>
  <c r="M19" i="1816"/>
  <c r="K19" i="1816"/>
  <c r="L15" i="1816"/>
  <c r="K15" i="1816"/>
  <c r="L13" i="1816"/>
  <c r="K13" i="1816" s="1"/>
  <c r="L10" i="1816"/>
  <c r="AF10" i="1816"/>
  <c r="AB10" i="1816"/>
  <c r="Q10" i="1816"/>
  <c r="P10" i="1816"/>
  <c r="AC10" i="1816" s="1"/>
  <c r="O10" i="1816"/>
  <c r="M10" i="1816"/>
  <c r="K10" i="1816"/>
  <c r="L9" i="1816"/>
  <c r="K9" i="1816"/>
  <c r="K8" i="1816"/>
  <c r="L7" i="1816"/>
  <c r="K7" i="1816" s="1"/>
  <c r="K6" i="1816"/>
  <c r="K14" i="1816"/>
  <c r="K11" i="1816"/>
  <c r="A79" i="1816"/>
  <c r="A80" i="1816" s="1"/>
  <c r="A81" i="1816" s="1"/>
  <c r="A82" i="1816" s="1"/>
  <c r="A83" i="1816" s="1"/>
  <c r="A84" i="1816" s="1"/>
  <c r="AF65" i="1816"/>
  <c r="AF63" i="1816"/>
  <c r="AF62" i="1816"/>
  <c r="AA24" i="1816"/>
  <c r="Z24" i="1816"/>
  <c r="Y24" i="1816"/>
  <c r="X24" i="1816"/>
  <c r="W24" i="1816"/>
  <c r="V24" i="1816"/>
  <c r="U24" i="1816"/>
  <c r="T24" i="1816"/>
  <c r="S24" i="1816"/>
  <c r="R24" i="1816"/>
  <c r="N24" i="1816"/>
  <c r="J24" i="1816"/>
  <c r="I24" i="1816"/>
  <c r="AF23" i="1816"/>
  <c r="AB23" i="1816"/>
  <c r="Q23" i="1816"/>
  <c r="P23" i="1816" s="1"/>
  <c r="AC23" i="1816" s="1"/>
  <c r="O23" i="1816"/>
  <c r="M23" i="1816"/>
  <c r="K23" i="1816"/>
  <c r="AF22" i="1816"/>
  <c r="AB22" i="1816"/>
  <c r="Q22" i="1816"/>
  <c r="M22" i="1816"/>
  <c r="P22" i="1816"/>
  <c r="AC22" i="1816" s="1"/>
  <c r="AF21" i="1816"/>
  <c r="Q21" i="1816"/>
  <c r="P21" i="1816" s="1"/>
  <c r="AC21" i="1816" s="1"/>
  <c r="AF18" i="1816"/>
  <c r="AB18" i="1816"/>
  <c r="Q18" i="1816"/>
  <c r="P18" i="1816"/>
  <c r="AC18" i="1816" s="1"/>
  <c r="O18" i="1816"/>
  <c r="M18" i="1816"/>
  <c r="K18" i="1816"/>
  <c r="AF17" i="1816"/>
  <c r="AB17" i="1816"/>
  <c r="Q17" i="1816"/>
  <c r="P17" i="1816"/>
  <c r="AC17" i="1816" s="1"/>
  <c r="O17" i="1816"/>
  <c r="M17" i="1816"/>
  <c r="K17" i="1816"/>
  <c r="AF16" i="1816"/>
  <c r="AB16" i="1816"/>
  <c r="Q16" i="1816"/>
  <c r="P16" i="1816"/>
  <c r="AC16" i="1816" s="1"/>
  <c r="O16" i="1816"/>
  <c r="M16" i="1816"/>
  <c r="K16" i="1816"/>
  <c r="AF15" i="1816"/>
  <c r="AB15" i="1816"/>
  <c r="Q15" i="1816"/>
  <c r="M15" i="1816"/>
  <c r="O15" i="1816"/>
  <c r="AF14" i="1816"/>
  <c r="AB14" i="1816"/>
  <c r="Q14" i="1816"/>
  <c r="P14" i="1816" s="1"/>
  <c r="AC14" i="1816" s="1"/>
  <c r="O14" i="1816"/>
  <c r="M14" i="1816"/>
  <c r="AF13" i="1816"/>
  <c r="AB13" i="1816"/>
  <c r="Q13" i="1816"/>
  <c r="M13" i="1816"/>
  <c r="AF12" i="1816"/>
  <c r="AB12" i="1816"/>
  <c r="Q12" i="1816"/>
  <c r="P12" i="1816"/>
  <c r="AC12" i="1816" s="1"/>
  <c r="O12" i="1816"/>
  <c r="M12" i="1816"/>
  <c r="K12" i="1816"/>
  <c r="AF11" i="1816"/>
  <c r="Q11" i="1816"/>
  <c r="P11" i="1816"/>
  <c r="AC11" i="1816" s="1"/>
  <c r="AF9" i="1816"/>
  <c r="Q9" i="1816"/>
  <c r="O9" i="1816"/>
  <c r="AB9" i="1816"/>
  <c r="AF8" i="1816"/>
  <c r="AB8" i="1816"/>
  <c r="Q8" i="1816"/>
  <c r="P8" i="1816"/>
  <c r="AC8" i="1816" s="1"/>
  <c r="O8" i="1816"/>
  <c r="M8" i="1816"/>
  <c r="AF7" i="1816"/>
  <c r="AB7" i="1816"/>
  <c r="Q7" i="1816"/>
  <c r="O7" i="1816"/>
  <c r="M7" i="1816"/>
  <c r="AF6" i="1816"/>
  <c r="AB6" i="1816"/>
  <c r="Q6" i="1816"/>
  <c r="P6" i="1816" s="1"/>
  <c r="AC6" i="1816" s="1"/>
  <c r="O6" i="1816"/>
  <c r="M6" i="1816"/>
  <c r="AE9" i="1818" l="1"/>
  <c r="AE17" i="1818"/>
  <c r="AE8" i="1818"/>
  <c r="AE7" i="1818"/>
  <c r="AE20" i="1818"/>
  <c r="AE11" i="1818"/>
  <c r="AE15" i="1818"/>
  <c r="AE13" i="1818"/>
  <c r="AE10" i="1818"/>
  <c r="AE6" i="1818"/>
  <c r="AE14" i="1818"/>
  <c r="AE19" i="1818"/>
  <c r="AE12" i="1818"/>
  <c r="AE21" i="1818"/>
  <c r="AE16" i="1818"/>
  <c r="AD22" i="1817"/>
  <c r="AE21" i="1817" s="1"/>
  <c r="AD17" i="1816"/>
  <c r="AD16" i="1816"/>
  <c r="L24" i="1816"/>
  <c r="O24" i="1816" s="1"/>
  <c r="O13" i="1816"/>
  <c r="P13" i="1816"/>
  <c r="AC13" i="1816" s="1"/>
  <c r="AD10" i="1816"/>
  <c r="Q24" i="1816"/>
  <c r="P7" i="1816"/>
  <c r="AC7" i="1816" s="1"/>
  <c r="AD7" i="1816" s="1"/>
  <c r="AD14" i="1816"/>
  <c r="AD12" i="1816"/>
  <c r="AD23" i="1816"/>
  <c r="AD8" i="1816"/>
  <c r="AD18" i="1816"/>
  <c r="M21" i="1816"/>
  <c r="AB21" i="1816"/>
  <c r="O22" i="1816"/>
  <c r="AD22" i="1816" s="1"/>
  <c r="AD6" i="1816"/>
  <c r="K24" i="1816"/>
  <c r="P9" i="1816"/>
  <c r="AC9" i="1816" s="1"/>
  <c r="AD9" i="1816" s="1"/>
  <c r="M11" i="1816"/>
  <c r="AB11" i="1816"/>
  <c r="P15" i="1816"/>
  <c r="AC15" i="1816" s="1"/>
  <c r="AD15" i="1816" s="1"/>
  <c r="O21" i="1816"/>
  <c r="O11" i="1816"/>
  <c r="M9" i="18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815"/>
  <c r="AB20" i="1815" s="1"/>
  <c r="L19" i="1815"/>
  <c r="K19" i="1815" s="1"/>
  <c r="L15" i="1815"/>
  <c r="AB15" i="1815" s="1"/>
  <c r="L13" i="1815"/>
  <c r="L11" i="1815"/>
  <c r="L10" i="1815"/>
  <c r="K10" i="1815"/>
  <c r="L9" i="1815"/>
  <c r="K9" i="1815" s="1"/>
  <c r="L7" i="1815"/>
  <c r="K7" i="1815" s="1"/>
  <c r="K21" i="1815"/>
  <c r="K13" i="1815"/>
  <c r="K11" i="1815"/>
  <c r="A77" i="1815"/>
  <c r="A78" i="1815" s="1"/>
  <c r="A79" i="1815" s="1"/>
  <c r="A80" i="1815" s="1"/>
  <c r="A81" i="1815" s="1"/>
  <c r="A82" i="1815" s="1"/>
  <c r="AF61" i="1815"/>
  <c r="AF60" i="1815"/>
  <c r="AF63" i="1815" s="1"/>
  <c r="AA22" i="1815"/>
  <c r="Z22" i="1815"/>
  <c r="Y22" i="1815"/>
  <c r="X22" i="1815"/>
  <c r="W22" i="1815"/>
  <c r="V22" i="1815"/>
  <c r="U22" i="1815"/>
  <c r="T22" i="1815"/>
  <c r="S22" i="1815"/>
  <c r="R22" i="1815"/>
  <c r="N22" i="1815"/>
  <c r="J22" i="1815"/>
  <c r="I22" i="1815"/>
  <c r="AF21" i="1815"/>
  <c r="Q21" i="1815"/>
  <c r="P21" i="1815"/>
  <c r="AC21" i="1815" s="1"/>
  <c r="O21" i="1815"/>
  <c r="AF20" i="1815"/>
  <c r="Q20" i="1815"/>
  <c r="O20" i="1815"/>
  <c r="AF19" i="1815"/>
  <c r="AB19" i="1815"/>
  <c r="Q19" i="1815"/>
  <c r="P19" i="1815" s="1"/>
  <c r="AC19" i="1815" s="1"/>
  <c r="M19" i="1815"/>
  <c r="AF18" i="1815"/>
  <c r="AB18" i="1815"/>
  <c r="Q18" i="1815"/>
  <c r="P18" i="1815"/>
  <c r="AC18" i="1815" s="1"/>
  <c r="O18" i="1815"/>
  <c r="M18" i="1815"/>
  <c r="K18" i="1815"/>
  <c r="AF17" i="1815"/>
  <c r="AB17" i="1815"/>
  <c r="Q17" i="1815"/>
  <c r="P17" i="1815"/>
  <c r="AC17" i="1815" s="1"/>
  <c r="AD17" i="1815" s="1"/>
  <c r="O17" i="1815"/>
  <c r="M17" i="1815"/>
  <c r="K17" i="1815"/>
  <c r="AF16" i="1815"/>
  <c r="AB16" i="1815"/>
  <c r="Q16" i="1815"/>
  <c r="P16" i="1815"/>
  <c r="AC16" i="1815" s="1"/>
  <c r="O16" i="1815"/>
  <c r="M16" i="1815"/>
  <c r="K16" i="1815"/>
  <c r="AF15" i="1815"/>
  <c r="Q15" i="1815"/>
  <c r="AF14" i="1815"/>
  <c r="AB14" i="1815"/>
  <c r="Q14" i="1815"/>
  <c r="P14" i="1815" s="1"/>
  <c r="AC14" i="1815" s="1"/>
  <c r="O14" i="1815"/>
  <c r="M14" i="1815"/>
  <c r="K14" i="1815"/>
  <c r="AF13" i="1815"/>
  <c r="Q13" i="1815"/>
  <c r="P13" i="1815"/>
  <c r="AC13" i="1815" s="1"/>
  <c r="O13" i="1815"/>
  <c r="AF12" i="1815"/>
  <c r="AC12" i="1815"/>
  <c r="AB12" i="1815"/>
  <c r="Q12" i="1815"/>
  <c r="P12" i="1815"/>
  <c r="O12" i="1815"/>
  <c r="M12" i="1815"/>
  <c r="K12" i="1815"/>
  <c r="AF11" i="1815"/>
  <c r="Q11" i="1815"/>
  <c r="P11" i="1815" s="1"/>
  <c r="AC11" i="1815" s="1"/>
  <c r="AF10" i="1815"/>
  <c r="Q10" i="1815"/>
  <c r="P10" i="1815" s="1"/>
  <c r="AC10" i="1815" s="1"/>
  <c r="O10" i="1815"/>
  <c r="AF9" i="1815"/>
  <c r="Q9" i="1815"/>
  <c r="P9" i="1815" s="1"/>
  <c r="AC9" i="1815" s="1"/>
  <c r="O9" i="1815"/>
  <c r="AB9" i="1815"/>
  <c r="AF8" i="1815"/>
  <c r="AB8" i="1815"/>
  <c r="Q8" i="1815"/>
  <c r="P8" i="1815"/>
  <c r="AC8" i="1815" s="1"/>
  <c r="AD8" i="1815" s="1"/>
  <c r="O8" i="1815"/>
  <c r="M8" i="1815"/>
  <c r="K8" i="1815"/>
  <c r="AF7" i="1815"/>
  <c r="Q7" i="1815"/>
  <c r="P7" i="1815" s="1"/>
  <c r="AC7" i="1815" s="1"/>
  <c r="O7" i="1815"/>
  <c r="AF6" i="1815"/>
  <c r="AC6" i="1815"/>
  <c r="AB6" i="1815"/>
  <c r="Q6" i="1815"/>
  <c r="P6" i="1815"/>
  <c r="O6" i="1815"/>
  <c r="M6" i="1815"/>
  <c r="K6" i="1815"/>
  <c r="AE20" i="1817" l="1"/>
  <c r="AE17" i="1817"/>
  <c r="AE19" i="1817"/>
  <c r="AE14" i="1817"/>
  <c r="AE7" i="1817"/>
  <c r="AE18" i="1817"/>
  <c r="AE13" i="1817"/>
  <c r="AE12" i="1817"/>
  <c r="AE10" i="1817"/>
  <c r="AE8" i="1817"/>
  <c r="AE15" i="1817"/>
  <c r="AE6" i="1817"/>
  <c r="AE16" i="1817"/>
  <c r="AE9" i="1817"/>
  <c r="AE11" i="1817"/>
  <c r="AD11" i="1816"/>
  <c r="AD13" i="1816"/>
  <c r="M24" i="1816"/>
  <c r="AB24" i="1816"/>
  <c r="AD21" i="1816"/>
  <c r="P24" i="1816"/>
  <c r="AC24" i="1816"/>
  <c r="P20" i="1815"/>
  <c r="AC20" i="1815" s="1"/>
  <c r="K20" i="1815"/>
  <c r="O19" i="1815"/>
  <c r="AD19" i="1815" s="1"/>
  <c r="P15" i="1815"/>
  <c r="AC15" i="1815" s="1"/>
  <c r="AD15" i="1815" s="1"/>
  <c r="O15" i="1815"/>
  <c r="K15" i="1815"/>
  <c r="Q22" i="1815"/>
  <c r="P22" i="1815"/>
  <c r="AD12" i="1815"/>
  <c r="AD14" i="1815"/>
  <c r="AD18" i="1815"/>
  <c r="AC22" i="1815"/>
  <c r="AD16" i="1815"/>
  <c r="AD9" i="1815"/>
  <c r="K22" i="1815"/>
  <c r="AD20" i="1815"/>
  <c r="AD6" i="1815"/>
  <c r="M11" i="1815"/>
  <c r="AB11" i="1815"/>
  <c r="M7" i="1815"/>
  <c r="AB7" i="1815"/>
  <c r="M10" i="1815"/>
  <c r="AB10" i="1815"/>
  <c r="AD10" i="1815" s="1"/>
  <c r="O11" i="1815"/>
  <c r="M13" i="1815"/>
  <c r="AB13" i="1815"/>
  <c r="AD13" i="1815" s="1"/>
  <c r="M21" i="1815"/>
  <c r="AB21" i="1815"/>
  <c r="AD21" i="1815" s="1"/>
  <c r="L22" i="1815"/>
  <c r="O22" i="1815" s="1"/>
  <c r="M9" i="1815"/>
  <c r="M15" i="1815"/>
  <c r="M20" i="1815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1" i="1814"/>
  <c r="L20" i="1814"/>
  <c r="AD24" i="1816" l="1"/>
  <c r="AE20" i="1816" s="1"/>
  <c r="M22" i="1815"/>
  <c r="AD11" i="1815"/>
  <c r="AB22" i="1815"/>
  <c r="AD7" i="1815"/>
  <c r="AD22" i="1815" s="1"/>
  <c r="L19" i="1814"/>
  <c r="AB19" i="1814" s="1"/>
  <c r="L15" i="1814"/>
  <c r="K15" i="1814" s="1"/>
  <c r="K14" i="1814"/>
  <c r="L13" i="1814"/>
  <c r="AB13" i="1814" s="1"/>
  <c r="L11" i="1814"/>
  <c r="K11" i="1814" s="1"/>
  <c r="L10" i="1814"/>
  <c r="O10" i="1814" s="1"/>
  <c r="K10" i="1814"/>
  <c r="L9" i="1814"/>
  <c r="K9" i="1814" s="1"/>
  <c r="L7" i="1814"/>
  <c r="O7" i="1814" s="1"/>
  <c r="K7" i="1814"/>
  <c r="K21" i="1814"/>
  <c r="K20" i="1814"/>
  <c r="A78" i="1814"/>
  <c r="A79" i="1814" s="1"/>
  <c r="A80" i="1814" s="1"/>
  <c r="A81" i="1814" s="1"/>
  <c r="A82" i="1814" s="1"/>
  <c r="A77" i="1814"/>
  <c r="AF63" i="1814"/>
  <c r="AF61" i="1814"/>
  <c r="AF60" i="1814"/>
  <c r="AA22" i="1814"/>
  <c r="Z22" i="1814"/>
  <c r="Y22" i="1814"/>
  <c r="X22" i="1814"/>
  <c r="W22" i="1814"/>
  <c r="V22" i="1814"/>
  <c r="U22" i="1814"/>
  <c r="T22" i="1814"/>
  <c r="S22" i="1814"/>
  <c r="R22" i="1814"/>
  <c r="N22" i="1814"/>
  <c r="J22" i="1814"/>
  <c r="I22" i="1814"/>
  <c r="AF21" i="1814"/>
  <c r="Q21" i="1814"/>
  <c r="P21" i="1814" s="1"/>
  <c r="AC21" i="1814" s="1"/>
  <c r="O21" i="1814"/>
  <c r="AF20" i="1814"/>
  <c r="AB20" i="1814"/>
  <c r="Q20" i="1814"/>
  <c r="P20" i="1814"/>
  <c r="AC20" i="1814" s="1"/>
  <c r="M20" i="1814"/>
  <c r="O20" i="1814"/>
  <c r="AF19" i="1814"/>
  <c r="Q19" i="1814"/>
  <c r="O19" i="1814"/>
  <c r="AF18" i="1814"/>
  <c r="AC18" i="1814"/>
  <c r="AB18" i="1814"/>
  <c r="Q18" i="1814"/>
  <c r="P18" i="1814"/>
  <c r="O18" i="1814"/>
  <c r="M18" i="1814"/>
  <c r="K18" i="1814"/>
  <c r="AF17" i="1814"/>
  <c r="AC17" i="1814"/>
  <c r="AB17" i="1814"/>
  <c r="Q17" i="1814"/>
  <c r="P17" i="1814"/>
  <c r="O17" i="1814"/>
  <c r="M17" i="1814"/>
  <c r="K17" i="1814"/>
  <c r="AF16" i="1814"/>
  <c r="AC16" i="1814"/>
  <c r="AB16" i="1814"/>
  <c r="Q16" i="1814"/>
  <c r="P16" i="1814"/>
  <c r="O16" i="1814"/>
  <c r="M16" i="1814"/>
  <c r="K16" i="1814"/>
  <c r="AF15" i="1814"/>
  <c r="Q15" i="1814"/>
  <c r="AB15" i="1814"/>
  <c r="AF14" i="1814"/>
  <c r="AB14" i="1814"/>
  <c r="Q14" i="1814"/>
  <c r="P14" i="1814"/>
  <c r="AC14" i="1814" s="1"/>
  <c r="AD14" i="1814" s="1"/>
  <c r="O14" i="1814"/>
  <c r="M14" i="1814"/>
  <c r="AF13" i="1814"/>
  <c r="Q13" i="1814"/>
  <c r="AF12" i="1814"/>
  <c r="AB12" i="1814"/>
  <c r="Q12" i="1814"/>
  <c r="P12" i="1814"/>
  <c r="AC12" i="1814" s="1"/>
  <c r="O12" i="1814"/>
  <c r="M12" i="1814"/>
  <c r="K12" i="1814"/>
  <c r="AF11" i="1814"/>
  <c r="Q11" i="1814"/>
  <c r="AF10" i="1814"/>
  <c r="AB10" i="1814"/>
  <c r="Q10" i="1814"/>
  <c r="P10" i="1814" s="1"/>
  <c r="AC10" i="1814" s="1"/>
  <c r="M10" i="1814"/>
  <c r="AF9" i="1814"/>
  <c r="Q9" i="1814"/>
  <c r="P9" i="1814"/>
  <c r="AC9" i="1814" s="1"/>
  <c r="AF8" i="1814"/>
  <c r="AB8" i="1814"/>
  <c r="Q8" i="1814"/>
  <c r="P8" i="1814"/>
  <c r="AC8" i="1814" s="1"/>
  <c r="AD8" i="1814" s="1"/>
  <c r="O8" i="1814"/>
  <c r="M8" i="1814"/>
  <c r="K8" i="1814"/>
  <c r="AF7" i="1814"/>
  <c r="Q7" i="1814"/>
  <c r="P7" i="1814"/>
  <c r="AC7" i="1814" s="1"/>
  <c r="AF6" i="1814"/>
  <c r="AB6" i="1814"/>
  <c r="Q6" i="1814"/>
  <c r="P6" i="1814"/>
  <c r="AC6" i="1814" s="1"/>
  <c r="O6" i="1814"/>
  <c r="M6" i="1814"/>
  <c r="K6" i="1814"/>
  <c r="AE10" i="1816" l="1"/>
  <c r="AE19" i="1816"/>
  <c r="AE13" i="1816"/>
  <c r="AE12" i="1816"/>
  <c r="AE18" i="1816"/>
  <c r="AE15" i="1816"/>
  <c r="AE7" i="1816"/>
  <c r="AE16" i="1816"/>
  <c r="AE11" i="1816"/>
  <c r="AE8" i="1816"/>
  <c r="AE6" i="1816"/>
  <c r="AE17" i="1816"/>
  <c r="AE14" i="1816"/>
  <c r="AE23" i="1816"/>
  <c r="AE9" i="1816"/>
  <c r="AE22" i="1816"/>
  <c r="AE21" i="1816"/>
  <c r="AE21" i="1815"/>
  <c r="AE19" i="1815"/>
  <c r="AE14" i="1815"/>
  <c r="AE8" i="1815"/>
  <c r="AE13" i="1815"/>
  <c r="AE10" i="1815"/>
  <c r="AE16" i="1815"/>
  <c r="AE11" i="1815"/>
  <c r="AE20" i="1815"/>
  <c r="AE17" i="1815"/>
  <c r="AE15" i="1815"/>
  <c r="AE12" i="1815"/>
  <c r="AE9" i="1815"/>
  <c r="AE6" i="1815"/>
  <c r="AE7" i="1815"/>
  <c r="AE18" i="1815"/>
  <c r="K19" i="1814"/>
  <c r="P19" i="1814"/>
  <c r="AC19" i="1814" s="1"/>
  <c r="AD19" i="1814" s="1"/>
  <c r="M19" i="1814"/>
  <c r="P13" i="1814"/>
  <c r="AC13" i="1814" s="1"/>
  <c r="O13" i="1814"/>
  <c r="K13" i="1814"/>
  <c r="M13" i="1814"/>
  <c r="AB11" i="1814"/>
  <c r="M11" i="1814"/>
  <c r="O11" i="1814"/>
  <c r="P11" i="1814"/>
  <c r="AC11" i="1814" s="1"/>
  <c r="AD10" i="1814"/>
  <c r="Q22" i="1814"/>
  <c r="M7" i="1814"/>
  <c r="AB7" i="1814"/>
  <c r="AD7" i="1814" s="1"/>
  <c r="AD16" i="1814"/>
  <c r="AD17" i="1814"/>
  <c r="AD18" i="1814"/>
  <c r="AD13" i="1814"/>
  <c r="AD12" i="1814"/>
  <c r="AD6" i="1814"/>
  <c r="AD20" i="1814"/>
  <c r="O15" i="1814"/>
  <c r="M9" i="1814"/>
  <c r="AB9" i="1814"/>
  <c r="AD9" i="1814" s="1"/>
  <c r="P15" i="1814"/>
  <c r="AC15" i="1814" s="1"/>
  <c r="M21" i="1814"/>
  <c r="AB21" i="1814"/>
  <c r="AD21" i="1814" s="1"/>
  <c r="L22" i="1814"/>
  <c r="O22" i="1814" s="1"/>
  <c r="O9" i="1814"/>
  <c r="M15" i="1814"/>
  <c r="K22" i="1814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1813"/>
  <c r="K21" i="1813" s="1"/>
  <c r="L20" i="1813"/>
  <c r="K20" i="1813" s="1"/>
  <c r="L15" i="1813"/>
  <c r="K15" i="1813" s="1"/>
  <c r="L11" i="1813"/>
  <c r="L9" i="1813"/>
  <c r="AB9" i="1813" s="1"/>
  <c r="AF9" i="1813"/>
  <c r="AC9" i="1813"/>
  <c r="Q9" i="1813"/>
  <c r="P9" i="1813"/>
  <c r="O9" i="1813"/>
  <c r="K9" i="1813"/>
  <c r="K13" i="1813"/>
  <c r="K11" i="1813"/>
  <c r="K10" i="1813"/>
  <c r="K7" i="1813"/>
  <c r="A77" i="1813"/>
  <c r="A78" i="1813" s="1"/>
  <c r="A79" i="1813" s="1"/>
  <c r="A80" i="1813" s="1"/>
  <c r="A81" i="1813" s="1"/>
  <c r="A82" i="1813" s="1"/>
  <c r="AF61" i="1813"/>
  <c r="AF60" i="1813"/>
  <c r="AF63" i="1813" s="1"/>
  <c r="AA22" i="1813"/>
  <c r="Z22" i="1813"/>
  <c r="Y22" i="1813"/>
  <c r="X22" i="1813"/>
  <c r="W22" i="1813"/>
  <c r="V22" i="1813"/>
  <c r="U22" i="1813"/>
  <c r="T22" i="1813"/>
  <c r="S22" i="1813"/>
  <c r="R22" i="1813"/>
  <c r="N22" i="1813"/>
  <c r="J22" i="1813"/>
  <c r="I22" i="1813"/>
  <c r="AF21" i="1813"/>
  <c r="AB21" i="1813"/>
  <c r="Q21" i="1813"/>
  <c r="M21" i="1813"/>
  <c r="O21" i="1813"/>
  <c r="AF20" i="1813"/>
  <c r="Q20" i="1813"/>
  <c r="P20" i="1813" s="1"/>
  <c r="AC20" i="1813" s="1"/>
  <c r="AF19" i="1813"/>
  <c r="AB19" i="1813"/>
  <c r="Q19" i="1813"/>
  <c r="P19" i="1813"/>
  <c r="AC19" i="1813" s="1"/>
  <c r="AD19" i="1813" s="1"/>
  <c r="O19" i="1813"/>
  <c r="M19" i="1813"/>
  <c r="K19" i="1813"/>
  <c r="AF18" i="1813"/>
  <c r="AB18" i="1813"/>
  <c r="Q18" i="1813"/>
  <c r="P18" i="1813"/>
  <c r="AC18" i="1813" s="1"/>
  <c r="O18" i="1813"/>
  <c r="M18" i="1813"/>
  <c r="K18" i="1813"/>
  <c r="AF17" i="1813"/>
  <c r="AB17" i="1813"/>
  <c r="Q17" i="1813"/>
  <c r="P17" i="1813"/>
  <c r="AC17" i="1813" s="1"/>
  <c r="O17" i="1813"/>
  <c r="M17" i="1813"/>
  <c r="K17" i="1813"/>
  <c r="AF16" i="1813"/>
  <c r="AB16" i="1813"/>
  <c r="Q16" i="1813"/>
  <c r="P16" i="1813"/>
  <c r="AC16" i="1813" s="1"/>
  <c r="O16" i="1813"/>
  <c r="M16" i="1813"/>
  <c r="K16" i="1813"/>
  <c r="AF15" i="1813"/>
  <c r="AB15" i="1813"/>
  <c r="Q15" i="1813"/>
  <c r="P15" i="1813"/>
  <c r="AC15" i="1813" s="1"/>
  <c r="O15" i="1813"/>
  <c r="M15" i="1813"/>
  <c r="AF14" i="1813"/>
  <c r="AC14" i="1813"/>
  <c r="AD14" i="1813" s="1"/>
  <c r="AB14" i="1813"/>
  <c r="Q14" i="1813"/>
  <c r="P14" i="1813"/>
  <c r="O14" i="1813"/>
  <c r="M14" i="1813"/>
  <c r="K14" i="1813"/>
  <c r="AF13" i="1813"/>
  <c r="Q13" i="1813"/>
  <c r="P13" i="1813"/>
  <c r="AC13" i="1813" s="1"/>
  <c r="AF12" i="1813"/>
  <c r="AB12" i="1813"/>
  <c r="Q12" i="1813"/>
  <c r="P12" i="1813"/>
  <c r="AC12" i="1813" s="1"/>
  <c r="AD12" i="1813" s="1"/>
  <c r="O12" i="1813"/>
  <c r="M12" i="1813"/>
  <c r="K12" i="1813"/>
  <c r="AF11" i="1813"/>
  <c r="AB11" i="1813"/>
  <c r="Q11" i="1813"/>
  <c r="P11" i="1813"/>
  <c r="AC11" i="1813" s="1"/>
  <c r="M11" i="1813"/>
  <c r="O11" i="1813"/>
  <c r="AF10" i="1813"/>
  <c r="Q10" i="1813"/>
  <c r="P10" i="1813"/>
  <c r="AC10" i="1813" s="1"/>
  <c r="AF8" i="1813"/>
  <c r="AB8" i="1813"/>
  <c r="Q8" i="1813"/>
  <c r="P8" i="1813"/>
  <c r="AC8" i="1813" s="1"/>
  <c r="AD8" i="1813" s="1"/>
  <c r="O8" i="1813"/>
  <c r="M8" i="1813"/>
  <c r="K8" i="1813"/>
  <c r="AF7" i="1813"/>
  <c r="AB7" i="1813"/>
  <c r="Q7" i="1813"/>
  <c r="P7" i="1813"/>
  <c r="AC7" i="1813" s="1"/>
  <c r="O7" i="1813"/>
  <c r="M7" i="1813"/>
  <c r="AF6" i="1813"/>
  <c r="AC6" i="1813"/>
  <c r="AB6" i="1813"/>
  <c r="Q6" i="1813"/>
  <c r="P6" i="1813"/>
  <c r="O6" i="1813"/>
  <c r="M6" i="1813"/>
  <c r="K6" i="1813"/>
  <c r="P22" i="1814" l="1"/>
  <c r="AD11" i="1814"/>
  <c r="M22" i="1814"/>
  <c r="AD15" i="1814"/>
  <c r="AB22" i="1814"/>
  <c r="AC22" i="1814"/>
  <c r="P21" i="1813"/>
  <c r="AC21" i="1813" s="1"/>
  <c r="AD21" i="1813" s="1"/>
  <c r="AD15" i="1813"/>
  <c r="AD11" i="1813"/>
  <c r="Q22" i="1813"/>
  <c r="AD9" i="1813"/>
  <c r="M9" i="1813"/>
  <c r="AD18" i="1813"/>
  <c r="AD7" i="1813"/>
  <c r="AD17" i="1813"/>
  <c r="AD16" i="1813"/>
  <c r="AC22" i="1813"/>
  <c r="L22" i="1813"/>
  <c r="O22" i="1813" s="1"/>
  <c r="P22" i="1813"/>
  <c r="AD6" i="1813"/>
  <c r="M10" i="1813"/>
  <c r="AB10" i="1813"/>
  <c r="M13" i="1813"/>
  <c r="AB13" i="1813"/>
  <c r="M20" i="1813"/>
  <c r="AB20" i="1813"/>
  <c r="O10" i="1813"/>
  <c r="O13" i="1813"/>
  <c r="O20" i="1813"/>
  <c r="K22" i="1813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1" i="1812"/>
  <c r="K21" i="1812" s="1"/>
  <c r="L20" i="1812"/>
  <c r="AB20" i="1812" s="1"/>
  <c r="K19" i="1812"/>
  <c r="L15" i="1812"/>
  <c r="K15" i="1812"/>
  <c r="L13" i="1812"/>
  <c r="K13" i="1812" s="1"/>
  <c r="L11" i="1812"/>
  <c r="K11" i="1812" s="1"/>
  <c r="L10" i="1812"/>
  <c r="K10" i="1812" s="1"/>
  <c r="L7" i="1812"/>
  <c r="AB7" i="1812" s="1"/>
  <c r="K20" i="1812"/>
  <c r="K12" i="1812"/>
  <c r="A77" i="1812"/>
  <c r="A78" i="1812" s="1"/>
  <c r="A79" i="1812" s="1"/>
  <c r="A80" i="1812" s="1"/>
  <c r="A81" i="1812" s="1"/>
  <c r="A82" i="1812" s="1"/>
  <c r="AF63" i="1812"/>
  <c r="AF61" i="1812"/>
  <c r="AF60" i="1812"/>
  <c r="AA22" i="1812"/>
  <c r="Z22" i="1812"/>
  <c r="Y22" i="1812"/>
  <c r="X22" i="1812"/>
  <c r="W22" i="1812"/>
  <c r="V22" i="1812"/>
  <c r="U22" i="1812"/>
  <c r="T22" i="1812"/>
  <c r="S22" i="1812"/>
  <c r="R22" i="1812"/>
  <c r="N22" i="1812"/>
  <c r="J22" i="1812"/>
  <c r="I22" i="1812"/>
  <c r="AF21" i="1812"/>
  <c r="Q21" i="1812"/>
  <c r="O21" i="1812"/>
  <c r="AB21" i="1812"/>
  <c r="AF20" i="1812"/>
  <c r="Q20" i="1812"/>
  <c r="P20" i="1812" s="1"/>
  <c r="AC20" i="1812" s="1"/>
  <c r="O20" i="1812"/>
  <c r="AF19" i="1812"/>
  <c r="Q19" i="1812"/>
  <c r="AB19" i="1812"/>
  <c r="AF18" i="1812"/>
  <c r="AB18" i="1812"/>
  <c r="Q18" i="1812"/>
  <c r="P18" i="1812"/>
  <c r="AC18" i="1812" s="1"/>
  <c r="AD18" i="1812" s="1"/>
  <c r="O18" i="1812"/>
  <c r="M18" i="1812"/>
  <c r="K18" i="1812"/>
  <c r="AF17" i="1812"/>
  <c r="AB17" i="1812"/>
  <c r="Q17" i="1812"/>
  <c r="P17" i="1812"/>
  <c r="AC17" i="1812" s="1"/>
  <c r="AD17" i="1812" s="1"/>
  <c r="O17" i="1812"/>
  <c r="M17" i="1812"/>
  <c r="K17" i="1812"/>
  <c r="AF16" i="1812"/>
  <c r="AB16" i="1812"/>
  <c r="Q16" i="1812"/>
  <c r="P16" i="1812"/>
  <c r="AC16" i="1812" s="1"/>
  <c r="O16" i="1812"/>
  <c r="M16" i="1812"/>
  <c r="K16" i="1812"/>
  <c r="AF15" i="1812"/>
  <c r="AB15" i="1812"/>
  <c r="Q15" i="1812"/>
  <c r="O15" i="1812"/>
  <c r="M15" i="1812"/>
  <c r="AF14" i="1812"/>
  <c r="AB14" i="1812"/>
  <c r="Q14" i="1812"/>
  <c r="P14" i="1812"/>
  <c r="AC14" i="1812" s="1"/>
  <c r="O14" i="1812"/>
  <c r="M14" i="1812"/>
  <c r="K14" i="1812"/>
  <c r="AF13" i="1812"/>
  <c r="Q13" i="1812"/>
  <c r="P13" i="1812" s="1"/>
  <c r="AC13" i="1812" s="1"/>
  <c r="O13" i="1812"/>
  <c r="AF12" i="1812"/>
  <c r="Q12" i="1812"/>
  <c r="M12" i="1812"/>
  <c r="AF11" i="1812"/>
  <c r="AB11" i="1812"/>
  <c r="Q11" i="1812"/>
  <c r="M11" i="1812"/>
  <c r="AF10" i="1812"/>
  <c r="Q10" i="1812"/>
  <c r="P10" i="1812"/>
  <c r="AC10" i="1812" s="1"/>
  <c r="O10" i="1812"/>
  <c r="AF9" i="1812"/>
  <c r="AC9" i="1812"/>
  <c r="AB9" i="1812"/>
  <c r="Q9" i="1812"/>
  <c r="P9" i="1812"/>
  <c r="O9" i="1812"/>
  <c r="M9" i="1812"/>
  <c r="K9" i="1812"/>
  <c r="AF8" i="1812"/>
  <c r="AC8" i="1812"/>
  <c r="AB8" i="1812"/>
  <c r="Q8" i="1812"/>
  <c r="P8" i="1812"/>
  <c r="O8" i="1812"/>
  <c r="M8" i="1812"/>
  <c r="K8" i="1812"/>
  <c r="AF7" i="1812"/>
  <c r="Q7" i="1812"/>
  <c r="AF6" i="1812"/>
  <c r="AB6" i="1812"/>
  <c r="Q6" i="1812"/>
  <c r="P6" i="1812"/>
  <c r="O6" i="1812"/>
  <c r="M6" i="1812"/>
  <c r="K6" i="1812"/>
  <c r="AD22" i="1814" l="1"/>
  <c r="AE21" i="1814" s="1"/>
  <c r="AD13" i="1813"/>
  <c r="AD20" i="1813"/>
  <c r="AB22" i="1813"/>
  <c r="M22" i="1813"/>
  <c r="AD10" i="1813"/>
  <c r="P21" i="1812"/>
  <c r="AC21" i="1812" s="1"/>
  <c r="AD20" i="1812"/>
  <c r="M20" i="1812"/>
  <c r="P15" i="1812"/>
  <c r="AC15" i="1812" s="1"/>
  <c r="AD15" i="1812" s="1"/>
  <c r="M13" i="1812"/>
  <c r="AB13" i="1812"/>
  <c r="AD13" i="1812" s="1"/>
  <c r="O11" i="1812"/>
  <c r="P11" i="1812"/>
  <c r="AC11" i="1812" s="1"/>
  <c r="AD11" i="1812" s="1"/>
  <c r="AD10" i="1812"/>
  <c r="M10" i="1812"/>
  <c r="AB10" i="1812"/>
  <c r="Q22" i="1812"/>
  <c r="K7" i="1812"/>
  <c r="AD9" i="1812"/>
  <c r="AD16" i="1812"/>
  <c r="AD8" i="1812"/>
  <c r="AD14" i="1812"/>
  <c r="AD21" i="1812"/>
  <c r="AB12" i="1812"/>
  <c r="O7" i="1812"/>
  <c r="O12" i="1812"/>
  <c r="O19" i="1812"/>
  <c r="AC6" i="1812"/>
  <c r="K22" i="1812"/>
  <c r="P7" i="1812"/>
  <c r="AC7" i="1812" s="1"/>
  <c r="P12" i="1812"/>
  <c r="AC12" i="1812" s="1"/>
  <c r="P19" i="1812"/>
  <c r="AC19" i="1812" s="1"/>
  <c r="AD19" i="1812" s="1"/>
  <c r="M21" i="1812"/>
  <c r="L22" i="1812"/>
  <c r="O22" i="1812" s="1"/>
  <c r="M7" i="1812"/>
  <c r="M19" i="1812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1" i="1811"/>
  <c r="L20" i="1811"/>
  <c r="K20" i="1811"/>
  <c r="L19" i="1811"/>
  <c r="K19" i="1811"/>
  <c r="AF19" i="1811"/>
  <c r="Q19" i="1811"/>
  <c r="P19" i="1811" s="1"/>
  <c r="AC19" i="1811" s="1"/>
  <c r="L13" i="1811"/>
  <c r="AB13" i="1811" s="1"/>
  <c r="L12" i="1811"/>
  <c r="L10" i="1811"/>
  <c r="AB10" i="1811" s="1"/>
  <c r="K10" i="1811"/>
  <c r="L7" i="1811"/>
  <c r="K13" i="1811"/>
  <c r="K12" i="1811"/>
  <c r="K11" i="1811"/>
  <c r="K7" i="1811"/>
  <c r="A77" i="1811"/>
  <c r="A78" i="1811" s="1"/>
  <c r="A79" i="1811" s="1"/>
  <c r="A80" i="1811" s="1"/>
  <c r="A81" i="1811" s="1"/>
  <c r="A82" i="1811" s="1"/>
  <c r="AF61" i="1811"/>
  <c r="AF60" i="1811"/>
  <c r="AF63" i="1811" s="1"/>
  <c r="AA22" i="1811"/>
  <c r="Z22" i="1811"/>
  <c r="Y22" i="1811"/>
  <c r="X22" i="1811"/>
  <c r="W22" i="1811"/>
  <c r="V22" i="1811"/>
  <c r="U22" i="1811"/>
  <c r="T22" i="1811"/>
  <c r="S22" i="1811"/>
  <c r="R22" i="1811"/>
  <c r="N22" i="1811"/>
  <c r="J22" i="1811"/>
  <c r="I22" i="1811"/>
  <c r="AF21" i="1811"/>
  <c r="AB21" i="1811"/>
  <c r="Q21" i="1811"/>
  <c r="O21" i="1811"/>
  <c r="M21" i="1811"/>
  <c r="K21" i="1811"/>
  <c r="AF20" i="1811"/>
  <c r="Q20" i="1811"/>
  <c r="P20" i="1811"/>
  <c r="AC20" i="1811" s="1"/>
  <c r="M20" i="1811"/>
  <c r="O20" i="1811"/>
  <c r="AF18" i="1811"/>
  <c r="AB18" i="1811"/>
  <c r="Q18" i="1811"/>
  <c r="P18" i="1811"/>
  <c r="AC18" i="1811" s="1"/>
  <c r="O18" i="1811"/>
  <c r="M18" i="1811"/>
  <c r="K18" i="1811"/>
  <c r="AF17" i="1811"/>
  <c r="AB17" i="1811"/>
  <c r="Q17" i="1811"/>
  <c r="P17" i="1811"/>
  <c r="AC17" i="1811" s="1"/>
  <c r="AD17" i="1811" s="1"/>
  <c r="O17" i="1811"/>
  <c r="M17" i="1811"/>
  <c r="K17" i="1811"/>
  <c r="AF16" i="1811"/>
  <c r="AB16" i="1811"/>
  <c r="Q16" i="1811"/>
  <c r="P16" i="1811"/>
  <c r="AC16" i="1811" s="1"/>
  <c r="O16" i="1811"/>
  <c r="M16" i="1811"/>
  <c r="K16" i="1811"/>
  <c r="AF15" i="1811"/>
  <c r="AC15" i="1811"/>
  <c r="AD15" i="1811" s="1"/>
  <c r="AB15" i="1811"/>
  <c r="Q15" i="1811"/>
  <c r="P15" i="1811"/>
  <c r="O15" i="1811"/>
  <c r="M15" i="1811"/>
  <c r="K15" i="1811"/>
  <c r="AF14" i="1811"/>
  <c r="AB14" i="1811"/>
  <c r="Q14" i="1811"/>
  <c r="P14" i="1811"/>
  <c r="AC14" i="1811" s="1"/>
  <c r="AD14" i="1811" s="1"/>
  <c r="O14" i="1811"/>
  <c r="M14" i="1811"/>
  <c r="K14" i="1811"/>
  <c r="AF13" i="1811"/>
  <c r="Q13" i="1811"/>
  <c r="O13" i="1811"/>
  <c r="M13" i="1811"/>
  <c r="AF12" i="1811"/>
  <c r="AB12" i="1811"/>
  <c r="Q12" i="1811"/>
  <c r="M12" i="1811"/>
  <c r="AF11" i="1811"/>
  <c r="Q11" i="1811"/>
  <c r="P11" i="1811"/>
  <c r="AC11" i="1811" s="1"/>
  <c r="AF10" i="1811"/>
  <c r="Q10" i="1811"/>
  <c r="P10" i="1811" s="1"/>
  <c r="AC10" i="1811" s="1"/>
  <c r="O10" i="1811"/>
  <c r="M10" i="1811"/>
  <c r="AF9" i="1811"/>
  <c r="AB9" i="1811"/>
  <c r="Q9" i="1811"/>
  <c r="P9" i="1811"/>
  <c r="AC9" i="1811" s="1"/>
  <c r="AD9" i="1811" s="1"/>
  <c r="O9" i="1811"/>
  <c r="M9" i="1811"/>
  <c r="K9" i="1811"/>
  <c r="AF8" i="1811"/>
  <c r="AB8" i="1811"/>
  <c r="Q8" i="1811"/>
  <c r="P8" i="1811"/>
  <c r="AC8" i="1811" s="1"/>
  <c r="O8" i="1811"/>
  <c r="M8" i="1811"/>
  <c r="K8" i="1811"/>
  <c r="AF7" i="1811"/>
  <c r="AB7" i="1811"/>
  <c r="Q7" i="1811"/>
  <c r="O7" i="1811"/>
  <c r="M7" i="1811"/>
  <c r="P7" i="1811"/>
  <c r="AF6" i="1811"/>
  <c r="AB6" i="1811"/>
  <c r="Q6" i="1811"/>
  <c r="P6" i="1811"/>
  <c r="AC6" i="1811" s="1"/>
  <c r="O6" i="1811"/>
  <c r="M6" i="1811"/>
  <c r="K6" i="1811"/>
  <c r="AE9" i="1814" l="1"/>
  <c r="AE11" i="1814"/>
  <c r="AE15" i="1814"/>
  <c r="AE12" i="1814"/>
  <c r="AE13" i="1814"/>
  <c r="AE14" i="1814"/>
  <c r="AE6" i="1814"/>
  <c r="AE20" i="1814"/>
  <c r="AE17" i="1814"/>
  <c r="AE16" i="1814"/>
  <c r="AE18" i="1814"/>
  <c r="AE19" i="1814"/>
  <c r="AE8" i="1814"/>
  <c r="AE10" i="1814"/>
  <c r="AE7" i="1814"/>
  <c r="AD22" i="1813"/>
  <c r="AE9" i="1813" s="1"/>
  <c r="AB22" i="1812"/>
  <c r="AD7" i="1812"/>
  <c r="M22" i="1812"/>
  <c r="AD12" i="1812"/>
  <c r="AD6" i="1812"/>
  <c r="AC22" i="1812"/>
  <c r="P22" i="1812"/>
  <c r="P21" i="1811"/>
  <c r="AC21" i="1811" s="1"/>
  <c r="AD21" i="1811"/>
  <c r="M19" i="1811"/>
  <c r="AB19" i="1811"/>
  <c r="AD19" i="1811" s="1"/>
  <c r="O19" i="1811"/>
  <c r="P13" i="1811"/>
  <c r="AC13" i="1811" s="1"/>
  <c r="AD13" i="1811" s="1"/>
  <c r="Q22" i="1811"/>
  <c r="P12" i="1811"/>
  <c r="AC12" i="1811" s="1"/>
  <c r="AD10" i="1811"/>
  <c r="AD8" i="1811"/>
  <c r="AD18" i="1811"/>
  <c r="AD16" i="1811"/>
  <c r="AD6" i="1811"/>
  <c r="AC7" i="1811"/>
  <c r="AD7" i="1811" s="1"/>
  <c r="L22" i="1811"/>
  <c r="O22" i="1811" s="1"/>
  <c r="K22" i="1811"/>
  <c r="M11" i="1811"/>
  <c r="AB11" i="1811"/>
  <c r="O12" i="1811"/>
  <c r="O11" i="1811"/>
  <c r="AB20" i="1811"/>
  <c r="AD20" i="1811" s="1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0" i="1810"/>
  <c r="M20" i="1810" s="1"/>
  <c r="L13" i="1810"/>
  <c r="AB13" i="1810" s="1"/>
  <c r="L12" i="1810"/>
  <c r="L11" i="1810"/>
  <c r="AB11" i="1810" s="1"/>
  <c r="L10" i="1810"/>
  <c r="L7" i="1810"/>
  <c r="K20" i="1810"/>
  <c r="K19" i="1810"/>
  <c r="K18" i="1810"/>
  <c r="K13" i="1810"/>
  <c r="K12" i="1810"/>
  <c r="K11" i="1810"/>
  <c r="K10" i="1810"/>
  <c r="K9" i="1810"/>
  <c r="K7" i="1810"/>
  <c r="A79" i="1810"/>
  <c r="A80" i="1810" s="1"/>
  <c r="A81" i="1810" s="1"/>
  <c r="A82" i="1810" s="1"/>
  <c r="A78" i="1810"/>
  <c r="A77" i="1810"/>
  <c r="AF61" i="1810"/>
  <c r="AF60" i="1810"/>
  <c r="AF63" i="1810" s="1"/>
  <c r="AA22" i="1810"/>
  <c r="Z22" i="1810"/>
  <c r="Y22" i="1810"/>
  <c r="X22" i="1810"/>
  <c r="W22" i="1810"/>
  <c r="V22" i="1810"/>
  <c r="U22" i="1810"/>
  <c r="T22" i="1810"/>
  <c r="S22" i="1810"/>
  <c r="R22" i="1810"/>
  <c r="N22" i="1810"/>
  <c r="J22" i="1810"/>
  <c r="I22" i="1810"/>
  <c r="AF21" i="1810"/>
  <c r="AB21" i="1810"/>
  <c r="Q21" i="1810"/>
  <c r="P21" i="1810"/>
  <c r="AC21" i="1810" s="1"/>
  <c r="AD21" i="1810" s="1"/>
  <c r="O21" i="1810"/>
  <c r="M21" i="1810"/>
  <c r="K21" i="1810"/>
  <c r="AF20" i="1810"/>
  <c r="Q20" i="1810"/>
  <c r="P20" i="1810"/>
  <c r="AC20" i="1810" s="1"/>
  <c r="AF19" i="1810"/>
  <c r="Q19" i="1810"/>
  <c r="O19" i="1810"/>
  <c r="AB19" i="1810"/>
  <c r="AF18" i="1810"/>
  <c r="AB18" i="1810"/>
  <c r="Q18" i="1810"/>
  <c r="P18" i="1810"/>
  <c r="AC18" i="1810" s="1"/>
  <c r="O18" i="1810"/>
  <c r="M18" i="1810"/>
  <c r="AF17" i="1810"/>
  <c r="AB17" i="1810"/>
  <c r="Q17" i="1810"/>
  <c r="P17" i="1810"/>
  <c r="AC17" i="1810" s="1"/>
  <c r="O17" i="1810"/>
  <c r="M17" i="1810"/>
  <c r="K17" i="1810"/>
  <c r="AF16" i="1810"/>
  <c r="AB16" i="1810"/>
  <c r="Q16" i="1810"/>
  <c r="P16" i="1810"/>
  <c r="AC16" i="1810" s="1"/>
  <c r="O16" i="1810"/>
  <c r="M16" i="1810"/>
  <c r="K16" i="1810"/>
  <c r="AF15" i="1810"/>
  <c r="AB15" i="1810"/>
  <c r="Q15" i="1810"/>
  <c r="P15" i="1810"/>
  <c r="AC15" i="1810" s="1"/>
  <c r="O15" i="1810"/>
  <c r="M15" i="1810"/>
  <c r="K15" i="1810"/>
  <c r="AF14" i="1810"/>
  <c r="AB14" i="1810"/>
  <c r="Q14" i="1810"/>
  <c r="P14" i="1810"/>
  <c r="AC14" i="1810" s="1"/>
  <c r="AD14" i="1810" s="1"/>
  <c r="O14" i="1810"/>
  <c r="M14" i="1810"/>
  <c r="K14" i="1810"/>
  <c r="AF13" i="1810"/>
  <c r="Q13" i="1810"/>
  <c r="P13" i="1810"/>
  <c r="AC13" i="1810" s="1"/>
  <c r="M13" i="1810"/>
  <c r="O13" i="1810"/>
  <c r="AF12" i="1810"/>
  <c r="Q12" i="1810"/>
  <c r="O12" i="1810"/>
  <c r="AB12" i="1810"/>
  <c r="AF11" i="1810"/>
  <c r="Q11" i="1810"/>
  <c r="P11" i="1810"/>
  <c r="AC11" i="1810" s="1"/>
  <c r="M11" i="1810"/>
  <c r="AF10" i="1810"/>
  <c r="Q10" i="1810"/>
  <c r="P10" i="1810"/>
  <c r="AC10" i="1810" s="1"/>
  <c r="AF9" i="1810"/>
  <c r="AB9" i="1810"/>
  <c r="Q9" i="1810"/>
  <c r="P9" i="1810"/>
  <c r="AC9" i="1810" s="1"/>
  <c r="M9" i="1810"/>
  <c r="O9" i="1810"/>
  <c r="AF8" i="1810"/>
  <c r="AC8" i="1810"/>
  <c r="AB8" i="1810"/>
  <c r="Q8" i="1810"/>
  <c r="P8" i="1810"/>
  <c r="O8" i="1810"/>
  <c r="M8" i="1810"/>
  <c r="K8" i="1810"/>
  <c r="AF7" i="1810"/>
  <c r="Q7" i="1810"/>
  <c r="P7" i="1810"/>
  <c r="AC7" i="1810" s="1"/>
  <c r="AF6" i="1810"/>
  <c r="AB6" i="1810"/>
  <c r="Q6" i="1810"/>
  <c r="P6" i="1810"/>
  <c r="AC6" i="1810" s="1"/>
  <c r="O6" i="1810"/>
  <c r="M6" i="1810"/>
  <c r="K6" i="1810"/>
  <c r="AE20" i="1813" l="1"/>
  <c r="AE10" i="1813"/>
  <c r="AE7" i="1813"/>
  <c r="AE19" i="1813"/>
  <c r="AE13" i="1813"/>
  <c r="AE18" i="1813"/>
  <c r="AE15" i="1813"/>
  <c r="AE14" i="1813"/>
  <c r="AE11" i="1813"/>
  <c r="AE17" i="1813"/>
  <c r="AE16" i="1813"/>
  <c r="AE12" i="1813"/>
  <c r="AE6" i="1813"/>
  <c r="AE8" i="1813"/>
  <c r="AE21" i="1813"/>
  <c r="AD22" i="1812"/>
  <c r="AE18" i="1812" s="1"/>
  <c r="M22" i="1811"/>
  <c r="AB22" i="1811"/>
  <c r="P22" i="1811"/>
  <c r="AD12" i="1811"/>
  <c r="AD11" i="1811"/>
  <c r="AD22" i="1811" s="1"/>
  <c r="AE19" i="1811" s="1"/>
  <c r="AC22" i="1811"/>
  <c r="O20" i="1810"/>
  <c r="Q22" i="1810"/>
  <c r="AD13" i="1810"/>
  <c r="O11" i="1810"/>
  <c r="AD11" i="1810" s="1"/>
  <c r="AD8" i="1810"/>
  <c r="AD16" i="1810"/>
  <c r="AD15" i="1810"/>
  <c r="AD18" i="1810"/>
  <c r="AD17" i="1810"/>
  <c r="AD6" i="1810"/>
  <c r="AD9" i="1810"/>
  <c r="M7" i="1810"/>
  <c r="AB7" i="1810"/>
  <c r="M10" i="1810"/>
  <c r="AB10" i="1810"/>
  <c r="P12" i="1810"/>
  <c r="AC12" i="1810" s="1"/>
  <c r="AD12" i="1810" s="1"/>
  <c r="P19" i="1810"/>
  <c r="AC19" i="1810" s="1"/>
  <c r="AD19" i="1810" s="1"/>
  <c r="O7" i="1810"/>
  <c r="O10" i="1810"/>
  <c r="AB20" i="1810"/>
  <c r="AD20" i="1810" s="1"/>
  <c r="L22" i="1810"/>
  <c r="O22" i="1810" s="1"/>
  <c r="K22" i="1810"/>
  <c r="M12" i="1810"/>
  <c r="M19" i="1810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0" i="1809"/>
  <c r="L19" i="1809"/>
  <c r="K19" i="1809"/>
  <c r="L13" i="1809"/>
  <c r="L12" i="1809"/>
  <c r="L11" i="1809"/>
  <c r="L10" i="1809"/>
  <c r="K10" i="1809"/>
  <c r="L9" i="1809"/>
  <c r="L7" i="1809"/>
  <c r="AE7" i="1812" l="1"/>
  <c r="AE21" i="1812"/>
  <c r="AE17" i="1812"/>
  <c r="AE19" i="1812"/>
  <c r="AE10" i="1812"/>
  <c r="AE6" i="1812"/>
  <c r="AE16" i="1812"/>
  <c r="AE13" i="1812"/>
  <c r="AE9" i="1812"/>
  <c r="AE11" i="1812"/>
  <c r="AE14" i="1812"/>
  <c r="AE20" i="1812"/>
  <c r="AE8" i="1812"/>
  <c r="AE15" i="1812"/>
  <c r="AE12" i="1812"/>
  <c r="AE21" i="1811"/>
  <c r="AE12" i="1811"/>
  <c r="AE6" i="1811"/>
  <c r="AE11" i="1811"/>
  <c r="AE17" i="1811"/>
  <c r="AE15" i="1811"/>
  <c r="AE13" i="1811"/>
  <c r="AE9" i="1811"/>
  <c r="AE7" i="1811"/>
  <c r="AE18" i="1811"/>
  <c r="AE16" i="1811"/>
  <c r="AE8" i="1811"/>
  <c r="AE20" i="1811"/>
  <c r="AE10" i="1811"/>
  <c r="AE14" i="1811"/>
  <c r="AC22" i="1810"/>
  <c r="AD10" i="1810"/>
  <c r="M22" i="1810"/>
  <c r="AB22" i="1810"/>
  <c r="P22" i="1810"/>
  <c r="AD7" i="1810"/>
  <c r="K20" i="1809"/>
  <c r="K18" i="1809"/>
  <c r="K13" i="1809"/>
  <c r="K12" i="1809"/>
  <c r="K11" i="1809"/>
  <c r="K9" i="1809"/>
  <c r="K7" i="1809"/>
  <c r="A77" i="1809"/>
  <c r="A78" i="1809" s="1"/>
  <c r="A79" i="1809" s="1"/>
  <c r="A80" i="1809" s="1"/>
  <c r="A81" i="1809" s="1"/>
  <c r="A82" i="1809" s="1"/>
  <c r="AF61" i="1809"/>
  <c r="AF63" i="1809" s="1"/>
  <c r="AF60" i="1809"/>
  <c r="AA22" i="1809"/>
  <c r="Z22" i="1809"/>
  <c r="Y22" i="1809"/>
  <c r="X22" i="1809"/>
  <c r="W22" i="1809"/>
  <c r="V22" i="1809"/>
  <c r="U22" i="1809"/>
  <c r="T22" i="1809"/>
  <c r="S22" i="1809"/>
  <c r="R22" i="1809"/>
  <c r="N22" i="1809"/>
  <c r="J22" i="1809"/>
  <c r="I22" i="1809"/>
  <c r="AF21" i="1809"/>
  <c r="AB21" i="1809"/>
  <c r="Q21" i="1809"/>
  <c r="P21" i="1809"/>
  <c r="AC21" i="1809" s="1"/>
  <c r="AD21" i="1809" s="1"/>
  <c r="O21" i="1809"/>
  <c r="M21" i="1809"/>
  <c r="K21" i="1809"/>
  <c r="AF20" i="1809"/>
  <c r="AB20" i="1809"/>
  <c r="Q20" i="1809"/>
  <c r="P20" i="1809"/>
  <c r="AC20" i="1809" s="1"/>
  <c r="M20" i="1809"/>
  <c r="O20" i="1809"/>
  <c r="AF19" i="1809"/>
  <c r="Q19" i="1809"/>
  <c r="AB19" i="1809"/>
  <c r="AF18" i="1809"/>
  <c r="AB18" i="1809"/>
  <c r="Q18" i="1809"/>
  <c r="P18" i="1809"/>
  <c r="AC18" i="1809" s="1"/>
  <c r="O18" i="1809"/>
  <c r="M18" i="1809"/>
  <c r="AF17" i="1809"/>
  <c r="AC17" i="1809"/>
  <c r="AB17" i="1809"/>
  <c r="Q17" i="1809"/>
  <c r="P17" i="1809"/>
  <c r="O17" i="1809"/>
  <c r="M17" i="1809"/>
  <c r="K17" i="1809"/>
  <c r="AF16" i="1809"/>
  <c r="AC16" i="1809"/>
  <c r="AB16" i="1809"/>
  <c r="Q16" i="1809"/>
  <c r="P16" i="1809"/>
  <c r="O16" i="1809"/>
  <c r="M16" i="1809"/>
  <c r="K16" i="1809"/>
  <c r="AF15" i="1809"/>
  <c r="AC15" i="1809"/>
  <c r="AB15" i="1809"/>
  <c r="Q15" i="1809"/>
  <c r="P15" i="1809"/>
  <c r="O15" i="1809"/>
  <c r="M15" i="1809"/>
  <c r="K15" i="1809"/>
  <c r="AF14" i="1809"/>
  <c r="AC14" i="1809"/>
  <c r="AB14" i="1809"/>
  <c r="Q14" i="1809"/>
  <c r="P14" i="1809"/>
  <c r="O14" i="1809"/>
  <c r="M14" i="1809"/>
  <c r="K14" i="1809"/>
  <c r="AF13" i="1809"/>
  <c r="Q13" i="1809"/>
  <c r="O13" i="1809"/>
  <c r="P13" i="1809"/>
  <c r="AC13" i="1809" s="1"/>
  <c r="AF12" i="1809"/>
  <c r="AB12" i="1809"/>
  <c r="Q12" i="1809"/>
  <c r="P12" i="1809"/>
  <c r="AC12" i="1809" s="1"/>
  <c r="AD12" i="1809" s="1"/>
  <c r="M12" i="1809"/>
  <c r="O12" i="1809"/>
  <c r="AF11" i="1809"/>
  <c r="Q11" i="1809"/>
  <c r="AB11" i="1809"/>
  <c r="AF10" i="1809"/>
  <c r="AB10" i="1809"/>
  <c r="Q10" i="1809"/>
  <c r="P10" i="1809" s="1"/>
  <c r="AC10" i="1809" s="1"/>
  <c r="O10" i="1809"/>
  <c r="M10" i="1809"/>
  <c r="AF9" i="1809"/>
  <c r="AB9" i="1809"/>
  <c r="Q9" i="1809"/>
  <c r="P9" i="1809"/>
  <c r="AC9" i="1809" s="1"/>
  <c r="M9" i="1809"/>
  <c r="O9" i="1809"/>
  <c r="AF8" i="1809"/>
  <c r="AC8" i="1809"/>
  <c r="AB8" i="1809"/>
  <c r="Q8" i="1809"/>
  <c r="P8" i="1809"/>
  <c r="O8" i="1809"/>
  <c r="M8" i="1809"/>
  <c r="K8" i="1809"/>
  <c r="AF7" i="1809"/>
  <c r="Q7" i="1809"/>
  <c r="O7" i="1809"/>
  <c r="P7" i="1809"/>
  <c r="AC7" i="1809" s="1"/>
  <c r="AF6" i="1809"/>
  <c r="AB6" i="1809"/>
  <c r="Q6" i="1809"/>
  <c r="P6" i="1809"/>
  <c r="AC6" i="1809" s="1"/>
  <c r="O6" i="1809"/>
  <c r="M6" i="1809"/>
  <c r="K6" i="1809"/>
  <c r="AD22" i="1810" l="1"/>
  <c r="AE21" i="1810" s="1"/>
  <c r="Q22" i="1809"/>
  <c r="AD14" i="1809"/>
  <c r="AD15" i="1809"/>
  <c r="AD16" i="1809"/>
  <c r="AD17" i="1809"/>
  <c r="AD18" i="1809"/>
  <c r="AD8" i="1809"/>
  <c r="AD10" i="1809"/>
  <c r="AD7" i="1809"/>
  <c r="AD20" i="1809"/>
  <c r="AD9" i="1809"/>
  <c r="AD6" i="1809"/>
  <c r="O11" i="1809"/>
  <c r="O19" i="1809"/>
  <c r="L22" i="1809"/>
  <c r="O22" i="1809" s="1"/>
  <c r="M7" i="1809"/>
  <c r="AB7" i="1809"/>
  <c r="P11" i="1809"/>
  <c r="AC11" i="1809" s="1"/>
  <c r="AD11" i="1809" s="1"/>
  <c r="M13" i="1809"/>
  <c r="AB13" i="1809"/>
  <c r="AB22" i="1809" s="1"/>
  <c r="P19" i="1809"/>
  <c r="AC19" i="1809" s="1"/>
  <c r="K22" i="1809"/>
  <c r="M11" i="1809"/>
  <c r="M19" i="1809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0" i="1808"/>
  <c r="AB20" i="1808" s="1"/>
  <c r="L19" i="1808"/>
  <c r="K19" i="1808" s="1"/>
  <c r="L18" i="1808"/>
  <c r="M18" i="1808" s="1"/>
  <c r="L13" i="1808"/>
  <c r="K13" i="1808"/>
  <c r="L12" i="1808"/>
  <c r="AB12" i="1808" s="1"/>
  <c r="L11" i="1808"/>
  <c r="AB11" i="1808" s="1"/>
  <c r="L9" i="1808"/>
  <c r="K9" i="1808"/>
  <c r="L7" i="1808"/>
  <c r="P7" i="1808" s="1"/>
  <c r="AC7" i="1808" s="1"/>
  <c r="K20" i="1808"/>
  <c r="K18" i="1808"/>
  <c r="K12" i="1808"/>
  <c r="K10" i="1808"/>
  <c r="K7" i="1808"/>
  <c r="A77" i="1808"/>
  <c r="A78" i="1808" s="1"/>
  <c r="A79" i="1808" s="1"/>
  <c r="A80" i="1808" s="1"/>
  <c r="A81" i="1808" s="1"/>
  <c r="A82" i="1808" s="1"/>
  <c r="AF61" i="1808"/>
  <c r="AF60" i="1808"/>
  <c r="AF63" i="1808" s="1"/>
  <c r="AA22" i="1808"/>
  <c r="Z22" i="1808"/>
  <c r="Y22" i="1808"/>
  <c r="X22" i="1808"/>
  <c r="W22" i="1808"/>
  <c r="V22" i="1808"/>
  <c r="U22" i="1808"/>
  <c r="T22" i="1808"/>
  <c r="S22" i="1808"/>
  <c r="R22" i="1808"/>
  <c r="N22" i="1808"/>
  <c r="J22" i="1808"/>
  <c r="I22" i="1808"/>
  <c r="AF21" i="1808"/>
  <c r="AB21" i="1808"/>
  <c r="Q21" i="1808"/>
  <c r="P21" i="1808"/>
  <c r="AC21" i="1808" s="1"/>
  <c r="AD21" i="1808" s="1"/>
  <c r="O21" i="1808"/>
  <c r="M21" i="1808"/>
  <c r="K21" i="1808"/>
  <c r="AF20" i="1808"/>
  <c r="Q20" i="1808"/>
  <c r="P20" i="1808" s="1"/>
  <c r="AC20" i="1808" s="1"/>
  <c r="O20" i="1808"/>
  <c r="AF19" i="1808"/>
  <c r="Q19" i="1808"/>
  <c r="O19" i="1808"/>
  <c r="AF18" i="1808"/>
  <c r="AB18" i="1808"/>
  <c r="Q18" i="1808"/>
  <c r="P18" i="1808"/>
  <c r="AC18" i="1808" s="1"/>
  <c r="O18" i="1808"/>
  <c r="AF17" i="1808"/>
  <c r="AC17" i="1808"/>
  <c r="AB17" i="1808"/>
  <c r="Q17" i="1808"/>
  <c r="P17" i="1808"/>
  <c r="O17" i="1808"/>
  <c r="M17" i="1808"/>
  <c r="K17" i="1808"/>
  <c r="AF16" i="1808"/>
  <c r="AC16" i="1808"/>
  <c r="AB16" i="1808"/>
  <c r="Q16" i="1808"/>
  <c r="P16" i="1808"/>
  <c r="O16" i="1808"/>
  <c r="M16" i="1808"/>
  <c r="K16" i="1808"/>
  <c r="AF15" i="1808"/>
  <c r="AC15" i="1808"/>
  <c r="AB15" i="1808"/>
  <c r="Q15" i="1808"/>
  <c r="P15" i="1808"/>
  <c r="O15" i="1808"/>
  <c r="M15" i="1808"/>
  <c r="K15" i="1808"/>
  <c r="AF14" i="1808"/>
  <c r="AC14" i="1808"/>
  <c r="AD14" i="1808" s="1"/>
  <c r="AB14" i="1808"/>
  <c r="Q14" i="1808"/>
  <c r="P14" i="1808"/>
  <c r="O14" i="1808"/>
  <c r="M14" i="1808"/>
  <c r="K14" i="1808"/>
  <c r="AF13" i="1808"/>
  <c r="Q13" i="1808"/>
  <c r="P13" i="1808"/>
  <c r="AC13" i="1808" s="1"/>
  <c r="AF12" i="1808"/>
  <c r="Q12" i="1808"/>
  <c r="P12" i="1808"/>
  <c r="AC12" i="1808" s="1"/>
  <c r="O12" i="1808"/>
  <c r="AF11" i="1808"/>
  <c r="Q11" i="1808"/>
  <c r="AF10" i="1808"/>
  <c r="AB10" i="1808"/>
  <c r="Q10" i="1808"/>
  <c r="P10" i="1808"/>
  <c r="AC10" i="1808" s="1"/>
  <c r="M10" i="1808"/>
  <c r="O10" i="1808"/>
  <c r="AF9" i="1808"/>
  <c r="AB9" i="1808"/>
  <c r="Q9" i="1808"/>
  <c r="O9" i="1808"/>
  <c r="M9" i="1808"/>
  <c r="AF8" i="1808"/>
  <c r="AC8" i="1808"/>
  <c r="AB8" i="1808"/>
  <c r="Q8" i="1808"/>
  <c r="P8" i="1808"/>
  <c r="O8" i="1808"/>
  <c r="M8" i="1808"/>
  <c r="K8" i="1808"/>
  <c r="AF7" i="1808"/>
  <c r="Q7" i="1808"/>
  <c r="AF6" i="1808"/>
  <c r="AB6" i="1808"/>
  <c r="Q6" i="1808"/>
  <c r="P6" i="1808"/>
  <c r="AC6" i="1808" s="1"/>
  <c r="O6" i="1808"/>
  <c r="M6" i="1808"/>
  <c r="K6" i="1808"/>
  <c r="AE9" i="1810" l="1"/>
  <c r="AE20" i="1810"/>
  <c r="AE19" i="1810"/>
  <c r="AE16" i="1810"/>
  <c r="AE13" i="1810"/>
  <c r="AE7" i="1810"/>
  <c r="AE10" i="1810"/>
  <c r="AE18" i="1810"/>
  <c r="AE6" i="1810"/>
  <c r="AE17" i="1810"/>
  <c r="AE12" i="1810"/>
  <c r="AE14" i="1810"/>
  <c r="AE15" i="1810"/>
  <c r="AE8" i="1810"/>
  <c r="AE11" i="1810"/>
  <c r="AD19" i="1809"/>
  <c r="M22" i="1809"/>
  <c r="AD13" i="1809"/>
  <c r="P22" i="1809"/>
  <c r="AC22" i="1809"/>
  <c r="AD20" i="1808"/>
  <c r="M20" i="1808"/>
  <c r="AB19" i="1808"/>
  <c r="M12" i="1808"/>
  <c r="O11" i="1808"/>
  <c r="K11" i="1808"/>
  <c r="Q22" i="1808"/>
  <c r="P9" i="1808"/>
  <c r="AC9" i="1808" s="1"/>
  <c r="AD9" i="1808" s="1"/>
  <c r="AD12" i="1808"/>
  <c r="AD8" i="1808"/>
  <c r="AD15" i="1808"/>
  <c r="AD16" i="1808"/>
  <c r="AD17" i="1808"/>
  <c r="AD10" i="1808"/>
  <c r="AD6" i="1808"/>
  <c r="AD18" i="1808"/>
  <c r="L22" i="1808"/>
  <c r="O22" i="1808" s="1"/>
  <c r="M7" i="1808"/>
  <c r="AB7" i="1808"/>
  <c r="P11" i="1808"/>
  <c r="AC11" i="1808" s="1"/>
  <c r="AD11" i="1808" s="1"/>
  <c r="M13" i="1808"/>
  <c r="AB13" i="1808"/>
  <c r="P19" i="1808"/>
  <c r="AC19" i="1808" s="1"/>
  <c r="AD19" i="1808" s="1"/>
  <c r="O7" i="1808"/>
  <c r="O13" i="1808"/>
  <c r="K22" i="1808"/>
  <c r="M11" i="1808"/>
  <c r="M19" i="1808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0" i="1807"/>
  <c r="L19" i="1807"/>
  <c r="K19" i="1807" s="1"/>
  <c r="L18" i="1807"/>
  <c r="AB18" i="1807" s="1"/>
  <c r="L13" i="1807"/>
  <c r="O13" i="1807" s="1"/>
  <c r="L12" i="1807"/>
  <c r="O12" i="1807" s="1"/>
  <c r="L11" i="1807"/>
  <c r="K11" i="1807"/>
  <c r="L10" i="1807"/>
  <c r="K9" i="1807"/>
  <c r="L7" i="1807"/>
  <c r="K7" i="1807" s="1"/>
  <c r="K21" i="1807"/>
  <c r="K13" i="1807"/>
  <c r="K12" i="1807"/>
  <c r="K10" i="1807"/>
  <c r="K6" i="1807"/>
  <c r="A77" i="1807"/>
  <c r="A78" i="1807" s="1"/>
  <c r="A79" i="1807" s="1"/>
  <c r="A80" i="1807" s="1"/>
  <c r="A81" i="1807" s="1"/>
  <c r="A82" i="1807" s="1"/>
  <c r="AF61" i="1807"/>
  <c r="AF60" i="1807"/>
  <c r="AF63" i="1807" s="1"/>
  <c r="AA22" i="1807"/>
  <c r="Z22" i="1807"/>
  <c r="Y22" i="1807"/>
  <c r="X22" i="1807"/>
  <c r="W22" i="1807"/>
  <c r="V22" i="1807"/>
  <c r="U22" i="1807"/>
  <c r="T22" i="1807"/>
  <c r="S22" i="1807"/>
  <c r="R22" i="1807"/>
  <c r="N22" i="1807"/>
  <c r="J22" i="1807"/>
  <c r="I22" i="1807"/>
  <c r="AF21" i="1807"/>
  <c r="AB21" i="1807"/>
  <c r="Q21" i="1807"/>
  <c r="P21" i="1807"/>
  <c r="AC21" i="1807" s="1"/>
  <c r="AD21" i="1807" s="1"/>
  <c r="M21" i="1807"/>
  <c r="O21" i="1807"/>
  <c r="AF20" i="1807"/>
  <c r="Q20" i="1807"/>
  <c r="AF19" i="1807"/>
  <c r="AB19" i="1807"/>
  <c r="Q19" i="1807"/>
  <c r="P19" i="1807"/>
  <c r="AC19" i="1807" s="1"/>
  <c r="M19" i="1807"/>
  <c r="O19" i="1807"/>
  <c r="AF18" i="1807"/>
  <c r="Q18" i="1807"/>
  <c r="P18" i="1807" s="1"/>
  <c r="AC18" i="1807" s="1"/>
  <c r="O18" i="1807"/>
  <c r="K18" i="1807"/>
  <c r="AF17" i="1807"/>
  <c r="AB17" i="1807"/>
  <c r="Q17" i="1807"/>
  <c r="P17" i="1807"/>
  <c r="AC17" i="1807" s="1"/>
  <c r="O17" i="1807"/>
  <c r="M17" i="1807"/>
  <c r="K17" i="1807"/>
  <c r="AF16" i="1807"/>
  <c r="AB16" i="1807"/>
  <c r="Q16" i="1807"/>
  <c r="P16" i="1807"/>
  <c r="AC16" i="1807" s="1"/>
  <c r="AD16" i="1807" s="1"/>
  <c r="O16" i="1807"/>
  <c r="M16" i="1807"/>
  <c r="K16" i="1807"/>
  <c r="AF15" i="1807"/>
  <c r="AB15" i="1807"/>
  <c r="Q15" i="1807"/>
  <c r="P15" i="1807"/>
  <c r="AC15" i="1807" s="1"/>
  <c r="AD15" i="1807" s="1"/>
  <c r="O15" i="1807"/>
  <c r="M15" i="1807"/>
  <c r="K15" i="1807"/>
  <c r="AF14" i="1807"/>
  <c r="AB14" i="1807"/>
  <c r="Q14" i="1807"/>
  <c r="P14" i="1807"/>
  <c r="AC14" i="1807" s="1"/>
  <c r="AD14" i="1807" s="1"/>
  <c r="O14" i="1807"/>
  <c r="M14" i="1807"/>
  <c r="K14" i="1807"/>
  <c r="AF13" i="1807"/>
  <c r="Q13" i="1807"/>
  <c r="P13" i="1807"/>
  <c r="AC13" i="1807" s="1"/>
  <c r="AF12" i="1807"/>
  <c r="AB12" i="1807"/>
  <c r="Q12" i="1807"/>
  <c r="P12" i="1807" s="1"/>
  <c r="AC12" i="1807" s="1"/>
  <c r="M12" i="1807"/>
  <c r="AF11" i="1807"/>
  <c r="AB11" i="1807"/>
  <c r="Q11" i="1807"/>
  <c r="O11" i="1807"/>
  <c r="M11" i="1807"/>
  <c r="AF10" i="1807"/>
  <c r="Q10" i="1807"/>
  <c r="O10" i="1807"/>
  <c r="AB10" i="1807"/>
  <c r="AF9" i="1807"/>
  <c r="AB9" i="1807"/>
  <c r="Q9" i="1807"/>
  <c r="P9" i="1807" s="1"/>
  <c r="AC9" i="1807" s="1"/>
  <c r="O9" i="1807"/>
  <c r="M9" i="1807"/>
  <c r="AF8" i="1807"/>
  <c r="AB8" i="1807"/>
  <c r="Q8" i="1807"/>
  <c r="P8" i="1807"/>
  <c r="AC8" i="1807" s="1"/>
  <c r="O8" i="1807"/>
  <c r="M8" i="1807"/>
  <c r="K8" i="1807"/>
  <c r="AF7" i="1807"/>
  <c r="AB7" i="1807"/>
  <c r="Q7" i="1807"/>
  <c r="O7" i="1807"/>
  <c r="P7" i="1807"/>
  <c r="AC7" i="1807" s="1"/>
  <c r="AF6" i="1807"/>
  <c r="Q6" i="1807"/>
  <c r="P6" i="1807"/>
  <c r="AD22" i="1809" l="1"/>
  <c r="AE18" i="1809" s="1"/>
  <c r="AD13" i="1808"/>
  <c r="AD22" i="1808" s="1"/>
  <c r="AD7" i="1808"/>
  <c r="M22" i="1808"/>
  <c r="AB22" i="1808"/>
  <c r="P22" i="1808"/>
  <c r="AC22" i="1808"/>
  <c r="P20" i="1807"/>
  <c r="AC20" i="1807" s="1"/>
  <c r="K20" i="1807"/>
  <c r="K22" i="1807" s="1"/>
  <c r="M18" i="1807"/>
  <c r="AD12" i="1807"/>
  <c r="P11" i="1807"/>
  <c r="AC11" i="1807" s="1"/>
  <c r="AD11" i="1807" s="1"/>
  <c r="Q22" i="1807"/>
  <c r="P10" i="1807"/>
  <c r="AC10" i="1807" s="1"/>
  <c r="AD10" i="1807" s="1"/>
  <c r="AD9" i="1807"/>
  <c r="AD7" i="1807"/>
  <c r="M7" i="1807"/>
  <c r="AD8" i="1807"/>
  <c r="AD18" i="1807"/>
  <c r="AD17" i="1807"/>
  <c r="AD19" i="1807"/>
  <c r="AC6" i="1807"/>
  <c r="L22" i="1807"/>
  <c r="O22" i="1807" s="1"/>
  <c r="O6" i="1807"/>
  <c r="M13" i="1807"/>
  <c r="AB13" i="1807"/>
  <c r="AD13" i="1807" s="1"/>
  <c r="M20" i="1807"/>
  <c r="AB20" i="1807"/>
  <c r="M6" i="1807"/>
  <c r="AB6" i="1807"/>
  <c r="M10" i="1807"/>
  <c r="O20" i="1807"/>
  <c r="L21" i="1806"/>
  <c r="L20" i="1806"/>
  <c r="K20" i="1806" s="1"/>
  <c r="L19" i="1806"/>
  <c r="AF18" i="1806"/>
  <c r="AC18" i="1806"/>
  <c r="AD18" i="1806" s="1"/>
  <c r="AB18" i="1806"/>
  <c r="Q18" i="1806"/>
  <c r="P18" i="1806"/>
  <c r="O18" i="1806"/>
  <c r="M18" i="1806"/>
  <c r="K18" i="1806"/>
  <c r="L13" i="1806"/>
  <c r="L10" i="1806"/>
  <c r="L7" i="1806"/>
  <c r="L6" i="1806"/>
  <c r="K13" i="1806"/>
  <c r="K12" i="1806"/>
  <c r="K10" i="1806"/>
  <c r="K7" i="1806"/>
  <c r="K6" i="1806"/>
  <c r="A78" i="1806"/>
  <c r="A79" i="1806" s="1"/>
  <c r="A80" i="1806" s="1"/>
  <c r="A81" i="1806" s="1"/>
  <c r="A82" i="1806" s="1"/>
  <c r="A77" i="1806"/>
  <c r="AF61" i="1806"/>
  <c r="AF60" i="1806"/>
  <c r="AF63" i="1806" s="1"/>
  <c r="AA22" i="1806"/>
  <c r="Z22" i="1806"/>
  <c r="Y22" i="1806"/>
  <c r="X22" i="1806"/>
  <c r="W22" i="1806"/>
  <c r="V22" i="1806"/>
  <c r="U22" i="1806"/>
  <c r="T22" i="1806"/>
  <c r="S22" i="1806"/>
  <c r="R22" i="1806"/>
  <c r="N22" i="1806"/>
  <c r="J22" i="1806"/>
  <c r="I22" i="1806"/>
  <c r="AF21" i="1806"/>
  <c r="Q21" i="1806"/>
  <c r="AF20" i="1806"/>
  <c r="Q20" i="1806"/>
  <c r="P20" i="1806" s="1"/>
  <c r="AC20" i="1806" s="1"/>
  <c r="O20" i="1806"/>
  <c r="AF19" i="1806"/>
  <c r="Q19" i="1806"/>
  <c r="AB19" i="1806"/>
  <c r="AF17" i="1806"/>
  <c r="AB17" i="1806"/>
  <c r="Q17" i="1806"/>
  <c r="P17" i="1806"/>
  <c r="AC17" i="1806" s="1"/>
  <c r="O17" i="1806"/>
  <c r="M17" i="1806"/>
  <c r="K17" i="1806"/>
  <c r="AF16" i="1806"/>
  <c r="AB16" i="1806"/>
  <c r="Q16" i="1806"/>
  <c r="P16" i="1806"/>
  <c r="AC16" i="1806" s="1"/>
  <c r="AD16" i="1806" s="1"/>
  <c r="O16" i="1806"/>
  <c r="M16" i="1806"/>
  <c r="K16" i="1806"/>
  <c r="AF15" i="1806"/>
  <c r="AB15" i="1806"/>
  <c r="Q15" i="1806"/>
  <c r="P15" i="1806"/>
  <c r="AC15" i="1806" s="1"/>
  <c r="AD15" i="1806" s="1"/>
  <c r="O15" i="1806"/>
  <c r="M15" i="1806"/>
  <c r="K15" i="1806"/>
  <c r="AF14" i="1806"/>
  <c r="AB14" i="1806"/>
  <c r="Q14" i="1806"/>
  <c r="P14" i="1806"/>
  <c r="AC14" i="1806" s="1"/>
  <c r="AD14" i="1806" s="1"/>
  <c r="O14" i="1806"/>
  <c r="M14" i="1806"/>
  <c r="K14" i="1806"/>
  <c r="AF13" i="1806"/>
  <c r="Q13" i="1806"/>
  <c r="AF12" i="1806"/>
  <c r="AB12" i="1806"/>
  <c r="Q12" i="1806"/>
  <c r="P12" i="1806"/>
  <c r="AC12" i="1806" s="1"/>
  <c r="O12" i="1806"/>
  <c r="M12" i="1806"/>
  <c r="AF11" i="1806"/>
  <c r="AB11" i="1806"/>
  <c r="Q11" i="1806"/>
  <c r="P11" i="1806"/>
  <c r="AC11" i="1806" s="1"/>
  <c r="AD11" i="1806" s="1"/>
  <c r="O11" i="1806"/>
  <c r="M11" i="1806"/>
  <c r="K11" i="1806"/>
  <c r="AF10" i="1806"/>
  <c r="Q10" i="1806"/>
  <c r="AF9" i="1806"/>
  <c r="AC9" i="1806"/>
  <c r="AB9" i="1806"/>
  <c r="Q9" i="1806"/>
  <c r="P9" i="1806"/>
  <c r="O9" i="1806"/>
  <c r="M9" i="1806"/>
  <c r="K9" i="1806"/>
  <c r="AF8" i="1806"/>
  <c r="AB8" i="1806"/>
  <c r="Q8" i="1806"/>
  <c r="P8" i="1806"/>
  <c r="AC8" i="1806" s="1"/>
  <c r="O8" i="1806"/>
  <c r="M8" i="1806"/>
  <c r="K8" i="1806"/>
  <c r="AF7" i="1806"/>
  <c r="Q7" i="1806"/>
  <c r="O7" i="1806"/>
  <c r="AB7" i="1806"/>
  <c r="AF6" i="1806"/>
  <c r="AB6" i="1806"/>
  <c r="Q6" i="1806"/>
  <c r="M6" i="1806"/>
  <c r="P6" i="1806"/>
  <c r="AE7" i="1809" l="1"/>
  <c r="AE9" i="1809"/>
  <c r="AE14" i="1809"/>
  <c r="AE21" i="1809"/>
  <c r="AE8" i="1809"/>
  <c r="AE13" i="1809"/>
  <c r="AE12" i="1809"/>
  <c r="AE19" i="1809"/>
  <c r="AE11" i="1809"/>
  <c r="AE17" i="1809"/>
  <c r="AE20" i="1809"/>
  <c r="AE10" i="1809"/>
  <c r="AE15" i="1809"/>
  <c r="AE6" i="1809"/>
  <c r="AE16" i="1809"/>
  <c r="AE21" i="1808"/>
  <c r="AE18" i="1808"/>
  <c r="AE10" i="1808"/>
  <c r="AE16" i="1808"/>
  <c r="AE7" i="1808"/>
  <c r="AE19" i="1808"/>
  <c r="AE14" i="1808"/>
  <c r="AE11" i="1808"/>
  <c r="AE8" i="1808"/>
  <c r="AE20" i="1808"/>
  <c r="AE12" i="1808"/>
  <c r="AE6" i="1808"/>
  <c r="AE17" i="1808"/>
  <c r="AE15" i="1808"/>
  <c r="AE13" i="1808"/>
  <c r="AE9" i="1808"/>
  <c r="AD20" i="1807"/>
  <c r="AB22" i="1807"/>
  <c r="P22" i="1807"/>
  <c r="M22" i="1807"/>
  <c r="AD6" i="1807"/>
  <c r="AD22" i="1807" s="1"/>
  <c r="AC22" i="1807"/>
  <c r="P21" i="1806"/>
  <c r="AC21" i="1806" s="1"/>
  <c r="K21" i="1806"/>
  <c r="P19" i="1806"/>
  <c r="AC19" i="1806" s="1"/>
  <c r="O19" i="1806"/>
  <c r="K19" i="1806"/>
  <c r="P13" i="1806"/>
  <c r="AC13" i="1806" s="1"/>
  <c r="P10" i="1806"/>
  <c r="AC10" i="1806" s="1"/>
  <c r="O10" i="1806"/>
  <c r="M10" i="1806"/>
  <c r="AB10" i="1806"/>
  <c r="Q22" i="1806"/>
  <c r="AD12" i="1806"/>
  <c r="AD9" i="1806"/>
  <c r="AD8" i="1806"/>
  <c r="AD17" i="1806"/>
  <c r="AC6" i="1806"/>
  <c r="O6" i="1806"/>
  <c r="P7" i="1806"/>
  <c r="AC7" i="1806" s="1"/>
  <c r="AD7" i="1806" s="1"/>
  <c r="M13" i="1806"/>
  <c r="AB13" i="1806"/>
  <c r="M21" i="1806"/>
  <c r="AB21" i="1806"/>
  <c r="L22" i="1806"/>
  <c r="O22" i="1806" s="1"/>
  <c r="O13" i="1806"/>
  <c r="M20" i="1806"/>
  <c r="AB20" i="1806"/>
  <c r="AD20" i="1806" s="1"/>
  <c r="O21" i="1806"/>
  <c r="M7" i="1806"/>
  <c r="M19" i="1806"/>
  <c r="K22" i="180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1" i="1805"/>
  <c r="K21" i="1805"/>
  <c r="L20" i="1805"/>
  <c r="P20" i="1805" s="1"/>
  <c r="AC20" i="1805" s="1"/>
  <c r="L19" i="1805"/>
  <c r="L18" i="1805"/>
  <c r="O18" i="1805" s="1"/>
  <c r="L13" i="1805"/>
  <c r="K12" i="1805"/>
  <c r="L10" i="1805"/>
  <c r="K10" i="1805" s="1"/>
  <c r="L7" i="1805"/>
  <c r="L6" i="1805"/>
  <c r="K6" i="1805" s="1"/>
  <c r="K20" i="1805"/>
  <c r="K19" i="1805"/>
  <c r="K18" i="1805"/>
  <c r="K13" i="1805"/>
  <c r="K11" i="1805"/>
  <c r="A77" i="1805"/>
  <c r="A78" i="1805" s="1"/>
  <c r="A79" i="1805" s="1"/>
  <c r="A80" i="1805" s="1"/>
  <c r="A81" i="1805" s="1"/>
  <c r="A82" i="1805" s="1"/>
  <c r="AF63" i="1805"/>
  <c r="AF61" i="1805"/>
  <c r="AF60" i="1805"/>
  <c r="AA22" i="1805"/>
  <c r="Z22" i="1805"/>
  <c r="Y22" i="1805"/>
  <c r="X22" i="1805"/>
  <c r="W22" i="1805"/>
  <c r="V22" i="1805"/>
  <c r="U22" i="1805"/>
  <c r="T22" i="1805"/>
  <c r="S22" i="1805"/>
  <c r="R22" i="1805"/>
  <c r="N22" i="1805"/>
  <c r="J22" i="1805"/>
  <c r="I22" i="1805"/>
  <c r="AF21" i="1805"/>
  <c r="AB21" i="1805"/>
  <c r="Q21" i="1805"/>
  <c r="O21" i="1805"/>
  <c r="M21" i="1805"/>
  <c r="AF20" i="1805"/>
  <c r="Q20" i="1805"/>
  <c r="M20" i="1805"/>
  <c r="AF19" i="1805"/>
  <c r="Q19" i="1805"/>
  <c r="P19" i="1805"/>
  <c r="AC19" i="1805" s="1"/>
  <c r="AF18" i="1805"/>
  <c r="AB18" i="1805"/>
  <c r="Q18" i="1805"/>
  <c r="P18" i="1805" s="1"/>
  <c r="AC18" i="1805" s="1"/>
  <c r="M18" i="1805"/>
  <c r="AF17" i="1805"/>
  <c r="AC17" i="1805"/>
  <c r="AB17" i="1805"/>
  <c r="Q17" i="1805"/>
  <c r="P17" i="1805"/>
  <c r="O17" i="1805"/>
  <c r="M17" i="1805"/>
  <c r="K17" i="1805"/>
  <c r="AF16" i="1805"/>
  <c r="AB16" i="1805"/>
  <c r="Q16" i="1805"/>
  <c r="P16" i="1805"/>
  <c r="AC16" i="1805" s="1"/>
  <c r="O16" i="1805"/>
  <c r="M16" i="1805"/>
  <c r="K16" i="1805"/>
  <c r="AF15" i="1805"/>
  <c r="AB15" i="1805"/>
  <c r="Q15" i="1805"/>
  <c r="P15" i="1805"/>
  <c r="AC15" i="1805" s="1"/>
  <c r="AD15" i="1805" s="1"/>
  <c r="O15" i="1805"/>
  <c r="M15" i="1805"/>
  <c r="K15" i="1805"/>
  <c r="AF14" i="1805"/>
  <c r="AB14" i="1805"/>
  <c r="Q14" i="1805"/>
  <c r="P14" i="1805"/>
  <c r="AC14" i="1805" s="1"/>
  <c r="AD14" i="1805" s="1"/>
  <c r="O14" i="1805"/>
  <c r="M14" i="1805"/>
  <c r="K14" i="1805"/>
  <c r="AF13" i="1805"/>
  <c r="AB13" i="1805"/>
  <c r="Q13" i="1805"/>
  <c r="P13" i="1805" s="1"/>
  <c r="AC13" i="1805" s="1"/>
  <c r="M13" i="1805"/>
  <c r="AF12" i="1805"/>
  <c r="AB12" i="1805"/>
  <c r="Q12" i="1805"/>
  <c r="P12" i="1805"/>
  <c r="AC12" i="1805" s="1"/>
  <c r="O12" i="1805"/>
  <c r="M12" i="1805"/>
  <c r="AF11" i="1805"/>
  <c r="AB11" i="1805"/>
  <c r="Q11" i="1805"/>
  <c r="P11" i="1805"/>
  <c r="AC11" i="1805" s="1"/>
  <c r="AD11" i="1805" s="1"/>
  <c r="O11" i="1805"/>
  <c r="M11" i="1805"/>
  <c r="AF10" i="1805"/>
  <c r="Q10" i="1805"/>
  <c r="M10" i="1805"/>
  <c r="AF9" i="1805"/>
  <c r="AB9" i="1805"/>
  <c r="Q9" i="1805"/>
  <c r="P9" i="1805"/>
  <c r="AC9" i="1805" s="1"/>
  <c r="O9" i="1805"/>
  <c r="M9" i="1805"/>
  <c r="K9" i="1805"/>
  <c r="AF8" i="1805"/>
  <c r="AC8" i="1805"/>
  <c r="AD8" i="1805" s="1"/>
  <c r="AB8" i="1805"/>
  <c r="Q8" i="1805"/>
  <c r="P8" i="1805"/>
  <c r="O8" i="1805"/>
  <c r="M8" i="1805"/>
  <c r="K8" i="1805"/>
  <c r="AF7" i="1805"/>
  <c r="Q7" i="1805"/>
  <c r="M7" i="1805"/>
  <c r="K7" i="1805"/>
  <c r="AF6" i="1805"/>
  <c r="Q6" i="1805"/>
  <c r="M6" i="1805"/>
  <c r="AE21" i="1807" l="1"/>
  <c r="AE18" i="1807"/>
  <c r="AE16" i="1807"/>
  <c r="AE14" i="1807"/>
  <c r="AE9" i="1807"/>
  <c r="AE7" i="1807"/>
  <c r="AE13" i="1807"/>
  <c r="AE8" i="1807"/>
  <c r="AE11" i="1807"/>
  <c r="AE6" i="1807"/>
  <c r="AE19" i="1807"/>
  <c r="AE12" i="1807"/>
  <c r="AE10" i="1807"/>
  <c r="AE20" i="1807"/>
  <c r="AE17" i="1807"/>
  <c r="AE15" i="1807"/>
  <c r="AD19" i="1806"/>
  <c r="M22" i="1806"/>
  <c r="AD10" i="1806"/>
  <c r="P22" i="1806"/>
  <c r="AD13" i="1806"/>
  <c r="AD21" i="1806"/>
  <c r="AB22" i="1806"/>
  <c r="AC22" i="1806"/>
  <c r="AD6" i="1806"/>
  <c r="P21" i="1805"/>
  <c r="AC21" i="1805" s="1"/>
  <c r="AD21" i="1805" s="1"/>
  <c r="AB20" i="1805"/>
  <c r="AD12" i="1805"/>
  <c r="Q22" i="1805"/>
  <c r="P7" i="1805"/>
  <c r="AC7" i="1805" s="1"/>
  <c r="O7" i="1805"/>
  <c r="AB7" i="1805"/>
  <c r="AD17" i="1805"/>
  <c r="AD18" i="1805"/>
  <c r="AD9" i="1805"/>
  <c r="AD16" i="1805"/>
  <c r="AB6" i="1805"/>
  <c r="O6" i="1805"/>
  <c r="AB10" i="1805"/>
  <c r="O13" i="1805"/>
  <c r="AD13" i="1805" s="1"/>
  <c r="M19" i="1805"/>
  <c r="M22" i="1805" s="1"/>
  <c r="AB19" i="1805"/>
  <c r="O20" i="1805"/>
  <c r="AD20" i="1805" s="1"/>
  <c r="P6" i="1805"/>
  <c r="O10" i="1805"/>
  <c r="O19" i="1805"/>
  <c r="AD19" i="1805" s="1"/>
  <c r="L22" i="1805"/>
  <c r="O22" i="1805" s="1"/>
  <c r="P10" i="1805"/>
  <c r="AC10" i="1805" s="1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1804"/>
  <c r="P20" i="1804" s="1"/>
  <c r="AC20" i="1804" s="1"/>
  <c r="L19" i="1804"/>
  <c r="AB19" i="1804" s="1"/>
  <c r="L13" i="1804"/>
  <c r="K13" i="1804" s="1"/>
  <c r="K11" i="1804"/>
  <c r="L10" i="1804"/>
  <c r="M10" i="1804" s="1"/>
  <c r="L6" i="1804"/>
  <c r="K20" i="1804"/>
  <c r="K19" i="1804"/>
  <c r="K15" i="1804"/>
  <c r="K12" i="1804"/>
  <c r="K10" i="1804"/>
  <c r="K8" i="1804"/>
  <c r="K7" i="1804"/>
  <c r="K6" i="1804"/>
  <c r="A77" i="1804"/>
  <c r="A78" i="1804" s="1"/>
  <c r="A79" i="1804" s="1"/>
  <c r="A80" i="1804" s="1"/>
  <c r="A81" i="1804" s="1"/>
  <c r="A82" i="1804" s="1"/>
  <c r="AF61" i="1804"/>
  <c r="AF60" i="1804"/>
  <c r="AF63" i="1804" s="1"/>
  <c r="AA22" i="1804"/>
  <c r="Z22" i="1804"/>
  <c r="Y22" i="1804"/>
  <c r="X22" i="1804"/>
  <c r="W22" i="1804"/>
  <c r="V22" i="1804"/>
  <c r="U22" i="1804"/>
  <c r="T22" i="1804"/>
  <c r="S22" i="1804"/>
  <c r="R22" i="1804"/>
  <c r="N22" i="1804"/>
  <c r="J22" i="1804"/>
  <c r="I22" i="1804"/>
  <c r="AF21" i="1804"/>
  <c r="AB21" i="1804"/>
  <c r="Q21" i="1804"/>
  <c r="P21" i="1804"/>
  <c r="AC21" i="1804" s="1"/>
  <c r="AD21" i="1804" s="1"/>
  <c r="O21" i="1804"/>
  <c r="M21" i="1804"/>
  <c r="K21" i="1804"/>
  <c r="AF20" i="1804"/>
  <c r="AB20" i="1804"/>
  <c r="Q20" i="1804"/>
  <c r="O20" i="1804"/>
  <c r="M20" i="1804"/>
  <c r="AF19" i="1804"/>
  <c r="Q19" i="1804"/>
  <c r="AF18" i="1804"/>
  <c r="AB18" i="1804"/>
  <c r="Q18" i="1804"/>
  <c r="P18" i="1804" s="1"/>
  <c r="AC18" i="1804" s="1"/>
  <c r="O18" i="1804"/>
  <c r="M18" i="1804"/>
  <c r="K18" i="1804"/>
  <c r="AF17" i="1804"/>
  <c r="AB17" i="1804"/>
  <c r="Q17" i="1804"/>
  <c r="P17" i="1804"/>
  <c r="AC17" i="1804" s="1"/>
  <c r="AD17" i="1804" s="1"/>
  <c r="O17" i="1804"/>
  <c r="M17" i="1804"/>
  <c r="K17" i="1804"/>
  <c r="AF16" i="1804"/>
  <c r="AB16" i="1804"/>
  <c r="Q16" i="1804"/>
  <c r="P16" i="1804"/>
  <c r="AC16" i="1804" s="1"/>
  <c r="AD16" i="1804" s="1"/>
  <c r="O16" i="1804"/>
  <c r="M16" i="1804"/>
  <c r="K16" i="1804"/>
  <c r="AF15" i="1804"/>
  <c r="AB15" i="1804"/>
  <c r="Q15" i="1804"/>
  <c r="P15" i="1804"/>
  <c r="AC15" i="1804" s="1"/>
  <c r="O15" i="1804"/>
  <c r="M15" i="1804"/>
  <c r="AF14" i="1804"/>
  <c r="AB14" i="1804"/>
  <c r="Q14" i="1804"/>
  <c r="P14" i="1804"/>
  <c r="AC14" i="1804" s="1"/>
  <c r="AD14" i="1804" s="1"/>
  <c r="O14" i="1804"/>
  <c r="M14" i="1804"/>
  <c r="K14" i="1804"/>
  <c r="AF13" i="1804"/>
  <c r="Q13" i="1804"/>
  <c r="P13" i="1804"/>
  <c r="AC13" i="1804" s="1"/>
  <c r="AF12" i="1804"/>
  <c r="AB12" i="1804"/>
  <c r="Q12" i="1804"/>
  <c r="P12" i="1804"/>
  <c r="AC12" i="1804" s="1"/>
  <c r="AD12" i="1804" s="1"/>
  <c r="O12" i="1804"/>
  <c r="M12" i="1804"/>
  <c r="AF11" i="1804"/>
  <c r="Q11" i="1804"/>
  <c r="O11" i="1804"/>
  <c r="AB11" i="1804"/>
  <c r="AF10" i="1804"/>
  <c r="AB10" i="1804"/>
  <c r="Q10" i="1804"/>
  <c r="P10" i="1804"/>
  <c r="AC10" i="1804" s="1"/>
  <c r="O10" i="1804"/>
  <c r="AF9" i="1804"/>
  <c r="AB9" i="1804"/>
  <c r="Q9" i="1804"/>
  <c r="P9" i="1804"/>
  <c r="AC9" i="1804" s="1"/>
  <c r="AD9" i="1804" s="1"/>
  <c r="O9" i="1804"/>
  <c r="M9" i="1804"/>
  <c r="K9" i="1804"/>
  <c r="AF8" i="1804"/>
  <c r="Q8" i="1804"/>
  <c r="O8" i="1804"/>
  <c r="AB8" i="1804"/>
  <c r="AF7" i="1804"/>
  <c r="AB7" i="1804"/>
  <c r="Q7" i="1804"/>
  <c r="P7" i="1804"/>
  <c r="AC7" i="1804" s="1"/>
  <c r="AD7" i="1804" s="1"/>
  <c r="M7" i="1804"/>
  <c r="O7" i="1804"/>
  <c r="AF6" i="1804"/>
  <c r="Q6" i="1804"/>
  <c r="Q22" i="1804" s="1"/>
  <c r="AD22" i="1806" l="1"/>
  <c r="AE18" i="1806" s="1"/>
  <c r="AD10" i="1805"/>
  <c r="AD7" i="1805"/>
  <c r="AB22" i="1805"/>
  <c r="P22" i="1805"/>
  <c r="AC6" i="1805"/>
  <c r="K22" i="1805"/>
  <c r="AD20" i="1804"/>
  <c r="P6" i="1804"/>
  <c r="AC6" i="1804" s="1"/>
  <c r="AD15" i="1804"/>
  <c r="AD18" i="1804"/>
  <c r="AD10" i="1804"/>
  <c r="O19" i="1804"/>
  <c r="L22" i="1804"/>
  <c r="O22" i="1804" s="1"/>
  <c r="M6" i="1804"/>
  <c r="AB6" i="1804"/>
  <c r="P8" i="1804"/>
  <c r="AC8" i="1804" s="1"/>
  <c r="AD8" i="1804" s="1"/>
  <c r="P11" i="1804"/>
  <c r="AC11" i="1804" s="1"/>
  <c r="AD11" i="1804" s="1"/>
  <c r="M13" i="1804"/>
  <c r="AB13" i="1804"/>
  <c r="AD13" i="1804" s="1"/>
  <c r="P19" i="1804"/>
  <c r="AC19" i="1804" s="1"/>
  <c r="O6" i="1804"/>
  <c r="O13" i="1804"/>
  <c r="M8" i="1804"/>
  <c r="M11" i="1804"/>
  <c r="M19" i="1804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0" i="1803"/>
  <c r="AB20" i="1803" s="1"/>
  <c r="L19" i="1803"/>
  <c r="K18" i="1803"/>
  <c r="L15" i="1803"/>
  <c r="L13" i="1803"/>
  <c r="K13" i="1803" s="1"/>
  <c r="L12" i="1803"/>
  <c r="K12" i="1803"/>
  <c r="L11" i="1803"/>
  <c r="K11" i="1803" s="1"/>
  <c r="L10" i="1803"/>
  <c r="K10" i="1803" s="1"/>
  <c r="L8" i="1803"/>
  <c r="K8" i="1803" s="1"/>
  <c r="L7" i="1803"/>
  <c r="K7" i="1803" s="1"/>
  <c r="L6" i="1803"/>
  <c r="AB6" i="1803" s="1"/>
  <c r="K6" i="1803"/>
  <c r="K19" i="1803"/>
  <c r="K17" i="1803"/>
  <c r="A77" i="1803"/>
  <c r="A78" i="1803" s="1"/>
  <c r="A79" i="1803" s="1"/>
  <c r="A80" i="1803" s="1"/>
  <c r="A81" i="1803" s="1"/>
  <c r="A82" i="1803" s="1"/>
  <c r="AF61" i="1803"/>
  <c r="AF60" i="1803"/>
  <c r="AF63" i="1803" s="1"/>
  <c r="AA22" i="1803"/>
  <c r="Z22" i="1803"/>
  <c r="Y22" i="1803"/>
  <c r="X22" i="1803"/>
  <c r="W22" i="1803"/>
  <c r="V22" i="1803"/>
  <c r="U22" i="1803"/>
  <c r="T22" i="1803"/>
  <c r="S22" i="1803"/>
  <c r="R22" i="1803"/>
  <c r="N22" i="1803"/>
  <c r="J22" i="1803"/>
  <c r="I22" i="1803"/>
  <c r="AF21" i="1803"/>
  <c r="AB21" i="1803"/>
  <c r="Q21" i="1803"/>
  <c r="P21" i="1803"/>
  <c r="AC21" i="1803" s="1"/>
  <c r="AD21" i="1803" s="1"/>
  <c r="O21" i="1803"/>
  <c r="M21" i="1803"/>
  <c r="K21" i="1803"/>
  <c r="AF20" i="1803"/>
  <c r="Q20" i="1803"/>
  <c r="AF19" i="1803"/>
  <c r="AB19" i="1803"/>
  <c r="Q19" i="1803"/>
  <c r="M19" i="1803"/>
  <c r="O19" i="1803"/>
  <c r="AF18" i="1803"/>
  <c r="AC18" i="1803"/>
  <c r="AB18" i="1803"/>
  <c r="Q18" i="1803"/>
  <c r="P18" i="1803"/>
  <c r="O18" i="1803"/>
  <c r="M18" i="1803"/>
  <c r="AF17" i="1803"/>
  <c r="Q17" i="1803"/>
  <c r="O17" i="1803"/>
  <c r="AB17" i="1803"/>
  <c r="AF16" i="1803"/>
  <c r="AB16" i="1803"/>
  <c r="Q16" i="1803"/>
  <c r="P16" i="1803"/>
  <c r="AC16" i="1803" s="1"/>
  <c r="AD16" i="1803" s="1"/>
  <c r="O16" i="1803"/>
  <c r="M16" i="1803"/>
  <c r="K16" i="1803"/>
  <c r="AF15" i="1803"/>
  <c r="AB15" i="1803"/>
  <c r="Q15" i="1803"/>
  <c r="M15" i="1803"/>
  <c r="AF14" i="1803"/>
  <c r="AC14" i="1803"/>
  <c r="AB14" i="1803"/>
  <c r="Q14" i="1803"/>
  <c r="P14" i="1803"/>
  <c r="O14" i="1803"/>
  <c r="M14" i="1803"/>
  <c r="K14" i="1803"/>
  <c r="AF13" i="1803"/>
  <c r="Q13" i="1803"/>
  <c r="P13" i="1803"/>
  <c r="AC13" i="1803" s="1"/>
  <c r="AF12" i="1803"/>
  <c r="AB12" i="1803"/>
  <c r="Q12" i="1803"/>
  <c r="O12" i="1803"/>
  <c r="M12" i="1803"/>
  <c r="AF11" i="1803"/>
  <c r="Q11" i="1803"/>
  <c r="O11" i="1803"/>
  <c r="AB11" i="1803"/>
  <c r="AF10" i="1803"/>
  <c r="Q10" i="1803"/>
  <c r="P10" i="1803"/>
  <c r="AC10" i="1803" s="1"/>
  <c r="M10" i="1803"/>
  <c r="AF9" i="1803"/>
  <c r="AC9" i="1803"/>
  <c r="AB9" i="1803"/>
  <c r="Q9" i="1803"/>
  <c r="P9" i="1803"/>
  <c r="O9" i="1803"/>
  <c r="M9" i="1803"/>
  <c r="K9" i="1803"/>
  <c r="AF8" i="1803"/>
  <c r="Q8" i="1803"/>
  <c r="O8" i="1803"/>
  <c r="AF7" i="1803"/>
  <c r="AB7" i="1803"/>
  <c r="Q7" i="1803"/>
  <c r="M7" i="1803"/>
  <c r="O7" i="1803"/>
  <c r="AF6" i="1803"/>
  <c r="Q6" i="1803"/>
  <c r="O6" i="1803"/>
  <c r="M6" i="1803"/>
  <c r="AE15" i="1806" l="1"/>
  <c r="AE16" i="1806"/>
  <c r="AE6" i="1806"/>
  <c r="AE7" i="1806"/>
  <c r="AE11" i="1806"/>
  <c r="AE12" i="1806"/>
  <c r="AE9" i="1806"/>
  <c r="AE8" i="1806"/>
  <c r="AE17" i="1806"/>
  <c r="AE10" i="1806"/>
  <c r="AE19" i="1806"/>
  <c r="AE20" i="1806"/>
  <c r="AE14" i="1806"/>
  <c r="AE13" i="1806"/>
  <c r="AE21" i="1806"/>
  <c r="AC22" i="1805"/>
  <c r="AD6" i="1805"/>
  <c r="AD22" i="1805" s="1"/>
  <c r="AB22" i="1804"/>
  <c r="AD6" i="1804"/>
  <c r="AC22" i="1804"/>
  <c r="AD19" i="1804"/>
  <c r="K22" i="1804"/>
  <c r="M22" i="1804"/>
  <c r="P22" i="1804"/>
  <c r="O20" i="1803"/>
  <c r="P20" i="1803"/>
  <c r="AC20" i="1803" s="1"/>
  <c r="AD20" i="1803" s="1"/>
  <c r="K20" i="1803"/>
  <c r="M20" i="1803"/>
  <c r="P19" i="1803"/>
  <c r="AC19" i="1803" s="1"/>
  <c r="Q22" i="1803"/>
  <c r="P15" i="1803"/>
  <c r="AC15" i="1803" s="1"/>
  <c r="O15" i="1803"/>
  <c r="K15" i="1803"/>
  <c r="K22" i="1803" s="1"/>
  <c r="P12" i="1803"/>
  <c r="AC12" i="1803" s="1"/>
  <c r="AD12" i="1803" s="1"/>
  <c r="O10" i="1803"/>
  <c r="AB10" i="1803"/>
  <c r="AB8" i="1803"/>
  <c r="P7" i="1803"/>
  <c r="AC7" i="1803" s="1"/>
  <c r="AD7" i="1803" s="1"/>
  <c r="P6" i="1803"/>
  <c r="AC6" i="1803" s="1"/>
  <c r="AD6" i="1803" s="1"/>
  <c r="AD15" i="1803"/>
  <c r="AD9" i="1803"/>
  <c r="AD18" i="1803"/>
  <c r="AD14" i="1803"/>
  <c r="AD10" i="1803"/>
  <c r="AD19" i="1803"/>
  <c r="L22" i="1803"/>
  <c r="O22" i="1803" s="1"/>
  <c r="P8" i="1803"/>
  <c r="AC8" i="1803" s="1"/>
  <c r="P11" i="1803"/>
  <c r="AC11" i="1803" s="1"/>
  <c r="AD11" i="1803" s="1"/>
  <c r="M13" i="1803"/>
  <c r="AB13" i="1803"/>
  <c r="P17" i="1803"/>
  <c r="AC17" i="1803" s="1"/>
  <c r="AD17" i="1803" s="1"/>
  <c r="O13" i="1803"/>
  <c r="M8" i="1803"/>
  <c r="M11" i="1803"/>
  <c r="M17" i="1803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K20" i="1802"/>
  <c r="L19" i="1802"/>
  <c r="O19" i="1802" s="1"/>
  <c r="L17" i="1802"/>
  <c r="K17" i="1802" s="1"/>
  <c r="L15" i="1802"/>
  <c r="K15" i="1802" s="1"/>
  <c r="L13" i="1802"/>
  <c r="K13" i="1802" s="1"/>
  <c r="L12" i="1802"/>
  <c r="K12" i="1802" s="1"/>
  <c r="L11" i="1802"/>
  <c r="K11" i="1802" s="1"/>
  <c r="L10" i="1802"/>
  <c r="K10" i="1802" s="1"/>
  <c r="L8" i="1802"/>
  <c r="K8" i="1802" s="1"/>
  <c r="L7" i="1802"/>
  <c r="K19" i="1802"/>
  <c r="K14" i="1802"/>
  <c r="A77" i="1802"/>
  <c r="A78" i="1802" s="1"/>
  <c r="A79" i="1802" s="1"/>
  <c r="A80" i="1802" s="1"/>
  <c r="A81" i="1802" s="1"/>
  <c r="A82" i="1802" s="1"/>
  <c r="AF61" i="1802"/>
  <c r="AF60" i="1802"/>
  <c r="AF63" i="1802" s="1"/>
  <c r="AA22" i="1802"/>
  <c r="Z22" i="1802"/>
  <c r="Y22" i="1802"/>
  <c r="X22" i="1802"/>
  <c r="W22" i="1802"/>
  <c r="V22" i="1802"/>
  <c r="U22" i="1802"/>
  <c r="T22" i="1802"/>
  <c r="S22" i="1802"/>
  <c r="R22" i="1802"/>
  <c r="N22" i="1802"/>
  <c r="J22" i="1802"/>
  <c r="I22" i="1802"/>
  <c r="AF21" i="1802"/>
  <c r="AB21" i="1802"/>
  <c r="Q21" i="1802"/>
  <c r="P21" i="1802"/>
  <c r="AC21" i="1802" s="1"/>
  <c r="AD21" i="1802" s="1"/>
  <c r="O21" i="1802"/>
  <c r="M21" i="1802"/>
  <c r="K21" i="1802"/>
  <c r="AF20" i="1802"/>
  <c r="Q20" i="1802"/>
  <c r="P20" i="1802"/>
  <c r="AC20" i="1802" s="1"/>
  <c r="O20" i="1802"/>
  <c r="AF19" i="1802"/>
  <c r="Q19" i="1802"/>
  <c r="P19" i="1802" s="1"/>
  <c r="AC19" i="1802" s="1"/>
  <c r="AF18" i="1802"/>
  <c r="AB18" i="1802"/>
  <c r="Q18" i="1802"/>
  <c r="P18" i="1802"/>
  <c r="AC18" i="1802" s="1"/>
  <c r="AD18" i="1802" s="1"/>
  <c r="O18" i="1802"/>
  <c r="M18" i="1802"/>
  <c r="K18" i="1802"/>
  <c r="AF17" i="1802"/>
  <c r="Q17" i="1802"/>
  <c r="AF16" i="1802"/>
  <c r="AB16" i="1802"/>
  <c r="Q16" i="1802"/>
  <c r="P16" i="1802"/>
  <c r="AC16" i="1802" s="1"/>
  <c r="AD16" i="1802" s="1"/>
  <c r="O16" i="1802"/>
  <c r="M16" i="1802"/>
  <c r="K16" i="1802"/>
  <c r="AF15" i="1802"/>
  <c r="Q15" i="1802"/>
  <c r="P15" i="1802"/>
  <c r="AC15" i="1802" s="1"/>
  <c r="AF14" i="1802"/>
  <c r="Q14" i="1802"/>
  <c r="P14" i="1802"/>
  <c r="AC14" i="1802" s="1"/>
  <c r="O14" i="1802"/>
  <c r="AF13" i="1802"/>
  <c r="Q13" i="1802"/>
  <c r="P13" i="1802"/>
  <c r="AC13" i="1802" s="1"/>
  <c r="O13" i="1802"/>
  <c r="AF12" i="1802"/>
  <c r="AB12" i="1802"/>
  <c r="Q12" i="1802"/>
  <c r="O12" i="1802"/>
  <c r="M12" i="1802"/>
  <c r="AF11" i="1802"/>
  <c r="Q11" i="1802"/>
  <c r="P11" i="1802"/>
  <c r="AC11" i="1802" s="1"/>
  <c r="AF10" i="1802"/>
  <c r="Q10" i="1802"/>
  <c r="O10" i="1802"/>
  <c r="AF9" i="1802"/>
  <c r="AC9" i="1802"/>
  <c r="AD9" i="1802" s="1"/>
  <c r="AB9" i="1802"/>
  <c r="Q9" i="1802"/>
  <c r="P9" i="1802"/>
  <c r="O9" i="1802"/>
  <c r="M9" i="1802"/>
  <c r="K9" i="1802"/>
  <c r="AF8" i="1802"/>
  <c r="Q8" i="1802"/>
  <c r="AF7" i="1802"/>
  <c r="Q7" i="1802"/>
  <c r="AF6" i="1802"/>
  <c r="AC6" i="1802"/>
  <c r="AD6" i="1802" s="1"/>
  <c r="AB6" i="1802"/>
  <c r="Q6" i="1802"/>
  <c r="P6" i="1802"/>
  <c r="O6" i="1802"/>
  <c r="M6" i="1802"/>
  <c r="K6" i="1802"/>
  <c r="AE18" i="1805" l="1"/>
  <c r="AE14" i="1805"/>
  <c r="AE9" i="1805"/>
  <c r="AE19" i="1805"/>
  <c r="AE12" i="1805"/>
  <c r="AE10" i="1805"/>
  <c r="AE20" i="1805"/>
  <c r="AE17" i="1805"/>
  <c r="AE15" i="1805"/>
  <c r="AE13" i="1805"/>
  <c r="AE8" i="1805"/>
  <c r="AE6" i="1805"/>
  <c r="AE11" i="1805"/>
  <c r="AE21" i="1805"/>
  <c r="AE16" i="1805"/>
  <c r="AE7" i="1805"/>
  <c r="AD22" i="1804"/>
  <c r="AE21" i="1804" s="1"/>
  <c r="AB22" i="1803"/>
  <c r="AD8" i="1803"/>
  <c r="M22" i="1803"/>
  <c r="AC22" i="1803"/>
  <c r="P22" i="1803"/>
  <c r="AD13" i="1803"/>
  <c r="AD22" i="1803" s="1"/>
  <c r="AB19" i="1802"/>
  <c r="AD19" i="1802" s="1"/>
  <c r="O17" i="1802"/>
  <c r="P17" i="1802"/>
  <c r="AC17" i="1802" s="1"/>
  <c r="Q22" i="1802"/>
  <c r="AB13" i="1802"/>
  <c r="AD13" i="1802" s="1"/>
  <c r="P12" i="1802"/>
  <c r="AC12" i="1802" s="1"/>
  <c r="AD12" i="1802" s="1"/>
  <c r="P10" i="1802"/>
  <c r="AC10" i="1802" s="1"/>
  <c r="P8" i="1802"/>
  <c r="AC8" i="1802" s="1"/>
  <c r="P7" i="1802"/>
  <c r="AC7" i="1802" s="1"/>
  <c r="K7" i="1802"/>
  <c r="K22" i="1802" s="1"/>
  <c r="O7" i="1802"/>
  <c r="AB8" i="1802"/>
  <c r="AB11" i="1802"/>
  <c r="AD11" i="1802" s="1"/>
  <c r="M15" i="1802"/>
  <c r="AB15" i="1802"/>
  <c r="M8" i="1802"/>
  <c r="M7" i="1802"/>
  <c r="M10" i="1802"/>
  <c r="O11" i="1802"/>
  <c r="M14" i="1802"/>
  <c r="AB14" i="1802"/>
  <c r="AD14" i="1802" s="1"/>
  <c r="O15" i="1802"/>
  <c r="M17" i="1802"/>
  <c r="AB17" i="1802"/>
  <c r="M20" i="1802"/>
  <c r="L22" i="1802"/>
  <c r="O22" i="1802" s="1"/>
  <c r="M11" i="1802"/>
  <c r="AB7" i="1802"/>
  <c r="O8" i="1802"/>
  <c r="AB10" i="1802"/>
  <c r="AB20" i="1802"/>
  <c r="AD20" i="1802" s="1"/>
  <c r="M13" i="1802"/>
  <c r="M19" i="1802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801"/>
  <c r="L19" i="1801"/>
  <c r="AB19" i="1801" s="1"/>
  <c r="L17" i="1801"/>
  <c r="K17" i="1801" s="1"/>
  <c r="L15" i="1801"/>
  <c r="K15" i="1801" s="1"/>
  <c r="L14" i="1801"/>
  <c r="K14" i="1801"/>
  <c r="L13" i="1801"/>
  <c r="P13" i="1801" s="1"/>
  <c r="AC13" i="1801" s="1"/>
  <c r="L12" i="1801"/>
  <c r="AB12" i="1801" s="1"/>
  <c r="L11" i="1801"/>
  <c r="L10" i="1801"/>
  <c r="K10" i="1801" s="1"/>
  <c r="L8" i="1801"/>
  <c r="M8" i="1801" s="1"/>
  <c r="L7" i="1801"/>
  <c r="K7" i="1801" s="1"/>
  <c r="K20" i="1801"/>
  <c r="K18" i="1801"/>
  <c r="K11" i="1801"/>
  <c r="A77" i="1801"/>
  <c r="A78" i="1801" s="1"/>
  <c r="A79" i="1801" s="1"/>
  <c r="A80" i="1801" s="1"/>
  <c r="A81" i="1801" s="1"/>
  <c r="A82" i="1801" s="1"/>
  <c r="AF61" i="1801"/>
  <c r="AF60" i="1801"/>
  <c r="AF63" i="1801" s="1"/>
  <c r="AA22" i="1801"/>
  <c r="Z22" i="1801"/>
  <c r="Y22" i="1801"/>
  <c r="X22" i="1801"/>
  <c r="W22" i="1801"/>
  <c r="V22" i="1801"/>
  <c r="U22" i="1801"/>
  <c r="T22" i="1801"/>
  <c r="S22" i="1801"/>
  <c r="R22" i="1801"/>
  <c r="N22" i="1801"/>
  <c r="J22" i="1801"/>
  <c r="I22" i="1801"/>
  <c r="AF21" i="1801"/>
  <c r="AB21" i="1801"/>
  <c r="Q21" i="1801"/>
  <c r="P21" i="1801"/>
  <c r="AC21" i="1801" s="1"/>
  <c r="AD21" i="1801" s="1"/>
  <c r="O21" i="1801"/>
  <c r="M21" i="1801"/>
  <c r="K21" i="1801"/>
  <c r="AF20" i="1801"/>
  <c r="AB20" i="1801"/>
  <c r="Q20" i="1801"/>
  <c r="M20" i="1801"/>
  <c r="O20" i="1801"/>
  <c r="AF19" i="1801"/>
  <c r="Q19" i="1801"/>
  <c r="AF18" i="1801"/>
  <c r="Q18" i="1801"/>
  <c r="P18" i="1801"/>
  <c r="AC18" i="1801" s="1"/>
  <c r="O18" i="1801"/>
  <c r="AB18" i="1801"/>
  <c r="AF17" i="1801"/>
  <c r="Q17" i="1801"/>
  <c r="AF16" i="1801"/>
  <c r="AC16" i="1801"/>
  <c r="AD16" i="1801" s="1"/>
  <c r="AB16" i="1801"/>
  <c r="Q16" i="1801"/>
  <c r="P16" i="1801"/>
  <c r="O16" i="1801"/>
  <c r="M16" i="1801"/>
  <c r="K16" i="1801"/>
  <c r="AF15" i="1801"/>
  <c r="Q15" i="1801"/>
  <c r="P15" i="1801" s="1"/>
  <c r="AC15" i="1801" s="1"/>
  <c r="AF14" i="1801"/>
  <c r="AB14" i="1801"/>
  <c r="Q14" i="1801"/>
  <c r="P14" i="1801" s="1"/>
  <c r="AC14" i="1801" s="1"/>
  <c r="O14" i="1801"/>
  <c r="M14" i="1801"/>
  <c r="AF13" i="1801"/>
  <c r="Q13" i="1801"/>
  <c r="AF12" i="1801"/>
  <c r="Q12" i="1801"/>
  <c r="AF11" i="1801"/>
  <c r="AB11" i="1801"/>
  <c r="Q11" i="1801"/>
  <c r="P11" i="1801" s="1"/>
  <c r="AC11" i="1801" s="1"/>
  <c r="O11" i="1801"/>
  <c r="M11" i="1801"/>
  <c r="AF10" i="1801"/>
  <c r="Q10" i="1801"/>
  <c r="M10" i="1801"/>
  <c r="AF9" i="1801"/>
  <c r="AB9" i="1801"/>
  <c r="Q9" i="1801"/>
  <c r="P9" i="1801"/>
  <c r="AC9" i="1801" s="1"/>
  <c r="O9" i="1801"/>
  <c r="M9" i="1801"/>
  <c r="K9" i="1801"/>
  <c r="AF8" i="1801"/>
  <c r="Q8" i="1801"/>
  <c r="AF7" i="1801"/>
  <c r="Q7" i="1801"/>
  <c r="M7" i="1801"/>
  <c r="AF6" i="1801"/>
  <c r="AB6" i="1801"/>
  <c r="Q6" i="1801"/>
  <c r="P6" i="1801"/>
  <c r="AC6" i="1801" s="1"/>
  <c r="O6" i="1801"/>
  <c r="M6" i="1801"/>
  <c r="K6" i="1801"/>
  <c r="AE15" i="1804" l="1"/>
  <c r="AE6" i="1804"/>
  <c r="AE10" i="1804"/>
  <c r="AE17" i="1804"/>
  <c r="AE13" i="1804"/>
  <c r="AE16" i="1804"/>
  <c r="AE12" i="1804"/>
  <c r="AE19" i="1804"/>
  <c r="AE11" i="1804"/>
  <c r="AE14" i="1804"/>
  <c r="AE8" i="1804"/>
  <c r="AE18" i="1804"/>
  <c r="AE20" i="1804"/>
  <c r="AE9" i="1804"/>
  <c r="AE7" i="1804"/>
  <c r="AE21" i="1803"/>
  <c r="AE19" i="1803"/>
  <c r="AE16" i="1803"/>
  <c r="AE10" i="1803"/>
  <c r="AE7" i="1803"/>
  <c r="AE17" i="1803"/>
  <c r="AE14" i="1803"/>
  <c r="AE11" i="1803"/>
  <c r="AE8" i="1803"/>
  <c r="AE9" i="1803"/>
  <c r="AE6" i="1803"/>
  <c r="AE20" i="1803"/>
  <c r="AE15" i="1803"/>
  <c r="AE12" i="1803"/>
  <c r="AE18" i="1803"/>
  <c r="AE13" i="1803"/>
  <c r="AD17" i="1802"/>
  <c r="AD10" i="1802"/>
  <c r="AD8" i="1802"/>
  <c r="AC22" i="1802"/>
  <c r="P22" i="1802"/>
  <c r="AB22" i="1802"/>
  <c r="M22" i="1802"/>
  <c r="AD15" i="1802"/>
  <c r="AD7" i="1802"/>
  <c r="K19" i="1801"/>
  <c r="O17" i="1801"/>
  <c r="M17" i="1801"/>
  <c r="P17" i="1801"/>
  <c r="AC17" i="1801" s="1"/>
  <c r="AB17" i="1801"/>
  <c r="M15" i="1801"/>
  <c r="AB15" i="1801"/>
  <c r="O15" i="1801"/>
  <c r="AD14" i="1801"/>
  <c r="K13" i="1801"/>
  <c r="K22" i="1801" s="1"/>
  <c r="O13" i="1801"/>
  <c r="O12" i="1801"/>
  <c r="K12" i="1801"/>
  <c r="P12" i="1801"/>
  <c r="AC12" i="1801" s="1"/>
  <c r="AD12" i="1801" s="1"/>
  <c r="M12" i="1801"/>
  <c r="O8" i="1801"/>
  <c r="K8" i="1801"/>
  <c r="P8" i="1801"/>
  <c r="AC8" i="1801" s="1"/>
  <c r="AB8" i="1801"/>
  <c r="AD8" i="1801" s="1"/>
  <c r="Q22" i="1801"/>
  <c r="AD11" i="1801"/>
  <c r="AD9" i="1801"/>
  <c r="AD15" i="1801"/>
  <c r="AD6" i="1801"/>
  <c r="AD18" i="1801"/>
  <c r="AB7" i="1801"/>
  <c r="AB10" i="1801"/>
  <c r="O7" i="1801"/>
  <c r="O10" i="1801"/>
  <c r="M13" i="1801"/>
  <c r="AB13" i="1801"/>
  <c r="AD13" i="1801" s="1"/>
  <c r="M18" i="1801"/>
  <c r="O19" i="1801"/>
  <c r="P20" i="1801"/>
  <c r="AC20" i="1801" s="1"/>
  <c r="AD20" i="1801" s="1"/>
  <c r="L22" i="1801"/>
  <c r="O22" i="1801" s="1"/>
  <c r="P7" i="1801"/>
  <c r="AC7" i="1801" s="1"/>
  <c r="P10" i="1801"/>
  <c r="AC10" i="1801" s="1"/>
  <c r="P19" i="1801"/>
  <c r="AC19" i="1801" s="1"/>
  <c r="AD19" i="1801" s="1"/>
  <c r="M19" i="1801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800"/>
  <c r="P20" i="1800" s="1"/>
  <c r="AC20" i="1800" s="1"/>
  <c r="L19" i="1800"/>
  <c r="O19" i="1800" s="1"/>
  <c r="L18" i="1800"/>
  <c r="P18" i="1800" s="1"/>
  <c r="AC18" i="1800" s="1"/>
  <c r="K18" i="1800"/>
  <c r="L17" i="1800"/>
  <c r="K17" i="1800" s="1"/>
  <c r="L13" i="1800"/>
  <c r="K13" i="1800" s="1"/>
  <c r="L12" i="1800"/>
  <c r="L11" i="1800"/>
  <c r="O11" i="1800" s="1"/>
  <c r="K11" i="1800"/>
  <c r="L10" i="1800"/>
  <c r="AB10" i="1800" s="1"/>
  <c r="L8" i="1800"/>
  <c r="K8" i="1800" s="1"/>
  <c r="L7" i="1800"/>
  <c r="K7" i="1800"/>
  <c r="K20" i="1800"/>
  <c r="K19" i="1800"/>
  <c r="K14" i="1800"/>
  <c r="K12" i="1800"/>
  <c r="A79" i="1800"/>
  <c r="A80" i="1800" s="1"/>
  <c r="A81" i="1800" s="1"/>
  <c r="A82" i="1800" s="1"/>
  <c r="A78" i="1800"/>
  <c r="A77" i="1800"/>
  <c r="AF61" i="1800"/>
  <c r="AF60" i="1800"/>
  <c r="AF63" i="1800" s="1"/>
  <c r="AA22" i="1800"/>
  <c r="Z22" i="1800"/>
  <c r="Y22" i="1800"/>
  <c r="X22" i="1800"/>
  <c r="W22" i="1800"/>
  <c r="V22" i="1800"/>
  <c r="U22" i="1800"/>
  <c r="T22" i="1800"/>
  <c r="S22" i="1800"/>
  <c r="R22" i="1800"/>
  <c r="N22" i="1800"/>
  <c r="J22" i="1800"/>
  <c r="I22" i="1800"/>
  <c r="AF21" i="1800"/>
  <c r="AB21" i="1800"/>
  <c r="Q21" i="1800"/>
  <c r="P21" i="1800"/>
  <c r="AC21" i="1800" s="1"/>
  <c r="AD21" i="1800" s="1"/>
  <c r="O21" i="1800"/>
  <c r="M21" i="1800"/>
  <c r="K21" i="1800"/>
  <c r="AF20" i="1800"/>
  <c r="Q20" i="1800"/>
  <c r="O20" i="1800"/>
  <c r="AF19" i="1800"/>
  <c r="Q19" i="1800"/>
  <c r="AB19" i="1800"/>
  <c r="AF18" i="1800"/>
  <c r="AB18" i="1800"/>
  <c r="Q18" i="1800"/>
  <c r="O18" i="1800"/>
  <c r="M18" i="1800"/>
  <c r="AF17" i="1800"/>
  <c r="Q17" i="1800"/>
  <c r="P17" i="1800"/>
  <c r="AC17" i="1800" s="1"/>
  <c r="AF16" i="1800"/>
  <c r="AB16" i="1800"/>
  <c r="Q16" i="1800"/>
  <c r="P16" i="1800"/>
  <c r="AC16" i="1800" s="1"/>
  <c r="O16" i="1800"/>
  <c r="M16" i="1800"/>
  <c r="K16" i="1800"/>
  <c r="AF15" i="1800"/>
  <c r="AB15" i="1800"/>
  <c r="Q15" i="1800"/>
  <c r="P15" i="1800"/>
  <c r="AC15" i="1800" s="1"/>
  <c r="AD15" i="1800" s="1"/>
  <c r="O15" i="1800"/>
  <c r="M15" i="1800"/>
  <c r="K15" i="1800"/>
  <c r="AF14" i="1800"/>
  <c r="AB14" i="1800"/>
  <c r="Q14" i="1800"/>
  <c r="P14" i="1800"/>
  <c r="AC14" i="1800" s="1"/>
  <c r="AD14" i="1800" s="1"/>
  <c r="O14" i="1800"/>
  <c r="M14" i="1800"/>
  <c r="AF13" i="1800"/>
  <c r="Q13" i="1800"/>
  <c r="AF12" i="1800"/>
  <c r="Q12" i="1800"/>
  <c r="P12" i="1800" s="1"/>
  <c r="AC12" i="1800" s="1"/>
  <c r="O12" i="1800"/>
  <c r="AF11" i="1800"/>
  <c r="AB11" i="1800"/>
  <c r="Q11" i="1800"/>
  <c r="P11" i="1800"/>
  <c r="AC11" i="1800" s="1"/>
  <c r="M11" i="1800"/>
  <c r="AF10" i="1800"/>
  <c r="Q10" i="1800"/>
  <c r="O10" i="1800"/>
  <c r="AF9" i="1800"/>
  <c r="AB9" i="1800"/>
  <c r="Q9" i="1800"/>
  <c r="P9" i="1800"/>
  <c r="AC9" i="1800" s="1"/>
  <c r="AD9" i="1800" s="1"/>
  <c r="O9" i="1800"/>
  <c r="M9" i="1800"/>
  <c r="K9" i="1800"/>
  <c r="AF8" i="1800"/>
  <c r="Q8" i="1800"/>
  <c r="P8" i="1800"/>
  <c r="AC8" i="1800" s="1"/>
  <c r="AF7" i="1800"/>
  <c r="AB7" i="1800"/>
  <c r="Q7" i="1800"/>
  <c r="O7" i="1800"/>
  <c r="M7" i="1800"/>
  <c r="AF6" i="1800"/>
  <c r="AC6" i="1800"/>
  <c r="AB6" i="1800"/>
  <c r="Q6" i="1800"/>
  <c r="P6" i="1800"/>
  <c r="O6" i="1800"/>
  <c r="M6" i="1800"/>
  <c r="K6" i="1800"/>
  <c r="AD22" i="1802" l="1"/>
  <c r="AE18" i="1802" s="1"/>
  <c r="AD17" i="1801"/>
  <c r="M22" i="1801"/>
  <c r="AB22" i="1801"/>
  <c r="AD7" i="1801"/>
  <c r="AD10" i="1801"/>
  <c r="P22" i="1801"/>
  <c r="AC22" i="1801"/>
  <c r="AD18" i="1800"/>
  <c r="P13" i="1800"/>
  <c r="AC13" i="1800" s="1"/>
  <c r="P10" i="1800"/>
  <c r="AC10" i="1800" s="1"/>
  <c r="AD10" i="1800" s="1"/>
  <c r="K10" i="1800"/>
  <c r="M10" i="1800"/>
  <c r="Q22" i="1800"/>
  <c r="P7" i="1800"/>
  <c r="AC7" i="1800" s="1"/>
  <c r="AD7" i="1800" s="1"/>
  <c r="AD11" i="1800"/>
  <c r="AD16" i="1800"/>
  <c r="AB8" i="1800"/>
  <c r="M13" i="1800"/>
  <c r="L22" i="1800"/>
  <c r="O22" i="1800" s="1"/>
  <c r="AD6" i="1800"/>
  <c r="O8" i="1800"/>
  <c r="M12" i="1800"/>
  <c r="AB12" i="1800"/>
  <c r="AD12" i="1800" s="1"/>
  <c r="O13" i="1800"/>
  <c r="M17" i="1800"/>
  <c r="AB17" i="1800"/>
  <c r="AD17" i="1800" s="1"/>
  <c r="P19" i="1800"/>
  <c r="AC19" i="1800" s="1"/>
  <c r="AD19" i="1800" s="1"/>
  <c r="M8" i="1800"/>
  <c r="AB13" i="1800"/>
  <c r="K22" i="1800"/>
  <c r="O17" i="1800"/>
  <c r="M20" i="1800"/>
  <c r="AB20" i="1800"/>
  <c r="AD20" i="1800" s="1"/>
  <c r="M19" i="1800"/>
  <c r="L20" i="1799"/>
  <c r="L19" i="1799"/>
  <c r="K19" i="1799" s="1"/>
  <c r="L18" i="1799"/>
  <c r="K18" i="1799"/>
  <c r="L17" i="1799"/>
  <c r="K17" i="1799" s="1"/>
  <c r="K14" i="1799"/>
  <c r="L13" i="1799"/>
  <c r="L12" i="1799"/>
  <c r="K12" i="1799" s="1"/>
  <c r="L8" i="1799"/>
  <c r="K21" i="1799"/>
  <c r="K20" i="1799"/>
  <c r="K13" i="1799"/>
  <c r="K11" i="1799"/>
  <c r="K8" i="1799"/>
  <c r="AE7" i="1802" l="1"/>
  <c r="AE21" i="1802"/>
  <c r="AE9" i="1802"/>
  <c r="AE13" i="1802"/>
  <c r="AE20" i="1802"/>
  <c r="AE8" i="1802"/>
  <c r="AE11" i="1802"/>
  <c r="AE6" i="1802"/>
  <c r="AE14" i="1802"/>
  <c r="AE15" i="1802"/>
  <c r="AE16" i="1802"/>
  <c r="AE12" i="1802"/>
  <c r="AE17" i="1802"/>
  <c r="AE10" i="1802"/>
  <c r="AE19" i="1802"/>
  <c r="AD22" i="1801"/>
  <c r="AE21" i="1801" s="1"/>
  <c r="AD8" i="1800"/>
  <c r="AD22" i="1800" s="1"/>
  <c r="M22" i="1800"/>
  <c r="AD13" i="1800"/>
  <c r="AB22" i="1800"/>
  <c r="AC22" i="1800"/>
  <c r="P22" i="1800"/>
  <c r="AB13" i="1799"/>
  <c r="K9" i="1799"/>
  <c r="A77" i="1799"/>
  <c r="A78" i="1799" s="1"/>
  <c r="A79" i="1799" s="1"/>
  <c r="A80" i="1799" s="1"/>
  <c r="A81" i="1799" s="1"/>
  <c r="A82" i="1799" s="1"/>
  <c r="AF61" i="1799"/>
  <c r="AF60" i="1799"/>
  <c r="AF63" i="1799" s="1"/>
  <c r="AA22" i="1799"/>
  <c r="Z22" i="1799"/>
  <c r="Y22" i="1799"/>
  <c r="X22" i="1799"/>
  <c r="W22" i="1799"/>
  <c r="V22" i="1799"/>
  <c r="U22" i="1799"/>
  <c r="T22" i="1799"/>
  <c r="S22" i="1799"/>
  <c r="R22" i="1799"/>
  <c r="N22" i="1799"/>
  <c r="J22" i="1799"/>
  <c r="I22" i="1799"/>
  <c r="AF21" i="1799"/>
  <c r="AB21" i="1799"/>
  <c r="Q21" i="1799"/>
  <c r="M21" i="1799"/>
  <c r="O21" i="1799"/>
  <c r="AF20" i="1799"/>
  <c r="Q20" i="1799"/>
  <c r="O20" i="1799"/>
  <c r="P20" i="1799"/>
  <c r="AC20" i="1799" s="1"/>
  <c r="AF19" i="1799"/>
  <c r="Q19" i="1799"/>
  <c r="P19" i="1799" s="1"/>
  <c r="AC19" i="1799" s="1"/>
  <c r="O19" i="1799"/>
  <c r="AF18" i="1799"/>
  <c r="Q18" i="1799"/>
  <c r="AB18" i="1799"/>
  <c r="AF17" i="1799"/>
  <c r="Q17" i="1799"/>
  <c r="AF16" i="1799"/>
  <c r="AC16" i="1799"/>
  <c r="AB16" i="1799"/>
  <c r="Q16" i="1799"/>
  <c r="P16" i="1799"/>
  <c r="O16" i="1799"/>
  <c r="M16" i="1799"/>
  <c r="K16" i="1799"/>
  <c r="AF15" i="1799"/>
  <c r="AC15" i="1799"/>
  <c r="AB15" i="1799"/>
  <c r="Q15" i="1799"/>
  <c r="P15" i="1799"/>
  <c r="O15" i="1799"/>
  <c r="M15" i="1799"/>
  <c r="K15" i="1799"/>
  <c r="AF14" i="1799"/>
  <c r="Q14" i="1799"/>
  <c r="P14" i="1799" s="1"/>
  <c r="AC14" i="1799" s="1"/>
  <c r="O14" i="1799"/>
  <c r="AF13" i="1799"/>
  <c r="Q13" i="1799"/>
  <c r="P13" i="1799"/>
  <c r="AC13" i="1799" s="1"/>
  <c r="O13" i="1799"/>
  <c r="AF12" i="1799"/>
  <c r="Q12" i="1799"/>
  <c r="AB12" i="1799"/>
  <c r="AF11" i="1799"/>
  <c r="AB11" i="1799"/>
  <c r="Q11" i="1799"/>
  <c r="P11" i="1799" s="1"/>
  <c r="AC11" i="1799" s="1"/>
  <c r="O11" i="1799"/>
  <c r="M11" i="1799"/>
  <c r="AF10" i="1799"/>
  <c r="AB10" i="1799"/>
  <c r="Q10" i="1799"/>
  <c r="P10" i="1799"/>
  <c r="AC10" i="1799" s="1"/>
  <c r="O10" i="1799"/>
  <c r="M10" i="1799"/>
  <c r="K10" i="1799"/>
  <c r="AF9" i="1799"/>
  <c r="AB9" i="1799"/>
  <c r="Q9" i="1799"/>
  <c r="P9" i="1799"/>
  <c r="AC9" i="1799" s="1"/>
  <c r="M9" i="1799"/>
  <c r="O9" i="1799"/>
  <c r="AF8" i="1799"/>
  <c r="Q8" i="1799"/>
  <c r="AF7" i="1799"/>
  <c r="AB7" i="1799"/>
  <c r="Q7" i="1799"/>
  <c r="P7" i="1799"/>
  <c r="AC7" i="1799" s="1"/>
  <c r="AD7" i="1799" s="1"/>
  <c r="O7" i="1799"/>
  <c r="M7" i="1799"/>
  <c r="K7" i="1799"/>
  <c r="AF6" i="1799"/>
  <c r="AB6" i="1799"/>
  <c r="Q6" i="1799"/>
  <c r="P6" i="1799"/>
  <c r="AC6" i="1799" s="1"/>
  <c r="O6" i="1799"/>
  <c r="M6" i="1799"/>
  <c r="K6" i="1799"/>
  <c r="AE19" i="1801" l="1"/>
  <c r="AE8" i="1801"/>
  <c r="AE20" i="1801"/>
  <c r="AE13" i="1801"/>
  <c r="AE12" i="1801"/>
  <c r="AE11" i="1801"/>
  <c r="AE7" i="1801"/>
  <c r="AE15" i="1801"/>
  <c r="AE17" i="1801"/>
  <c r="AE14" i="1801"/>
  <c r="AE6" i="1801"/>
  <c r="AE18" i="1801"/>
  <c r="AE10" i="1801"/>
  <c r="AE16" i="1801"/>
  <c r="AE9" i="1801"/>
  <c r="AE21" i="1800"/>
  <c r="AE18" i="1800"/>
  <c r="AE15" i="1800"/>
  <c r="AE10" i="1800"/>
  <c r="AE19" i="1800"/>
  <c r="AE6" i="1800"/>
  <c r="AE12" i="1800"/>
  <c r="AE20" i="1800"/>
  <c r="AE16" i="1800"/>
  <c r="AE14" i="1800"/>
  <c r="AE11" i="1800"/>
  <c r="AE9" i="1800"/>
  <c r="AE17" i="1800"/>
  <c r="AE7" i="1800"/>
  <c r="AE13" i="1800"/>
  <c r="AE8" i="1800"/>
  <c r="AD15" i="1799"/>
  <c r="P21" i="1799"/>
  <c r="AC21" i="1799" s="1"/>
  <c r="AD21" i="1799" s="1"/>
  <c r="M19" i="1799"/>
  <c r="AB19" i="1799"/>
  <c r="AD19" i="1799" s="1"/>
  <c r="O17" i="1799"/>
  <c r="AB17" i="1799"/>
  <c r="P17" i="1799"/>
  <c r="AC17" i="1799" s="1"/>
  <c r="M17" i="1799"/>
  <c r="M13" i="1799"/>
  <c r="Q22" i="1799"/>
  <c r="P8" i="1799"/>
  <c r="AC8" i="1799" s="1"/>
  <c r="AD10" i="1799"/>
  <c r="AD13" i="1799"/>
  <c r="AD16" i="1799"/>
  <c r="AD11" i="1799"/>
  <c r="AD6" i="1799"/>
  <c r="AD9" i="1799"/>
  <c r="O12" i="1799"/>
  <c r="O18" i="1799"/>
  <c r="L22" i="1799"/>
  <c r="O22" i="1799" s="1"/>
  <c r="M8" i="1799"/>
  <c r="AB8" i="1799"/>
  <c r="P12" i="1799"/>
  <c r="AC12" i="1799" s="1"/>
  <c r="M14" i="1799"/>
  <c r="AB14" i="1799"/>
  <c r="AD14" i="1799" s="1"/>
  <c r="P18" i="1799"/>
  <c r="AC18" i="1799" s="1"/>
  <c r="M20" i="1799"/>
  <c r="AB20" i="1799"/>
  <c r="AD20" i="1799" s="1"/>
  <c r="O8" i="1799"/>
  <c r="K22" i="1799"/>
  <c r="M12" i="1799"/>
  <c r="M18" i="1799"/>
  <c r="AD17" i="1799" l="1"/>
  <c r="AD8" i="1799"/>
  <c r="AC22" i="1799"/>
  <c r="M22" i="1799"/>
  <c r="AD18" i="1799"/>
  <c r="AD12" i="1799"/>
  <c r="P22" i="1799"/>
  <c r="AB22" i="1799"/>
  <c r="AD22" i="1799" l="1"/>
  <c r="AE17" i="1799" l="1"/>
  <c r="AE21" i="1799"/>
  <c r="AE8" i="1799"/>
  <c r="AE19" i="1799"/>
  <c r="AE12" i="1799"/>
  <c r="AE20" i="1799"/>
  <c r="AE6" i="1799"/>
  <c r="AE7" i="1799"/>
  <c r="AE9" i="1799"/>
  <c r="AE14" i="1799"/>
  <c r="AE10" i="1799"/>
  <c r="AE15" i="1799"/>
  <c r="AE11" i="1799"/>
  <c r="AE16" i="1799"/>
  <c r="AE13" i="1799"/>
  <c r="AE18" i="1799"/>
  <c r="AG18" i="16" l="1"/>
  <c r="AG17" i="16"/>
  <c r="AG16" i="16"/>
  <c r="AG12" i="16"/>
  <c r="AG13" i="16"/>
  <c r="AG11" i="16"/>
  <c r="AG9" i="16"/>
  <c r="AG8" i="16"/>
  <c r="AG7" i="16"/>
  <c r="AG6" i="16"/>
  <c r="AG5" i="16"/>
  <c r="AG3" i="16"/>
  <c r="AG19" i="16"/>
  <c r="AG15" i="16"/>
  <c r="AG14" i="16"/>
  <c r="AG10" i="16"/>
  <c r="AG4" i="16"/>
</calcChain>
</file>

<file path=xl/sharedStrings.xml><?xml version="1.0" encoding="utf-8"?>
<sst xmlns="http://schemas.openxmlformats.org/spreadsheetml/2006/main" count="5090" uniqueCount="496">
  <si>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</si>
  <si>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</si>
  <si>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</si>
  <si>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</si>
  <si>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</si>
  <si>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</si>
  <si>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</si>
  <si>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</si>
  <si>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</si>
  <si>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</si>
  <si>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</si>
  <si>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</si>
  <si>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</si>
  <si>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</si>
  <si>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</si>
  <si>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</si>
  <si>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</si>
  <si>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</si>
  <si>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</si>
  <si>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</si>
  <si>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</si>
  <si>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</si>
  <si>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</si>
  <si>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</si>
  <si>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</si>
  <si>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</si>
  <si>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</si>
  <si>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</si>
  <si>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</si>
  <si>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</si>
  <si>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</si>
  <si>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</si>
  <si>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</si>
  <si>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</si>
  <si>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</si>
  <si>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</si>
  <si>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</si>
  <si>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</si>
  <si>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</si>
  <si>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</si>
  <si>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</si>
  <si>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</si>
  <si>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</si>
  <si>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</si>
  <si>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</si>
  <si>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</si>
  <si>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</si>
  <si>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</si>
  <si>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</si>
  <si>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</si>
  <si>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</si>
  <si>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</si>
  <si>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</si>
  <si>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</si>
  <si>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</si>
  <si>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</si>
  <si>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</si>
  <si>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</si>
  <si>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</si>
  <si>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</si>
  <si>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</si>
  <si>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</si>
  <si>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</si>
  <si>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</si>
  <si>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</si>
  <si>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</si>
  <si>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</si>
  <si>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</si>
  <si>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</si>
  <si>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</si>
  <si>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</si>
  <si>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</si>
  <si>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</si>
  <si>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</si>
  <si>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</si>
  <si>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</si>
  <si>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</si>
  <si>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</si>
  <si>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</si>
  <si>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</si>
  <si>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</si>
  <si>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</si>
  <si>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</si>
  <si>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</si>
  <si>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</si>
  <si>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</si>
  <si>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</si>
  <si>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</si>
  <si>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</si>
  <si>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</si>
  <si>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</si>
  <si>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</si>
  <si>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</si>
  <si>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</si>
  <si>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</si>
  <si>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</si>
  <si>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</si>
  <si>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</si>
  <si>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</si>
  <si>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</si>
  <si>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</si>
  <si>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</si>
  <si>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</si>
  <si>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</si>
  <si>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</si>
  <si>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</si>
  <si>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</si>
  <si>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</si>
  <si>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</si>
  <si>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</si>
  <si>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</si>
  <si>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</si>
  <si>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</si>
  <si>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</si>
  <si>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</si>
  <si>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</si>
  <si>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AMB0114H-JAA-R1</t>
    <phoneticPr fontId="2" type="noConversion"/>
  </si>
  <si>
    <t>BODY</t>
    <phoneticPr fontId="2" type="noConversion"/>
  </si>
  <si>
    <t>SGF2033</t>
    <phoneticPr fontId="2" type="noConversion"/>
  </si>
  <si>
    <t>SST</t>
    <phoneticPr fontId="2" type="noConversion"/>
  </si>
  <si>
    <t>HICON</t>
    <phoneticPr fontId="2" type="noConversion"/>
  </si>
  <si>
    <t>가스</t>
    <phoneticPr fontId="2" type="noConversion"/>
  </si>
  <si>
    <t>AYE</t>
    <phoneticPr fontId="2" type="noConversion"/>
  </si>
  <si>
    <t>SGF2041</t>
    <phoneticPr fontId="2" type="noConversion"/>
  </si>
  <si>
    <t>14호기</t>
    <phoneticPr fontId="2" type="noConversion"/>
  </si>
  <si>
    <t>15호기</t>
    <phoneticPr fontId="2" type="noConversion"/>
  </si>
  <si>
    <t>16호기</t>
    <phoneticPr fontId="2" type="noConversion"/>
  </si>
  <si>
    <t>SF2255 I/V</t>
    <phoneticPr fontId="2" type="noConversion"/>
  </si>
  <si>
    <t>ADAPTER</t>
    <phoneticPr fontId="2" type="noConversion"/>
  </si>
  <si>
    <t>7301</t>
    <phoneticPr fontId="2" type="noConversion"/>
  </si>
  <si>
    <t>LEAD GUIDE</t>
    <phoneticPr fontId="2" type="noConversion"/>
  </si>
  <si>
    <t>STOPPER</t>
    <phoneticPr fontId="2" type="noConversion"/>
  </si>
  <si>
    <t>수리후양산</t>
    <phoneticPr fontId="2" type="noConversion"/>
  </si>
  <si>
    <t>수정</t>
    <phoneticPr fontId="2" type="noConversion"/>
  </si>
  <si>
    <t>HDB08NL-78T4</t>
    <phoneticPr fontId="2" type="noConversion"/>
  </si>
  <si>
    <t>HDB08NL-78B1</t>
    <phoneticPr fontId="2" type="noConversion"/>
  </si>
  <si>
    <t>HDB08NL-78L5</t>
    <phoneticPr fontId="2" type="noConversion"/>
  </si>
  <si>
    <t>AMM0890A-KAD-R1</t>
    <phoneticPr fontId="2" type="noConversion"/>
  </si>
  <si>
    <t>COVER</t>
    <phoneticPr fontId="2" type="noConversion"/>
  </si>
  <si>
    <t>K-JR01936-C01AWA</t>
    <phoneticPr fontId="2" type="noConversion"/>
  </si>
  <si>
    <t>SGF2030</t>
    <phoneticPr fontId="2" type="noConversion"/>
  </si>
  <si>
    <t>7</t>
    <phoneticPr fontId="2" type="noConversion"/>
  </si>
  <si>
    <t>품  명</t>
    <phoneticPr fontId="2" type="noConversion"/>
  </si>
  <si>
    <t>형체이상</t>
    <phoneticPr fontId="2" type="noConversion"/>
  </si>
  <si>
    <t>엥겔</t>
    <phoneticPr fontId="2" type="noConversion"/>
  </si>
  <si>
    <t>드라이버 교체</t>
    <phoneticPr fontId="2" type="noConversion"/>
  </si>
  <si>
    <t>수리예정</t>
    <phoneticPr fontId="2" type="noConversion"/>
  </si>
  <si>
    <t>2</t>
    <phoneticPr fontId="2" type="noConversion"/>
  </si>
  <si>
    <t>발주분양산</t>
    <phoneticPr fontId="2" type="noConversion"/>
  </si>
  <si>
    <t>13</t>
    <phoneticPr fontId="2" type="noConversion"/>
  </si>
  <si>
    <t>1</t>
    <phoneticPr fontId="2" type="noConversion"/>
  </si>
  <si>
    <t>9</t>
    <phoneticPr fontId="2" type="noConversion"/>
  </si>
  <si>
    <t>HDB08NL-78B1(2차)</t>
    <phoneticPr fontId="2" type="noConversion"/>
  </si>
  <si>
    <t>전일 ISSUE 사항(03일)</t>
    <phoneticPr fontId="2" type="noConversion"/>
  </si>
  <si>
    <t>발주분양산-&gt;오조립</t>
    <phoneticPr fontId="2" type="noConversion"/>
  </si>
  <si>
    <t>당일 진행 사항(04일)</t>
    <phoneticPr fontId="2" type="noConversion"/>
  </si>
  <si>
    <t>SAMPLE 진행 사항(03일)</t>
    <phoneticPr fontId="2" type="noConversion"/>
  </si>
  <si>
    <t>K-AR3462-2B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</si>
  <si>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</si>
  <si>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</si>
  <si>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t>SLIDER</t>
    <phoneticPr fontId="2" type="noConversion"/>
  </si>
  <si>
    <t>SGF2030 N/P</t>
    <phoneticPr fontId="2" type="noConversion"/>
  </si>
  <si>
    <t>ODT</t>
    <phoneticPr fontId="2" type="noConversion"/>
  </si>
  <si>
    <t>LED A</t>
    <phoneticPr fontId="2" type="noConversion"/>
  </si>
  <si>
    <t>SW-003071</t>
    <phoneticPr fontId="2" type="noConversion"/>
  </si>
  <si>
    <t>NORYL</t>
    <phoneticPr fontId="2" type="noConversion"/>
  </si>
  <si>
    <t>KR6197-GP297QA</t>
    <phoneticPr fontId="2" type="noConversion"/>
  </si>
  <si>
    <t>K-AR3463-1A</t>
    <phoneticPr fontId="2" type="noConversion"/>
  </si>
  <si>
    <t>NP413-254-056#IN-A</t>
    <phoneticPr fontId="2" type="noConversion"/>
  </si>
  <si>
    <t>SGF2041 N/P</t>
    <phoneticPr fontId="2" type="noConversion"/>
  </si>
  <si>
    <t>28P</t>
    <phoneticPr fontId="2" type="noConversion"/>
  </si>
  <si>
    <t>K-JR01887-G01CBA</t>
    <phoneticPr fontId="2" type="noConversion"/>
  </si>
  <si>
    <t>KR6166CB299UA</t>
    <phoneticPr fontId="2" type="noConversion"/>
  </si>
  <si>
    <t>KR6166-F299UA</t>
    <phoneticPr fontId="2" type="noConversion"/>
  </si>
  <si>
    <t>HSF05-M04B1</t>
    <phoneticPr fontId="2" type="noConversion"/>
  </si>
  <si>
    <t>.</t>
    <phoneticPr fontId="2" type="noConversion"/>
  </si>
  <si>
    <t>KR6166-GG200QC</t>
    <phoneticPr fontId="2" type="noConversion"/>
  </si>
  <si>
    <t>AM0148B-K-R2</t>
    <phoneticPr fontId="2" type="noConversion"/>
  </si>
  <si>
    <r>
      <t>2020년 08월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</si>
  <si>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세척후양산-&gt;BURR수리</t>
    <phoneticPr fontId="2" type="noConversion"/>
  </si>
  <si>
    <t>발주분양산-&gt;뜯김-&gt;코아파손수리-&gt;뜯김정지</t>
    <phoneticPr fontId="2" type="noConversion"/>
  </si>
  <si>
    <t>SST</t>
    <phoneticPr fontId="2" type="noConversion"/>
  </si>
  <si>
    <t>14</t>
    <phoneticPr fontId="2" type="noConversion"/>
  </si>
  <si>
    <t>K-AR3462-2B</t>
    <phoneticPr fontId="2" type="noConversion"/>
  </si>
  <si>
    <t>수리후양산</t>
    <phoneticPr fontId="2" type="noConversion"/>
  </si>
  <si>
    <t>AM0148E-K-R2</t>
    <phoneticPr fontId="2" type="noConversion"/>
  </si>
  <si>
    <t>치수NG2회진행</t>
    <phoneticPr fontId="2" type="noConversion"/>
  </si>
  <si>
    <t>08월 호기별 가동현황</t>
    <phoneticPr fontId="2" type="noConversion"/>
  </si>
  <si>
    <r>
      <t>2020년 08월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</si>
  <si>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SGF2033 N/P</t>
    <phoneticPr fontId="2" type="noConversion"/>
  </si>
  <si>
    <t>NP595-352-012#IN</t>
    <phoneticPr fontId="2" type="noConversion"/>
  </si>
  <si>
    <t>SGP2030R</t>
    <phoneticPr fontId="2" type="noConversion"/>
  </si>
  <si>
    <t>전일 ISSUE 사항(04일)</t>
    <phoneticPr fontId="2" type="noConversion"/>
  </si>
  <si>
    <t>코아파손수리</t>
    <phoneticPr fontId="2" type="noConversion"/>
  </si>
  <si>
    <t>설비이상정지</t>
    <phoneticPr fontId="2" type="noConversion"/>
  </si>
  <si>
    <t>6</t>
    <phoneticPr fontId="2" type="noConversion"/>
  </si>
  <si>
    <t>8</t>
    <phoneticPr fontId="2" type="noConversion"/>
  </si>
  <si>
    <t>미성형정지</t>
    <phoneticPr fontId="2" type="noConversion"/>
  </si>
  <si>
    <t>당일 진행 사항(05일)</t>
    <phoneticPr fontId="2" type="noConversion"/>
  </si>
  <si>
    <t>HDB08NL-78B1(4C)</t>
    <phoneticPr fontId="2" type="noConversion"/>
  </si>
  <si>
    <t>세척후양산</t>
    <phoneticPr fontId="2" type="noConversion"/>
  </si>
  <si>
    <t>AMM0890A-KAA-R1</t>
    <phoneticPr fontId="2" type="noConversion"/>
  </si>
  <si>
    <t>10</t>
    <phoneticPr fontId="2" type="noConversion"/>
  </si>
  <si>
    <t>NP595-352-012#LB</t>
    <phoneticPr fontId="2" type="noConversion"/>
  </si>
  <si>
    <t>SAMPLE 진행 사항(04일)</t>
    <phoneticPr fontId="2" type="noConversion"/>
  </si>
  <si>
    <t>5</t>
    <phoneticPr fontId="2" type="noConversion"/>
  </si>
  <si>
    <t>수정후양산</t>
    <phoneticPr fontId="2" type="noConversion"/>
  </si>
  <si>
    <t>밀핀높이수리후양산</t>
    <phoneticPr fontId="2" type="noConversion"/>
  </si>
  <si>
    <t>4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</si>
  <si>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</si>
  <si>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</si>
  <si>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2020년 08월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</si>
  <si>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SGP2030R N/P</t>
    <phoneticPr fontId="2" type="noConversion"/>
  </si>
  <si>
    <t>전일 ISSUE 사항(05일)</t>
    <phoneticPr fontId="2" type="noConversion"/>
  </si>
  <si>
    <t>발주분양산-&gt;코아파손정지</t>
    <phoneticPr fontId="2" type="noConversion"/>
  </si>
  <si>
    <t>발주분양산-&gt;미성형정지</t>
    <phoneticPr fontId="2" type="noConversion"/>
  </si>
  <si>
    <t>코아파손-&gt;2CAV 양산</t>
    <phoneticPr fontId="2" type="noConversion"/>
  </si>
  <si>
    <t>밀핀높이2회수리</t>
    <phoneticPr fontId="2" type="noConversion"/>
  </si>
  <si>
    <t>당일 진행 사항(06일)</t>
    <phoneticPr fontId="2" type="noConversion"/>
  </si>
  <si>
    <t>1C수리후양산</t>
    <phoneticPr fontId="2" type="noConversion"/>
  </si>
  <si>
    <t>SAMPLE 진행 사항(05일)</t>
    <phoneticPr fontId="2" type="noConversion"/>
  </si>
  <si>
    <t>HDB08NL-78T4(2차)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</si>
  <si>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</si>
  <si>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</si>
  <si>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2020년 08월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</si>
  <si>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전일 ISSUE 사항(06일)</t>
    <phoneticPr fontId="2" type="noConversion"/>
  </si>
  <si>
    <t>15</t>
    <phoneticPr fontId="2" type="noConversion"/>
  </si>
  <si>
    <t>BURR정지</t>
    <phoneticPr fontId="2" type="noConversion"/>
  </si>
  <si>
    <t>당일 진행 사항(07일)</t>
    <phoneticPr fontId="2" type="noConversion"/>
  </si>
  <si>
    <t>SAMPLE 진행 사항(06일)</t>
    <phoneticPr fontId="2" type="noConversion"/>
  </si>
  <si>
    <t>K-JR01838-KE487WA</t>
    <phoneticPr fontId="2" type="noConversion"/>
  </si>
  <si>
    <t>LATCH</t>
    <phoneticPr fontId="2" type="noConversion"/>
  </si>
  <si>
    <t>신작</t>
    <phoneticPr fontId="2" type="noConversion"/>
  </si>
  <si>
    <t>NP413-77549#IN-B</t>
    <phoneticPr fontId="2" type="noConversion"/>
  </si>
  <si>
    <t>HDBF05-M01B1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</si>
  <si>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</si>
  <si>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</si>
  <si>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2020년 08월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</si>
  <si>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AMB0157C-KAA-R1</t>
    <phoneticPr fontId="2" type="noConversion"/>
  </si>
  <si>
    <t>SF2255</t>
    <phoneticPr fontId="2" type="noConversion"/>
  </si>
  <si>
    <t>K-JR01903-D180ZA</t>
    <phoneticPr fontId="2" type="noConversion"/>
  </si>
  <si>
    <t>SGP2020R</t>
    <phoneticPr fontId="2" type="noConversion"/>
  </si>
  <si>
    <t>전일 ISSUE 사항(07일)</t>
    <phoneticPr fontId="2" type="noConversion"/>
  </si>
  <si>
    <t>당일 진행 사항(08일)</t>
    <phoneticPr fontId="2" type="noConversion"/>
  </si>
  <si>
    <t>AMC1201A-KAA-R1</t>
    <phoneticPr fontId="2" type="noConversion"/>
  </si>
  <si>
    <t>SAMPLE 진행 사항(07일)</t>
    <phoneticPr fontId="2" type="noConversion"/>
  </si>
  <si>
    <t>이관</t>
    <phoneticPr fontId="2" type="noConversion"/>
  </si>
  <si>
    <t>하측박힘</t>
    <phoneticPr fontId="2" type="noConversion"/>
  </si>
  <si>
    <t>HDBF05-M02B1</t>
    <phoneticPr fontId="2" type="noConversion"/>
  </si>
  <si>
    <t>AMB07P2A-KAA-R1</t>
    <phoneticPr fontId="2" type="noConversion"/>
  </si>
  <si>
    <t>12</t>
    <phoneticPr fontId="2" type="noConversion"/>
  </si>
  <si>
    <t>HDB08NL-78T4(3차)</t>
    <phoneticPr fontId="2" type="noConversion"/>
  </si>
  <si>
    <t>K-AR3464-1A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</si>
  <si>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</si>
  <si>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</si>
  <si>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2020년 08월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</si>
  <si>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GN2330</t>
    <phoneticPr fontId="2" type="noConversion"/>
  </si>
  <si>
    <t>전일 ISSUE 사항(08일)</t>
    <phoneticPr fontId="2" type="noConversion"/>
  </si>
  <si>
    <t>발주분양산-&gt;뜯김2회정지</t>
    <phoneticPr fontId="2" type="noConversion"/>
  </si>
  <si>
    <t>KR6166BC299UA</t>
    <phoneticPr fontId="2" type="noConversion"/>
  </si>
  <si>
    <t>발주분양산-&gt;뜯김3회-&gt;오조립</t>
    <phoneticPr fontId="2" type="noConversion"/>
  </si>
  <si>
    <t>당일 진행 사항(10일)</t>
    <phoneticPr fontId="2" type="noConversion"/>
  </si>
  <si>
    <t>SAMPLE 진행 사항(08일)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</si>
  <si>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</si>
  <si>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</si>
  <si>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2020년 08월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</si>
  <si>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AMB0355A-KAA-R2</t>
    <phoneticPr fontId="2" type="noConversion"/>
  </si>
  <si>
    <t>22P</t>
    <phoneticPr fontId="2" type="noConversion"/>
  </si>
  <si>
    <t>전일 ISSUE 사항(10일)</t>
    <phoneticPr fontId="2" type="noConversion"/>
  </si>
  <si>
    <t>수리후양산-&gt;뜯김3회정지</t>
    <phoneticPr fontId="2" type="noConversion"/>
  </si>
  <si>
    <t>AMC0821A-KAA-R1</t>
    <phoneticPr fontId="2" type="noConversion"/>
  </si>
  <si>
    <t>발주분양산-&gt;게이트파손정지</t>
    <phoneticPr fontId="2" type="noConversion"/>
  </si>
  <si>
    <t>수리후양산-&gt;단차수리</t>
    <phoneticPr fontId="2" type="noConversion"/>
  </si>
  <si>
    <t>HDB08NL-78T4(4C)</t>
    <phoneticPr fontId="2" type="noConversion"/>
  </si>
  <si>
    <t>1C파손</t>
    <phoneticPr fontId="2" type="noConversion"/>
  </si>
  <si>
    <t>수정후양산-&gt;BURR정지</t>
    <phoneticPr fontId="2" type="noConversion"/>
  </si>
  <si>
    <t>16</t>
    <phoneticPr fontId="2" type="noConversion"/>
  </si>
  <si>
    <t>당일 진행 사항(11일)</t>
    <phoneticPr fontId="2" type="noConversion"/>
  </si>
  <si>
    <t>SAMPLE 진행 사항(10일)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</si>
  <si>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</si>
  <si>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</si>
  <si>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2020년 08월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</si>
  <si>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전일 ISSUE 사항(11일)</t>
    <phoneticPr fontId="2" type="noConversion"/>
  </si>
  <si>
    <t>수리후양산-&gt;뜯김2회-&gt;코아파손정지</t>
    <phoneticPr fontId="2" type="noConversion"/>
  </si>
  <si>
    <t>수리후양산-&gt;코아파손2회</t>
    <phoneticPr fontId="2" type="noConversion"/>
  </si>
  <si>
    <t>당일 진행 사항(12일)</t>
    <phoneticPr fontId="2" type="noConversion"/>
  </si>
  <si>
    <t>KR6156GA841YA</t>
    <phoneticPr fontId="2" type="noConversion"/>
  </si>
  <si>
    <t>HDB08NL-B1(2차)</t>
    <phoneticPr fontId="2" type="noConversion"/>
  </si>
  <si>
    <t>SAMPLE 진행 사항(11일)</t>
    <phoneticPr fontId="2" type="noConversion"/>
  </si>
  <si>
    <t>K-JR01921-A784AWA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</si>
  <si>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</si>
  <si>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</si>
  <si>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2020년 08월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</si>
  <si>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SGF2050</t>
    <phoneticPr fontId="2" type="noConversion"/>
  </si>
  <si>
    <t>ACTUATOR</t>
    <phoneticPr fontId="2" type="noConversion"/>
  </si>
  <si>
    <t>AMB1932A-KAA-R1</t>
    <phoneticPr fontId="2" type="noConversion"/>
  </si>
  <si>
    <t>전일 ISSUE 사항(12일)</t>
    <phoneticPr fontId="2" type="noConversion"/>
  </si>
  <si>
    <t>수리후양산-&gt;뜯김3회수리</t>
    <phoneticPr fontId="2" type="noConversion"/>
  </si>
  <si>
    <t>발주분양산-&gt;오조립-&gt;BURR</t>
    <phoneticPr fontId="2" type="noConversion"/>
  </si>
  <si>
    <t>당일 진행 사항(13일)</t>
    <phoneticPr fontId="2" type="noConversion"/>
  </si>
  <si>
    <t>016-125-313</t>
    <phoneticPr fontId="2" type="noConversion"/>
  </si>
  <si>
    <t>790F</t>
    <phoneticPr fontId="2" type="noConversion"/>
  </si>
  <si>
    <t>NP628-1056-001#IN-B</t>
    <phoneticPr fontId="2" type="noConversion"/>
  </si>
  <si>
    <t>SAMPLE 진행 사항(12일)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</si>
  <si>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</si>
  <si>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</si>
  <si>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2020년 08월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</si>
  <si>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FLAPPER</t>
    <phoneticPr fontId="2" type="noConversion"/>
  </si>
  <si>
    <t>LG35</t>
    <phoneticPr fontId="2" type="noConversion"/>
  </si>
  <si>
    <t>전일 ISSUE 사항(13일)</t>
    <phoneticPr fontId="2" type="noConversion"/>
  </si>
  <si>
    <t>수리후양산-&gt;코아파손2회정지</t>
    <phoneticPr fontId="2" type="noConversion"/>
  </si>
  <si>
    <t>발주분양산-&gt;코아파손2회수리</t>
    <phoneticPr fontId="2" type="noConversion"/>
  </si>
  <si>
    <t>790 FLAPPER</t>
    <phoneticPr fontId="2" type="noConversion"/>
  </si>
  <si>
    <t>당일 진행 사항(14일)</t>
    <phoneticPr fontId="2" type="noConversion"/>
  </si>
  <si>
    <t>승인후양산</t>
    <phoneticPr fontId="2" type="noConversion"/>
  </si>
  <si>
    <t>HDBF05-M04B1</t>
    <phoneticPr fontId="2" type="noConversion"/>
  </si>
  <si>
    <t>치수확인후양산</t>
    <phoneticPr fontId="2" type="noConversion"/>
  </si>
  <si>
    <t>SAMPLE 진행 사항(13일)</t>
    <phoneticPr fontId="2" type="noConversion"/>
  </si>
  <si>
    <t>SF2250EPR,SGF2041 N/P</t>
    <phoneticPr fontId="2" type="noConversion"/>
  </si>
  <si>
    <t>KR6166-GP200JA</t>
    <phoneticPr fontId="2" type="noConversion"/>
  </si>
  <si>
    <t>BLUE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</si>
  <si>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</si>
  <si>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</si>
  <si>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2020년 08월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</si>
  <si>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CAM</t>
    <phoneticPr fontId="2" type="noConversion"/>
  </si>
  <si>
    <t>JD4901</t>
    <phoneticPr fontId="2" type="noConversion"/>
  </si>
  <si>
    <t>HDB08NL-78B1(1차)</t>
    <phoneticPr fontId="2" type="noConversion"/>
  </si>
  <si>
    <t>전일 ISSUE 사항(14일)</t>
    <phoneticPr fontId="2" type="noConversion"/>
  </si>
  <si>
    <t>수리후양산-&gt;코아파손정지</t>
    <phoneticPr fontId="2" type="noConversion"/>
  </si>
  <si>
    <t>발주분양산-&gt;코아파손수리</t>
    <phoneticPr fontId="2" type="noConversion"/>
  </si>
  <si>
    <t>3107002</t>
    <phoneticPr fontId="2" type="noConversion"/>
  </si>
  <si>
    <t>1C파손 막음</t>
    <phoneticPr fontId="2" type="noConversion"/>
  </si>
  <si>
    <t>코아파손2회수리</t>
    <phoneticPr fontId="2" type="noConversion"/>
  </si>
  <si>
    <t>당일 진행 사항(15일)</t>
    <phoneticPr fontId="2" type="noConversion"/>
  </si>
  <si>
    <t>SAMPLE 진행 사항(14일)</t>
    <phoneticPr fontId="2" type="noConversion"/>
  </si>
  <si>
    <t>내부검토용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</si>
  <si>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</si>
  <si>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</si>
  <si>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2020년 08월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</si>
  <si>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전일 ISSUE 사항(15일)</t>
    <phoneticPr fontId="2" type="noConversion"/>
  </si>
  <si>
    <t>1C파손,1C낙하안됨 막음</t>
    <phoneticPr fontId="2" type="noConversion"/>
  </si>
  <si>
    <t>당일 진행 사항(17일)</t>
    <phoneticPr fontId="2" type="noConversion"/>
  </si>
  <si>
    <t>KR6414-D414PA</t>
    <phoneticPr fontId="2" type="noConversion"/>
  </si>
  <si>
    <t>KR6414-B414UA</t>
    <phoneticPr fontId="2" type="noConversion"/>
  </si>
  <si>
    <t>SAMPLE 진행 사항(15일)</t>
    <phoneticPr fontId="2" type="noConversion"/>
  </si>
  <si>
    <t>SPACER</t>
    <phoneticPr fontId="2" type="noConversion"/>
  </si>
  <si>
    <t>KR6408-JA044QA</t>
    <phoneticPr fontId="2" type="noConversion"/>
  </si>
  <si>
    <t>G1300H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</si>
  <si>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</si>
  <si>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</si>
  <si>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2020년 08월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</si>
  <si>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전일 ISSUE 사항(17일)</t>
    <phoneticPr fontId="2" type="noConversion"/>
  </si>
  <si>
    <t>발주분양산-&gt;코아파손2회정지</t>
    <phoneticPr fontId="2" type="noConversion"/>
  </si>
  <si>
    <t>당일 진행 사항(18일)</t>
    <phoneticPr fontId="2" type="noConversion"/>
  </si>
  <si>
    <t>HOLDER</t>
    <phoneticPr fontId="2" type="noConversion"/>
  </si>
  <si>
    <t>SW-003229</t>
    <phoneticPr fontId="2" type="noConversion"/>
  </si>
  <si>
    <t>2C CONN</t>
    <phoneticPr fontId="2" type="noConversion"/>
  </si>
  <si>
    <t>SAMPLE 진행 사항(17일)</t>
    <phoneticPr fontId="2" type="noConversion"/>
  </si>
  <si>
    <t>KR6197-GR254PNA</t>
    <phoneticPr fontId="2" type="noConversion"/>
  </si>
  <si>
    <t>SF2250EPR I/V</t>
    <phoneticPr fontId="2" type="noConversion"/>
  </si>
  <si>
    <t>옵션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</si>
  <si>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</si>
  <si>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</si>
  <si>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2020년 08월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</si>
  <si>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INNER</t>
    <phoneticPr fontId="2" type="noConversion"/>
  </si>
  <si>
    <t>SW-003353</t>
    <phoneticPr fontId="2" type="noConversion"/>
  </si>
  <si>
    <t>PC투명</t>
    <phoneticPr fontId="2" type="noConversion"/>
  </si>
  <si>
    <t>PC B/K</t>
    <phoneticPr fontId="2" type="noConversion"/>
  </si>
  <si>
    <t>전일 ISSUE 사항(18일)</t>
    <phoneticPr fontId="2" type="noConversion"/>
  </si>
  <si>
    <t>수리후양산-&gt;코아파손3회정지</t>
    <phoneticPr fontId="2" type="noConversion"/>
  </si>
  <si>
    <t>수리후양산-&gt;뜯김3회-&gt;오조립정지</t>
    <phoneticPr fontId="2" type="noConversion"/>
  </si>
  <si>
    <t>당일 진행 사항(19일)</t>
    <phoneticPr fontId="2" type="noConversion"/>
  </si>
  <si>
    <t>SAMPLE 진행 사항(18일)</t>
    <phoneticPr fontId="2" type="noConversion"/>
  </si>
  <si>
    <t>HDB08PL-96L5(4C)</t>
    <phoneticPr fontId="2" type="noConversion"/>
  </si>
  <si>
    <t>HDB08PL-96T4(4C)</t>
    <phoneticPr fontId="2" type="noConversion"/>
  </si>
  <si>
    <t>HDB08PL-96S2(4C)</t>
    <phoneticPr fontId="2" type="noConversion"/>
  </si>
  <si>
    <t>HDB08PL-96B1(4C)</t>
    <phoneticPr fontId="2" type="noConversion"/>
  </si>
  <si>
    <t>4C</t>
    <phoneticPr fontId="2" type="noConversion"/>
  </si>
  <si>
    <t>오조립</t>
    <phoneticPr fontId="2" type="noConversion"/>
  </si>
  <si>
    <t>칼퀴수리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</si>
  <si>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</si>
  <si>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</si>
  <si>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2020년 08월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</si>
  <si>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전일 ISSUE 사항(19일)</t>
    <phoneticPr fontId="2" type="noConversion"/>
  </si>
  <si>
    <t>수리후양산-&gt;코아파손2회수리</t>
    <phoneticPr fontId="2" type="noConversion"/>
  </si>
  <si>
    <t>수리후양산-&gt;형상이상수리</t>
    <phoneticPr fontId="2" type="noConversion"/>
  </si>
  <si>
    <t>당일 진행 사항(20일)</t>
    <phoneticPr fontId="2" type="noConversion"/>
  </si>
  <si>
    <t>KR6070CC180TC</t>
    <phoneticPr fontId="2" type="noConversion"/>
  </si>
  <si>
    <t>KR6070-B180UB</t>
    <phoneticPr fontId="2" type="noConversion"/>
  </si>
  <si>
    <t>SAMPLE 진행 사항(19일)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</si>
  <si>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</si>
  <si>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</si>
  <si>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2020년 08월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</si>
  <si>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AMM0890A-KAC-R1</t>
    <phoneticPr fontId="2" type="noConversion"/>
  </si>
  <si>
    <t>전일 ISSUE 사항(20일)</t>
    <phoneticPr fontId="2" type="noConversion"/>
  </si>
  <si>
    <t>슬라이드이상정지</t>
    <phoneticPr fontId="2" type="noConversion"/>
  </si>
  <si>
    <t>발주분양산-&gt;제품눌림 수리</t>
    <phoneticPr fontId="2" type="noConversion"/>
  </si>
  <si>
    <t>당일 진행 사항(21일)</t>
    <phoneticPr fontId="2" type="noConversion"/>
  </si>
  <si>
    <t>원재료입고양산</t>
    <phoneticPr fontId="2" type="noConversion"/>
  </si>
  <si>
    <t>KR6150-C106TB</t>
    <phoneticPr fontId="2" type="noConversion"/>
  </si>
  <si>
    <t>SAMPLE 진행 사항(20일)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</si>
  <si>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</si>
  <si>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</si>
  <si>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2020년 08월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</si>
  <si>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전일 ISSUE 사항(21일)</t>
    <phoneticPr fontId="2" type="noConversion"/>
  </si>
  <si>
    <t>게이트막힘정지</t>
    <phoneticPr fontId="2" type="noConversion"/>
  </si>
  <si>
    <t>코아파손3회정지</t>
    <phoneticPr fontId="2" type="noConversion"/>
  </si>
  <si>
    <t>당일 진행 사항(22일)</t>
    <phoneticPr fontId="2" type="noConversion"/>
  </si>
  <si>
    <t>K-JR01920-C01AWA</t>
    <phoneticPr fontId="2" type="noConversion"/>
  </si>
  <si>
    <t>3</t>
    <phoneticPr fontId="2" type="noConversion"/>
  </si>
  <si>
    <t>SAMPLE 진행 사항(21일)</t>
    <phoneticPr fontId="2" type="noConversion"/>
  </si>
  <si>
    <t>HSF05-M04B1(증)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</si>
  <si>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</si>
  <si>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</si>
  <si>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2020년 08월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</si>
  <si>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KR6197-GR254PNB</t>
    <phoneticPr fontId="2" type="noConversion"/>
  </si>
  <si>
    <t>AMM0899A-KAD-R1</t>
    <phoneticPr fontId="2" type="noConversion"/>
  </si>
  <si>
    <t>K-JR01920-B414AZB</t>
    <phoneticPr fontId="2" type="noConversion"/>
  </si>
  <si>
    <t>전일 ISSUE 사항(24일)</t>
    <phoneticPr fontId="2" type="noConversion"/>
  </si>
  <si>
    <t>발주분양산-&gt;가이드 박힘정지</t>
    <phoneticPr fontId="2" type="noConversion"/>
  </si>
  <si>
    <t>발주분양산-&gt;밀핀이상수리-&gt;BURR수리</t>
    <phoneticPr fontId="2" type="noConversion"/>
  </si>
  <si>
    <t>당일 진행 사항(25일)</t>
    <phoneticPr fontId="2" type="noConversion"/>
  </si>
  <si>
    <t>K-JR01920-B414AZA</t>
    <phoneticPr fontId="2" type="noConversion"/>
  </si>
  <si>
    <t>LATCH/ROLLER</t>
    <phoneticPr fontId="2" type="noConversion"/>
  </si>
  <si>
    <t>KR6303-E05TA/ER01</t>
    <phoneticPr fontId="2" type="noConversion"/>
  </si>
  <si>
    <t>SAMPLE 진행 사항(24일)</t>
    <phoneticPr fontId="2" type="noConversion"/>
  </si>
  <si>
    <t>SPACER 1,2</t>
    <phoneticPr fontId="2" type="noConversion"/>
  </si>
  <si>
    <t>AMB39L1C/D-KAA-R1</t>
    <phoneticPr fontId="2" type="noConversion"/>
  </si>
  <si>
    <t>밀핀이상수리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</si>
  <si>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</si>
  <si>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</si>
  <si>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2020년 08월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</si>
  <si>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2*4</t>
    <phoneticPr fontId="2" type="noConversion"/>
  </si>
  <si>
    <t>전일 ISSUE 사항(25일)</t>
    <phoneticPr fontId="2" type="noConversion"/>
  </si>
  <si>
    <t>수리후양산-&gt;가이드 박힘정지</t>
    <phoneticPr fontId="2" type="noConversion"/>
  </si>
  <si>
    <t>런너박힘수리</t>
    <phoneticPr fontId="2" type="noConversion"/>
  </si>
  <si>
    <t>LATCH/RILLER</t>
    <phoneticPr fontId="2" type="noConversion"/>
  </si>
  <si>
    <t>KR6303-E05/ER01TA</t>
    <phoneticPr fontId="2" type="noConversion"/>
  </si>
  <si>
    <t>BURR수리</t>
    <phoneticPr fontId="2" type="noConversion"/>
  </si>
  <si>
    <t>당일 진행 사항(26일)</t>
    <phoneticPr fontId="2" type="noConversion"/>
  </si>
  <si>
    <t>휨정지</t>
    <phoneticPr fontId="2" type="noConversion"/>
  </si>
  <si>
    <t>HDBF05-M01B1(2C)</t>
    <phoneticPr fontId="2" type="noConversion"/>
  </si>
  <si>
    <t>SAMPLE 진행 사항(25일)</t>
    <phoneticPr fontId="2" type="noConversion"/>
  </si>
  <si>
    <t>AMB20E3B-KAA-R1</t>
    <phoneticPr fontId="2" type="noConversion"/>
  </si>
  <si>
    <t>F/A</t>
    <phoneticPr fontId="2" type="noConversion"/>
  </si>
  <si>
    <t>가스,BURR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</si>
  <si>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</si>
  <si>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</si>
  <si>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2020년 08월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</si>
  <si>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AMB0471B-KAA-R1</t>
    <phoneticPr fontId="2" type="noConversion"/>
  </si>
  <si>
    <t>전일 ISSUE 사항(26일)</t>
    <phoneticPr fontId="2" type="noConversion"/>
  </si>
  <si>
    <t>당일 진행 사항(27일)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</si>
  <si>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</si>
  <si>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</si>
  <si>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</si>
  <si>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2020년 08월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</si>
  <si>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AMB20D7A-KAA-R4</t>
    <phoneticPr fontId="2" type="noConversion"/>
  </si>
  <si>
    <t>KR6458BB456CA</t>
    <phoneticPr fontId="2" type="noConversion"/>
  </si>
  <si>
    <t>전일 ISSUE 사항(27일)</t>
    <phoneticPr fontId="2" type="noConversion"/>
  </si>
  <si>
    <t>하측뜯김정지</t>
    <phoneticPr fontId="2" type="noConversion"/>
  </si>
  <si>
    <t>치수확인후양산-&gt;하측뜯김정지</t>
    <phoneticPr fontId="2" type="noConversion"/>
  </si>
  <si>
    <t>발주분양산-&gt;1C뜯김</t>
    <phoneticPr fontId="2" type="noConversion"/>
  </si>
  <si>
    <t>당일 진행 사항(28일)</t>
    <phoneticPr fontId="2" type="noConversion"/>
  </si>
  <si>
    <t>LH-01D2</t>
    <phoneticPr fontId="2" type="noConversion"/>
  </si>
  <si>
    <t>SAMPLE 진행 사항(27일)</t>
    <phoneticPr fontId="2" type="noConversion"/>
  </si>
  <si>
    <t>F/ADAPTER</t>
    <phoneticPr fontId="2" type="noConversion"/>
  </si>
  <si>
    <t>AAM0818D-KAB-R3</t>
    <phoneticPr fontId="2" type="noConversion"/>
  </si>
  <si>
    <t>GN2330,E6807LHF</t>
    <phoneticPr fontId="2" type="noConversion"/>
  </si>
  <si>
    <t>원재료</t>
    <phoneticPr fontId="2" type="noConversion"/>
  </si>
  <si>
    <t>각45EA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</si>
  <si>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</si>
  <si>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</si>
  <si>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2020년 08월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</si>
  <si>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전일 ISSUE 사항(28일)</t>
    <phoneticPr fontId="2" type="noConversion"/>
  </si>
  <si>
    <t>수리후양산-&gt;BURR,코아파손정지</t>
    <phoneticPr fontId="2" type="noConversion"/>
  </si>
  <si>
    <t>당일 진행 사항(31일)</t>
    <phoneticPr fontId="2" type="noConversion"/>
  </si>
  <si>
    <t>KR6166-GD200QC</t>
    <phoneticPr fontId="2" type="noConversion"/>
  </si>
  <si>
    <t>KR6197-D475PA</t>
    <phoneticPr fontId="2" type="noConversion"/>
  </si>
  <si>
    <t>SAMPLE 진행 사항(28일)</t>
    <phoneticPr fontId="2" type="noConversion"/>
  </si>
  <si>
    <t>KR6152-GE130AB</t>
    <phoneticPr fontId="2" type="noConversion"/>
  </si>
  <si>
    <t>요청</t>
    <phoneticPr fontId="2" type="noConversion"/>
  </si>
  <si>
    <t>설비</t>
    <phoneticPr fontId="2" type="noConversion"/>
  </si>
  <si>
    <t>18파이 변경, 코아파손</t>
    <phoneticPr fontId="2" type="noConversion"/>
  </si>
  <si>
    <t>코아파손,BURR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</si>
  <si>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</si>
  <si>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</si>
  <si>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2020년 08월 31일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</si>
  <si>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2C BASE</t>
    <phoneticPr fontId="2" type="noConversion"/>
  </si>
  <si>
    <t>전일 ISSUE 사항(31일)</t>
    <phoneticPr fontId="2" type="noConversion"/>
  </si>
  <si>
    <t>발주분양산-&gt;미성형수리-&gt;코아파손정지</t>
    <phoneticPr fontId="2" type="noConversion"/>
  </si>
  <si>
    <t>수리후양산-&gt;뜯김2회수리</t>
    <phoneticPr fontId="2" type="noConversion"/>
  </si>
  <si>
    <t>코아파손2회정지</t>
    <phoneticPr fontId="2" type="noConversion"/>
  </si>
  <si>
    <t>당일 진행 사항(01일)</t>
    <phoneticPr fontId="2" type="noConversion"/>
  </si>
  <si>
    <t>SAMPLE 진행 사항(31일)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</si>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</sst>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6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8" fillId="29" borderId="8" xfId="2" applyFont="1" applyFill="1" applyBorder="1" applyAlignment="1">
      <alignment horizontal="center" vertical="center"/>
    </xf>
    <xf numFmtId="0" fontId="7" fillId="29" borderId="53" xfId="0" applyFont="1" applyFill="1" applyBorder="1" applyAlignment="1">
      <alignment horizontal="center" vertical="center"/>
    </xf>
    <xf numFmtId="9" fontId="7" fillId="29" borderId="38" xfId="8" applyFont="1" applyFill="1" applyBorder="1" applyAlignment="1">
      <alignment horizontal="center" vertical="center"/>
    </xf>
    <xf numFmtId="9" fontId="7" fillId="29" borderId="24" xfId="8" applyFont="1" applyFill="1" applyBorder="1" applyAlignment="1">
      <alignment horizontal="center" vertical="center"/>
    </xf>
    <xf numFmtId="9" fontId="7" fillId="29" borderId="33" xfId="8" applyFont="1" applyFill="1" applyBorder="1" applyAlignment="1">
      <alignment horizontal="center" vertical="center"/>
    </xf>
    <xf numFmtId="9" fontId="7" fillId="29" borderId="31" xfId="8" applyFont="1" applyFill="1" applyBorder="1" applyAlignment="1">
      <alignment horizontal="center" vertical="center"/>
    </xf>
    <xf numFmtId="9" fontId="7" fillId="29" borderId="53" xfId="8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2">
                  <c:v>23516</c:v>
                </c:pt>
                <c:pt idx="6">
                  <c:v>9615</c:v>
                </c:pt>
                <c:pt idx="7">
                  <c:v>26324</c:v>
                </c:pt>
                <c:pt idx="8">
                  <c:v>166</c:v>
                </c:pt>
                <c:pt idx="11">
                  <c:v>5997</c:v>
                </c:pt>
                <c:pt idx="12">
                  <c:v>3436</c:v>
                </c:pt>
                <c:pt idx="13">
                  <c:v>20524</c:v>
                </c:pt>
                <c:pt idx="14">
                  <c:v>12314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4F5F-AB65-80229AD56021}"/>
            </c:ext>
          </c:extLst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1012</c:v>
                </c:pt>
                <c:pt idx="2">
                  <c:v>23516</c:v>
                </c:pt>
                <c:pt idx="3">
                  <c:v>5460</c:v>
                </c:pt>
                <c:pt idx="4">
                  <c:v>1424</c:v>
                </c:pt>
                <c:pt idx="5">
                  <c:v>2940</c:v>
                </c:pt>
                <c:pt idx="6">
                  <c:v>9615</c:v>
                </c:pt>
                <c:pt idx="7">
                  <c:v>26324</c:v>
                </c:pt>
                <c:pt idx="8">
                  <c:v>166</c:v>
                </c:pt>
                <c:pt idx="9">
                  <c:v>15572</c:v>
                </c:pt>
                <c:pt idx="10">
                  <c:v>495</c:v>
                </c:pt>
                <c:pt idx="11">
                  <c:v>5997</c:v>
                </c:pt>
                <c:pt idx="12">
                  <c:v>3436</c:v>
                </c:pt>
                <c:pt idx="13">
                  <c:v>20524</c:v>
                </c:pt>
                <c:pt idx="14">
                  <c:v>12314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A-4F5F-AB65-80229AD5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A22-4684-8628-56DD0B7AE4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2-4684-8628-56DD0B7A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22-4684-8628-56DD0B7AE4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2-4684-8628-56DD0B7A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42F-4125-86B5-24B2C3ED47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125-86B5-24B2C3ED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2F-4125-86B5-24B2C3ED47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F-4125-86B5-24B2C3ED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0">
                  <c:v>250</c:v>
                </c:pt>
                <c:pt idx="2">
                  <c:v>670</c:v>
                </c:pt>
                <c:pt idx="3">
                  <c:v>490</c:v>
                </c:pt>
                <c:pt idx="4">
                  <c:v>24948</c:v>
                </c:pt>
                <c:pt idx="6">
                  <c:v>4535</c:v>
                </c:pt>
                <c:pt idx="7">
                  <c:v>2164</c:v>
                </c:pt>
                <c:pt idx="9">
                  <c:v>4860</c:v>
                </c:pt>
                <c:pt idx="12">
                  <c:v>2418</c:v>
                </c:pt>
                <c:pt idx="13">
                  <c:v>5319</c:v>
                </c:pt>
                <c:pt idx="14">
                  <c:v>7908</c:v>
                </c:pt>
                <c:pt idx="15">
                  <c:v>17856</c:v>
                </c:pt>
                <c:pt idx="16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4-456A-B54F-614544B29395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250</c:v>
                </c:pt>
                <c:pt idx="1">
                  <c:v>2638</c:v>
                </c:pt>
                <c:pt idx="2">
                  <c:v>670</c:v>
                </c:pt>
                <c:pt idx="3">
                  <c:v>490</c:v>
                </c:pt>
                <c:pt idx="4">
                  <c:v>24948</c:v>
                </c:pt>
                <c:pt idx="5">
                  <c:v>14223</c:v>
                </c:pt>
                <c:pt idx="6">
                  <c:v>4535</c:v>
                </c:pt>
                <c:pt idx="7">
                  <c:v>2164</c:v>
                </c:pt>
                <c:pt idx="8">
                  <c:v>112</c:v>
                </c:pt>
                <c:pt idx="9">
                  <c:v>4860</c:v>
                </c:pt>
                <c:pt idx="10">
                  <c:v>495</c:v>
                </c:pt>
                <c:pt idx="11">
                  <c:v>5947</c:v>
                </c:pt>
                <c:pt idx="12">
                  <c:v>2418</c:v>
                </c:pt>
                <c:pt idx="13">
                  <c:v>5319</c:v>
                </c:pt>
                <c:pt idx="14">
                  <c:v>7908</c:v>
                </c:pt>
                <c:pt idx="15">
                  <c:v>17856</c:v>
                </c:pt>
                <c:pt idx="16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4-456A-B54F-614544B2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13%</c:v>
                </c:pt>
                <c:pt idx="1">
                  <c:v>0%</c:v>
                </c:pt>
                <c:pt idx="2">
                  <c:v>17%</c:v>
                </c:pt>
                <c:pt idx="3">
                  <c:v>17%</c:v>
                </c:pt>
                <c:pt idx="4">
                  <c:v>100%</c:v>
                </c:pt>
                <c:pt idx="5">
                  <c:v>0%</c:v>
                </c:pt>
                <c:pt idx="6">
                  <c:v>96%</c:v>
                </c:pt>
                <c:pt idx="7">
                  <c:v>50%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100%</c:v>
                </c:pt>
                <c:pt idx="14">
                  <c:v>33%</c:v>
                </c:pt>
                <c:pt idx="15">
                  <c:v>63%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0.125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1</c:v>
                </c:pt>
                <c:pt idx="5">
                  <c:v>0</c:v>
                </c:pt>
                <c:pt idx="6">
                  <c:v>0.95833333333333337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1</c:v>
                </c:pt>
                <c:pt idx="14">
                  <c:v>0.33333333333333331</c:v>
                </c:pt>
                <c:pt idx="15">
                  <c:v>0.625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8-4221-B254-C54CB5176C8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8-4221-B254-C54CB5176C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0.40931372549019607</c:v>
                </c:pt>
                <c:pt idx="1">
                  <c:v>0.40931372549019607</c:v>
                </c:pt>
                <c:pt idx="2">
                  <c:v>0.40931372549019607</c:v>
                </c:pt>
                <c:pt idx="3">
                  <c:v>0.40931372549019607</c:v>
                </c:pt>
                <c:pt idx="4">
                  <c:v>0.40931372549019607</c:v>
                </c:pt>
                <c:pt idx="5">
                  <c:v>0.40931372549019607</c:v>
                </c:pt>
                <c:pt idx="6">
                  <c:v>0.40931372549019607</c:v>
                </c:pt>
                <c:pt idx="7">
                  <c:v>0.40931372549019607</c:v>
                </c:pt>
                <c:pt idx="8">
                  <c:v>0.40931372549019607</c:v>
                </c:pt>
                <c:pt idx="9">
                  <c:v>0.40931372549019607</c:v>
                </c:pt>
                <c:pt idx="10">
                  <c:v>0.40931372549019607</c:v>
                </c:pt>
                <c:pt idx="11">
                  <c:v>0.40931372549019607</c:v>
                </c:pt>
                <c:pt idx="12">
                  <c:v>0.40931372549019607</c:v>
                </c:pt>
                <c:pt idx="13">
                  <c:v>0.40931372549019607</c:v>
                </c:pt>
                <c:pt idx="14">
                  <c:v>0.40931372549019607</c:v>
                </c:pt>
                <c:pt idx="15">
                  <c:v>0.40931372549019607</c:v>
                </c:pt>
                <c:pt idx="16">
                  <c:v>0.40931372549019607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8-4221-B254-C54CB517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0">
                  <c:v>250</c:v>
                </c:pt>
                <c:pt idx="2">
                  <c:v>670</c:v>
                </c:pt>
                <c:pt idx="3">
                  <c:v>490</c:v>
                </c:pt>
                <c:pt idx="4">
                  <c:v>24948</c:v>
                </c:pt>
                <c:pt idx="6">
                  <c:v>4535</c:v>
                </c:pt>
                <c:pt idx="7">
                  <c:v>2164</c:v>
                </c:pt>
                <c:pt idx="9">
                  <c:v>4860</c:v>
                </c:pt>
                <c:pt idx="12">
                  <c:v>2418</c:v>
                </c:pt>
                <c:pt idx="13">
                  <c:v>5319</c:v>
                </c:pt>
                <c:pt idx="14">
                  <c:v>7908</c:v>
                </c:pt>
                <c:pt idx="15">
                  <c:v>17856</c:v>
                </c:pt>
                <c:pt idx="16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416-B4DC-3249B5F2B039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250</c:v>
                </c:pt>
                <c:pt idx="1">
                  <c:v>2638</c:v>
                </c:pt>
                <c:pt idx="2">
                  <c:v>670</c:v>
                </c:pt>
                <c:pt idx="3">
                  <c:v>490</c:v>
                </c:pt>
                <c:pt idx="4">
                  <c:v>24948</c:v>
                </c:pt>
                <c:pt idx="5">
                  <c:v>14223</c:v>
                </c:pt>
                <c:pt idx="6">
                  <c:v>4535</c:v>
                </c:pt>
                <c:pt idx="7">
                  <c:v>2164</c:v>
                </c:pt>
                <c:pt idx="8">
                  <c:v>112</c:v>
                </c:pt>
                <c:pt idx="9">
                  <c:v>4860</c:v>
                </c:pt>
                <c:pt idx="10">
                  <c:v>495</c:v>
                </c:pt>
                <c:pt idx="11">
                  <c:v>5947</c:v>
                </c:pt>
                <c:pt idx="12">
                  <c:v>2418</c:v>
                </c:pt>
                <c:pt idx="13">
                  <c:v>5319</c:v>
                </c:pt>
                <c:pt idx="14">
                  <c:v>7908</c:v>
                </c:pt>
                <c:pt idx="15">
                  <c:v>17856</c:v>
                </c:pt>
                <c:pt idx="16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E-4416-B4DC-3249B5F2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13%</c:v>
                </c:pt>
                <c:pt idx="1">
                  <c:v>0%</c:v>
                </c:pt>
                <c:pt idx="2">
                  <c:v>17%</c:v>
                </c:pt>
                <c:pt idx="3">
                  <c:v>17%</c:v>
                </c:pt>
                <c:pt idx="4">
                  <c:v>100%</c:v>
                </c:pt>
                <c:pt idx="5">
                  <c:v>0%</c:v>
                </c:pt>
                <c:pt idx="6">
                  <c:v>96%</c:v>
                </c:pt>
                <c:pt idx="7">
                  <c:v>50%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100%</c:v>
                </c:pt>
                <c:pt idx="14">
                  <c:v>33%</c:v>
                </c:pt>
                <c:pt idx="15">
                  <c:v>63%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0.125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1</c:v>
                </c:pt>
                <c:pt idx="5">
                  <c:v>0</c:v>
                </c:pt>
                <c:pt idx="6">
                  <c:v>0.95833333333333337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1</c:v>
                </c:pt>
                <c:pt idx="14">
                  <c:v>0.33333333333333331</c:v>
                </c:pt>
                <c:pt idx="15">
                  <c:v>0.625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9-4822-A683-39AECF146BE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9-4822-A683-39AECF146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0.40931372549019607</c:v>
                </c:pt>
                <c:pt idx="1">
                  <c:v>0.40931372549019607</c:v>
                </c:pt>
                <c:pt idx="2">
                  <c:v>0.40931372549019607</c:v>
                </c:pt>
                <c:pt idx="3">
                  <c:v>0.40931372549019607</c:v>
                </c:pt>
                <c:pt idx="4">
                  <c:v>0.40931372549019607</c:v>
                </c:pt>
                <c:pt idx="5">
                  <c:v>0.40931372549019607</c:v>
                </c:pt>
                <c:pt idx="6">
                  <c:v>0.40931372549019607</c:v>
                </c:pt>
                <c:pt idx="7">
                  <c:v>0.40931372549019607</c:v>
                </c:pt>
                <c:pt idx="8">
                  <c:v>0.40931372549019607</c:v>
                </c:pt>
                <c:pt idx="9">
                  <c:v>0.40931372549019607</c:v>
                </c:pt>
                <c:pt idx="10">
                  <c:v>0.40931372549019607</c:v>
                </c:pt>
                <c:pt idx="11">
                  <c:v>0.40931372549019607</c:v>
                </c:pt>
                <c:pt idx="12">
                  <c:v>0.40931372549019607</c:v>
                </c:pt>
                <c:pt idx="13">
                  <c:v>0.40931372549019607</c:v>
                </c:pt>
                <c:pt idx="14">
                  <c:v>0.40931372549019607</c:v>
                </c:pt>
                <c:pt idx="15">
                  <c:v>0.40931372549019607</c:v>
                </c:pt>
                <c:pt idx="16">
                  <c:v>0.40931372549019607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9-4822-A683-39AECF14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676-4829-AD54-6ABE89E75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6-4829-AD54-6ABE89E7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676-4829-AD54-6ABE89E750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6-4829-AD54-6ABE89E7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2">
                  <c:v>3737</c:v>
                </c:pt>
                <c:pt idx="3">
                  <c:v>748</c:v>
                </c:pt>
                <c:pt idx="4">
                  <c:v>25300</c:v>
                </c:pt>
                <c:pt idx="7">
                  <c:v>4968</c:v>
                </c:pt>
                <c:pt idx="9">
                  <c:v>5033</c:v>
                </c:pt>
                <c:pt idx="13">
                  <c:v>5539</c:v>
                </c:pt>
                <c:pt idx="14">
                  <c:v>28780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AEA-AAB1-89F5C15A7081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250</c:v>
                </c:pt>
                <c:pt idx="1">
                  <c:v>2638</c:v>
                </c:pt>
                <c:pt idx="2">
                  <c:v>3737</c:v>
                </c:pt>
                <c:pt idx="3">
                  <c:v>748</c:v>
                </c:pt>
                <c:pt idx="4">
                  <c:v>25300</c:v>
                </c:pt>
                <c:pt idx="5">
                  <c:v>14223</c:v>
                </c:pt>
                <c:pt idx="6">
                  <c:v>4535</c:v>
                </c:pt>
                <c:pt idx="7">
                  <c:v>4968</c:v>
                </c:pt>
                <c:pt idx="8">
                  <c:v>112</c:v>
                </c:pt>
                <c:pt idx="9">
                  <c:v>5033</c:v>
                </c:pt>
                <c:pt idx="10">
                  <c:v>495</c:v>
                </c:pt>
                <c:pt idx="11">
                  <c:v>5947</c:v>
                </c:pt>
                <c:pt idx="12">
                  <c:v>2418</c:v>
                </c:pt>
                <c:pt idx="13">
                  <c:v>5539</c:v>
                </c:pt>
                <c:pt idx="14">
                  <c:v>28780</c:v>
                </c:pt>
                <c:pt idx="15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AEA-AAB1-89F5C15A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79%</c:v>
                </c:pt>
                <c:pt idx="3">
                  <c:v>21%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96%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0.79166666666666663</c:v>
                </c:pt>
                <c:pt idx="3">
                  <c:v>0.20833333333333334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0.95833333333333337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6-456F-A059-82C7879FCE3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26-456F-A059-82C7879FCE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0.37239583333333337</c:v>
                </c:pt>
                <c:pt idx="1">
                  <c:v>0.37239583333333337</c:v>
                </c:pt>
                <c:pt idx="2">
                  <c:v>0.37239583333333337</c:v>
                </c:pt>
                <c:pt idx="3">
                  <c:v>0.37239583333333337</c:v>
                </c:pt>
                <c:pt idx="4">
                  <c:v>0.37239583333333337</c:v>
                </c:pt>
                <c:pt idx="5">
                  <c:v>0.37239583333333337</c:v>
                </c:pt>
                <c:pt idx="6">
                  <c:v>0.37239583333333337</c:v>
                </c:pt>
                <c:pt idx="7">
                  <c:v>0.37239583333333337</c:v>
                </c:pt>
                <c:pt idx="8">
                  <c:v>0.37239583333333337</c:v>
                </c:pt>
                <c:pt idx="9">
                  <c:v>0.37239583333333337</c:v>
                </c:pt>
                <c:pt idx="10">
                  <c:v>0.37239583333333337</c:v>
                </c:pt>
                <c:pt idx="11">
                  <c:v>0.37239583333333337</c:v>
                </c:pt>
                <c:pt idx="12">
                  <c:v>0.37239583333333337</c:v>
                </c:pt>
                <c:pt idx="13">
                  <c:v>0.37239583333333337</c:v>
                </c:pt>
                <c:pt idx="14">
                  <c:v>0.37239583333333337</c:v>
                </c:pt>
                <c:pt idx="15">
                  <c:v>0.37239583333333337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6-456F-A059-82C7879F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2">
                  <c:v>3737</c:v>
                </c:pt>
                <c:pt idx="3">
                  <c:v>748</c:v>
                </c:pt>
                <c:pt idx="4">
                  <c:v>25300</c:v>
                </c:pt>
                <c:pt idx="7">
                  <c:v>4968</c:v>
                </c:pt>
                <c:pt idx="9">
                  <c:v>5033</c:v>
                </c:pt>
                <c:pt idx="13">
                  <c:v>5539</c:v>
                </c:pt>
                <c:pt idx="14">
                  <c:v>28780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2-49FF-AF52-B0F32ED47002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250</c:v>
                </c:pt>
                <c:pt idx="1">
                  <c:v>2638</c:v>
                </c:pt>
                <c:pt idx="2">
                  <c:v>3737</c:v>
                </c:pt>
                <c:pt idx="3">
                  <c:v>748</c:v>
                </c:pt>
                <c:pt idx="4">
                  <c:v>25300</c:v>
                </c:pt>
                <c:pt idx="5">
                  <c:v>14223</c:v>
                </c:pt>
                <c:pt idx="6">
                  <c:v>4535</c:v>
                </c:pt>
                <c:pt idx="7">
                  <c:v>4968</c:v>
                </c:pt>
                <c:pt idx="8">
                  <c:v>112</c:v>
                </c:pt>
                <c:pt idx="9">
                  <c:v>5033</c:v>
                </c:pt>
                <c:pt idx="10">
                  <c:v>495</c:v>
                </c:pt>
                <c:pt idx="11">
                  <c:v>5947</c:v>
                </c:pt>
                <c:pt idx="12">
                  <c:v>2418</c:v>
                </c:pt>
                <c:pt idx="13">
                  <c:v>5539</c:v>
                </c:pt>
                <c:pt idx="14">
                  <c:v>28780</c:v>
                </c:pt>
                <c:pt idx="15">
                  <c:v>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2-49FF-AF52-B0F32ED4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79%</c:v>
                </c:pt>
                <c:pt idx="3">
                  <c:v>21%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96%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0.79166666666666663</c:v>
                </c:pt>
                <c:pt idx="3">
                  <c:v>0.20833333333333334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0.95833333333333337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40B0-AD0C-D9CD9D75E66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AA-40B0-AD0C-D9CD9D75E6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STOPPER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0.37239583333333337</c:v>
                </c:pt>
                <c:pt idx="1">
                  <c:v>0.37239583333333337</c:v>
                </c:pt>
                <c:pt idx="2">
                  <c:v>0.37239583333333337</c:v>
                </c:pt>
                <c:pt idx="3">
                  <c:v>0.37239583333333337</c:v>
                </c:pt>
                <c:pt idx="4">
                  <c:v>0.37239583333333337</c:v>
                </c:pt>
                <c:pt idx="5">
                  <c:v>0.37239583333333337</c:v>
                </c:pt>
                <c:pt idx="6">
                  <c:v>0.37239583333333337</c:v>
                </c:pt>
                <c:pt idx="7">
                  <c:v>0.37239583333333337</c:v>
                </c:pt>
                <c:pt idx="8">
                  <c:v>0.37239583333333337</c:v>
                </c:pt>
                <c:pt idx="9">
                  <c:v>0.37239583333333337</c:v>
                </c:pt>
                <c:pt idx="10">
                  <c:v>0.37239583333333337</c:v>
                </c:pt>
                <c:pt idx="11">
                  <c:v>0.37239583333333337</c:v>
                </c:pt>
                <c:pt idx="12">
                  <c:v>0.37239583333333337</c:v>
                </c:pt>
                <c:pt idx="13">
                  <c:v>0.37239583333333337</c:v>
                </c:pt>
                <c:pt idx="14">
                  <c:v>0.37239583333333337</c:v>
                </c:pt>
                <c:pt idx="15">
                  <c:v>0.37239583333333337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A-40B0-AD0C-D9CD9D7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1">
                  <c:v>19918</c:v>
                </c:pt>
                <c:pt idx="2">
                  <c:v>23460</c:v>
                </c:pt>
                <c:pt idx="4">
                  <c:v>18588</c:v>
                </c:pt>
                <c:pt idx="5">
                  <c:v>5246</c:v>
                </c:pt>
                <c:pt idx="6">
                  <c:v>19812</c:v>
                </c:pt>
                <c:pt idx="7">
                  <c:v>24572</c:v>
                </c:pt>
                <c:pt idx="8">
                  <c:v>150</c:v>
                </c:pt>
                <c:pt idx="9">
                  <c:v>4961</c:v>
                </c:pt>
                <c:pt idx="11">
                  <c:v>6237</c:v>
                </c:pt>
                <c:pt idx="13">
                  <c:v>18940</c:v>
                </c:pt>
                <c:pt idx="14">
                  <c:v>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048-A5AA-20B018A89ECC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19918</c:v>
                </c:pt>
                <c:pt idx="2">
                  <c:v>23460</c:v>
                </c:pt>
                <c:pt idx="3">
                  <c:v>5460</c:v>
                </c:pt>
                <c:pt idx="4">
                  <c:v>18588</c:v>
                </c:pt>
                <c:pt idx="5">
                  <c:v>5246</c:v>
                </c:pt>
                <c:pt idx="6">
                  <c:v>19812</c:v>
                </c:pt>
                <c:pt idx="7">
                  <c:v>24572</c:v>
                </c:pt>
                <c:pt idx="8">
                  <c:v>150</c:v>
                </c:pt>
                <c:pt idx="9">
                  <c:v>4961</c:v>
                </c:pt>
                <c:pt idx="10">
                  <c:v>495</c:v>
                </c:pt>
                <c:pt idx="11">
                  <c:v>6237</c:v>
                </c:pt>
                <c:pt idx="12">
                  <c:v>3125</c:v>
                </c:pt>
                <c:pt idx="13">
                  <c:v>18940</c:v>
                </c:pt>
                <c:pt idx="14">
                  <c:v>12698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4048-A5AA-20B018A8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EB1-4ABC-AD62-A4061246C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1-4ABC-AD62-A406124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B1-4ABC-AD62-A4061246C0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1-4ABC-AD62-A406124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0">
                  <c:v>5572</c:v>
                </c:pt>
                <c:pt idx="2">
                  <c:v>4361</c:v>
                </c:pt>
                <c:pt idx="3">
                  <c:v>2855</c:v>
                </c:pt>
                <c:pt idx="4">
                  <c:v>5240</c:v>
                </c:pt>
                <c:pt idx="6">
                  <c:v>2788</c:v>
                </c:pt>
                <c:pt idx="7">
                  <c:v>6015</c:v>
                </c:pt>
                <c:pt idx="12">
                  <c:v>5560</c:v>
                </c:pt>
                <c:pt idx="13">
                  <c:v>1391</c:v>
                </c:pt>
                <c:pt idx="14">
                  <c:v>22560</c:v>
                </c:pt>
                <c:pt idx="15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F-4D01-AF62-BBEFFE3F6369}"/>
            </c:ext>
          </c:extLst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5572</c:v>
                </c:pt>
                <c:pt idx="1">
                  <c:v>2638</c:v>
                </c:pt>
                <c:pt idx="2">
                  <c:v>4361</c:v>
                </c:pt>
                <c:pt idx="3">
                  <c:v>2855</c:v>
                </c:pt>
                <c:pt idx="4">
                  <c:v>5240</c:v>
                </c:pt>
                <c:pt idx="5">
                  <c:v>14223</c:v>
                </c:pt>
                <c:pt idx="6">
                  <c:v>2788</c:v>
                </c:pt>
                <c:pt idx="7">
                  <c:v>6015</c:v>
                </c:pt>
                <c:pt idx="8">
                  <c:v>112</c:v>
                </c:pt>
                <c:pt idx="9">
                  <c:v>5033</c:v>
                </c:pt>
                <c:pt idx="10">
                  <c:v>495</c:v>
                </c:pt>
                <c:pt idx="11">
                  <c:v>5947</c:v>
                </c:pt>
                <c:pt idx="12">
                  <c:v>5560</c:v>
                </c:pt>
                <c:pt idx="13">
                  <c:v>1391</c:v>
                </c:pt>
                <c:pt idx="14">
                  <c:v>22560</c:v>
                </c:pt>
                <c:pt idx="15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F-4D01-AF62-BBEFFE3F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6"/>
                <c:pt idx="0">
                  <c:v>100%</c:v>
                </c:pt>
                <c:pt idx="1">
                  <c:v>0%</c:v>
                </c:pt>
                <c:pt idx="2">
                  <c:v>100%</c:v>
                </c:pt>
                <c:pt idx="3">
                  <c:v>63%</c:v>
                </c:pt>
                <c:pt idx="4">
                  <c:v>92%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25%</c:v>
                </c:pt>
                <c:pt idx="14">
                  <c:v>88%</c:v>
                </c:pt>
                <c:pt idx="15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0.625</c:v>
                </c:pt>
                <c:pt idx="4">
                  <c:v>0.91666666666666663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0.25</c:v>
                </c:pt>
                <c:pt idx="14">
                  <c:v>0.875</c:v>
                </c:pt>
                <c:pt idx="1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8-4EA0-A1FA-18B2F035CBB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B8-4EA0-A1FA-18B2F035CB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EA0-A1FA-18B2F035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'31'!$L$6:$L$21</c:f>
              <c:numCache>
                <c:formatCode>_(* #,##0_);_(* \(#,##0\);_(* "-"_);_(@_)</c:formatCode>
                <c:ptCount val="16"/>
                <c:pt idx="0">
                  <c:v>5572</c:v>
                </c:pt>
                <c:pt idx="2">
                  <c:v>4361</c:v>
                </c:pt>
                <c:pt idx="3">
                  <c:v>2855</c:v>
                </c:pt>
                <c:pt idx="4">
                  <c:v>5240</c:v>
                </c:pt>
                <c:pt idx="6">
                  <c:v>2788</c:v>
                </c:pt>
                <c:pt idx="7">
                  <c:v>6015</c:v>
                </c:pt>
                <c:pt idx="12">
                  <c:v>5560</c:v>
                </c:pt>
                <c:pt idx="13">
                  <c:v>1391</c:v>
                </c:pt>
                <c:pt idx="14">
                  <c:v>22560</c:v>
                </c:pt>
                <c:pt idx="15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2-4651-9603-8F7B742E27A9}"/>
            </c:ext>
          </c:extLst>
        </c:ser>
        <c:ser>
          <c:idx val="1"/>
          <c:order val="1"/>
          <c:tx>
            <c:v>계획</c:v>
          </c:tx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'31'!$J$6:$J$21</c:f>
              <c:numCache>
                <c:formatCode>_(* #,##0_);_(* \(#,##0\);_(* "-"_);_(@_)</c:formatCode>
                <c:ptCount val="16"/>
                <c:pt idx="0">
                  <c:v>5572</c:v>
                </c:pt>
                <c:pt idx="1">
                  <c:v>2638</c:v>
                </c:pt>
                <c:pt idx="2">
                  <c:v>4361</c:v>
                </c:pt>
                <c:pt idx="3">
                  <c:v>2855</c:v>
                </c:pt>
                <c:pt idx="4">
                  <c:v>5240</c:v>
                </c:pt>
                <c:pt idx="5">
                  <c:v>14223</c:v>
                </c:pt>
                <c:pt idx="6">
                  <c:v>2788</c:v>
                </c:pt>
                <c:pt idx="7">
                  <c:v>6015</c:v>
                </c:pt>
                <c:pt idx="8">
                  <c:v>112</c:v>
                </c:pt>
                <c:pt idx="9">
                  <c:v>5033</c:v>
                </c:pt>
                <c:pt idx="10">
                  <c:v>495</c:v>
                </c:pt>
                <c:pt idx="11">
                  <c:v>5947</c:v>
                </c:pt>
                <c:pt idx="12">
                  <c:v>5560</c:v>
                </c:pt>
                <c:pt idx="13">
                  <c:v>1391</c:v>
                </c:pt>
                <c:pt idx="14">
                  <c:v>22560</c:v>
                </c:pt>
                <c:pt idx="15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2-4651-9603-8F7B742E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'31'!$AD$6:$AD$21</c:f>
              <c:strCache>
                <c:ptCount val="16"/>
                <c:pt idx="0">
                  <c:v>100%</c:v>
                </c:pt>
                <c:pt idx="1">
                  <c:v>0%</c:v>
                </c:pt>
                <c:pt idx="2">
                  <c:v>100%</c:v>
                </c:pt>
                <c:pt idx="3">
                  <c:v>63%</c:v>
                </c:pt>
                <c:pt idx="4">
                  <c:v>92%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25%</c:v>
                </c:pt>
                <c:pt idx="14">
                  <c:v>88%</c:v>
                </c:pt>
                <c:pt idx="15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0.625</c:v>
                </c:pt>
                <c:pt idx="4">
                  <c:v>0.91666666666666663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0.25</c:v>
                </c:pt>
                <c:pt idx="14">
                  <c:v>0.875</c:v>
                </c:pt>
                <c:pt idx="1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A-45C2-B550-AF67430785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A-45C2-B550-AF67430785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BASE</c:v>
                </c:pt>
                <c:pt idx="4">
                  <c:v>STOPPER</c:v>
                </c:pt>
                <c:pt idx="5">
                  <c:v>STOPPER</c:v>
                </c:pt>
                <c:pt idx="6">
                  <c:v>2C BASE</c:v>
                </c:pt>
                <c:pt idx="7">
                  <c:v>LATCH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'31'!$AE$6:$AE$21</c:f>
              <c:numCache>
                <c:formatCode>0%</c:formatCode>
                <c:ptCount val="1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A-45C2-B550-AF674307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E7-4A51-A2CC-13444CCD6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7-4A51-A2CC-13444CCD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AE7-4A51-A2CC-13444CCD6D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7-4A51-A2CC-13444CCD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08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08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총괄!$A$3:$A$18</c:f>
              <c:strCache>
                <c:ptCount val="16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  <c:pt idx="15">
                  <c:v>16호기</c:v>
                </c:pt>
              </c:strCache>
            </c:strRef>
          </c:cat>
          <c:val>
            <c:numRef>
              <c:f>총괄!$AG$3:$AG$18</c:f>
              <c:numCache>
                <c:formatCode>0%</c:formatCode>
                <c:ptCount val="16"/>
                <c:pt idx="0">
                  <c:v>0.13844086021505375</c:v>
                </c:pt>
                <c:pt idx="1">
                  <c:v>0.43951612903225812</c:v>
                </c:pt>
                <c:pt idx="2">
                  <c:v>0.20698924731182797</c:v>
                </c:pt>
                <c:pt idx="3">
                  <c:v>0.18413978494623656</c:v>
                </c:pt>
                <c:pt idx="4">
                  <c:v>0.53538066944400187</c:v>
                </c:pt>
                <c:pt idx="5">
                  <c:v>0.34677419354838707</c:v>
                </c:pt>
                <c:pt idx="6">
                  <c:v>0.39112903225806456</c:v>
                </c:pt>
                <c:pt idx="7">
                  <c:v>0.60483870967741937</c:v>
                </c:pt>
                <c:pt idx="8">
                  <c:v>2.2849462365591395E-2</c:v>
                </c:pt>
                <c:pt idx="9">
                  <c:v>0.33602150537634412</c:v>
                </c:pt>
                <c:pt idx="10">
                  <c:v>0</c:v>
                </c:pt>
                <c:pt idx="11">
                  <c:v>0.12903225806451613</c:v>
                </c:pt>
                <c:pt idx="12">
                  <c:v>0.17876344086021506</c:v>
                </c:pt>
                <c:pt idx="13">
                  <c:v>0.50000000000000011</c:v>
                </c:pt>
                <c:pt idx="14">
                  <c:v>0.61290322580645162</c:v>
                </c:pt>
                <c:pt idx="15">
                  <c:v>0.19623655913978497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0%</c:v>
                </c:pt>
                <c:pt idx="4">
                  <c:v>79%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17%</c:v>
                </c:pt>
                <c:pt idx="9">
                  <c:v>88%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0.91666666666666663</c:v>
                </c:pt>
                <c:pt idx="2">
                  <c:v>1</c:v>
                </c:pt>
                <c:pt idx="3">
                  <c:v>0</c:v>
                </c:pt>
                <c:pt idx="4">
                  <c:v>0.79166666666666663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0.16666666666666666</c:v>
                </c:pt>
                <c:pt idx="9">
                  <c:v>0.875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0-43DA-A846-56CCF4DA9E3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50-43DA-A846-56CCF4DA9E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0.59895833333333337</c:v>
                </c:pt>
                <c:pt idx="1">
                  <c:v>0.59895833333333337</c:v>
                </c:pt>
                <c:pt idx="2">
                  <c:v>0.59895833333333337</c:v>
                </c:pt>
                <c:pt idx="3">
                  <c:v>0.59895833333333337</c:v>
                </c:pt>
                <c:pt idx="4">
                  <c:v>0.59895833333333337</c:v>
                </c:pt>
                <c:pt idx="5">
                  <c:v>0.59895833333333337</c:v>
                </c:pt>
                <c:pt idx="6">
                  <c:v>0.59895833333333337</c:v>
                </c:pt>
                <c:pt idx="7">
                  <c:v>0.59895833333333337</c:v>
                </c:pt>
                <c:pt idx="8">
                  <c:v>0.59895833333333337</c:v>
                </c:pt>
                <c:pt idx="9">
                  <c:v>0.59895833333333337</c:v>
                </c:pt>
                <c:pt idx="10">
                  <c:v>0.59895833333333337</c:v>
                </c:pt>
                <c:pt idx="11">
                  <c:v>0.59895833333333337</c:v>
                </c:pt>
                <c:pt idx="12">
                  <c:v>0.59895833333333337</c:v>
                </c:pt>
                <c:pt idx="13">
                  <c:v>0.59895833333333337</c:v>
                </c:pt>
                <c:pt idx="14">
                  <c:v>0.59895833333333337</c:v>
                </c:pt>
                <c:pt idx="15">
                  <c:v>0.59895833333333337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0-43DA-A846-56CCF4DA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1">
                  <c:v>19918</c:v>
                </c:pt>
                <c:pt idx="2">
                  <c:v>23460</c:v>
                </c:pt>
                <c:pt idx="4">
                  <c:v>18588</c:v>
                </c:pt>
                <c:pt idx="5">
                  <c:v>5246</c:v>
                </c:pt>
                <c:pt idx="6">
                  <c:v>19812</c:v>
                </c:pt>
                <c:pt idx="7">
                  <c:v>24572</c:v>
                </c:pt>
                <c:pt idx="8">
                  <c:v>150</c:v>
                </c:pt>
                <c:pt idx="9">
                  <c:v>4961</c:v>
                </c:pt>
                <c:pt idx="11">
                  <c:v>6237</c:v>
                </c:pt>
                <c:pt idx="13">
                  <c:v>18940</c:v>
                </c:pt>
                <c:pt idx="14">
                  <c:v>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2-4853-8EF8-A50AFC6685DB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19918</c:v>
                </c:pt>
                <c:pt idx="2">
                  <c:v>23460</c:v>
                </c:pt>
                <c:pt idx="3">
                  <c:v>5460</c:v>
                </c:pt>
                <c:pt idx="4">
                  <c:v>18588</c:v>
                </c:pt>
                <c:pt idx="5">
                  <c:v>5246</c:v>
                </c:pt>
                <c:pt idx="6">
                  <c:v>19812</c:v>
                </c:pt>
                <c:pt idx="7">
                  <c:v>24572</c:v>
                </c:pt>
                <c:pt idx="8">
                  <c:v>150</c:v>
                </c:pt>
                <c:pt idx="9">
                  <c:v>4961</c:v>
                </c:pt>
                <c:pt idx="10">
                  <c:v>495</c:v>
                </c:pt>
                <c:pt idx="11">
                  <c:v>6237</c:v>
                </c:pt>
                <c:pt idx="12">
                  <c:v>3125</c:v>
                </c:pt>
                <c:pt idx="13">
                  <c:v>18940</c:v>
                </c:pt>
                <c:pt idx="14">
                  <c:v>12698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2-4853-8EF8-A50AFC66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0%</c:v>
                </c:pt>
                <c:pt idx="4">
                  <c:v>79%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17%</c:v>
                </c:pt>
                <c:pt idx="9">
                  <c:v>88%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0.91666666666666663</c:v>
                </c:pt>
                <c:pt idx="2">
                  <c:v>1</c:v>
                </c:pt>
                <c:pt idx="3">
                  <c:v>0</c:v>
                </c:pt>
                <c:pt idx="4">
                  <c:v>0.79166666666666663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0.16666666666666666</c:v>
                </c:pt>
                <c:pt idx="9">
                  <c:v>0.875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9-4C27-930F-20FAC91F45D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59-4C27-930F-20FAC91F45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0.59895833333333337</c:v>
                </c:pt>
                <c:pt idx="1">
                  <c:v>0.59895833333333337</c:v>
                </c:pt>
                <c:pt idx="2">
                  <c:v>0.59895833333333337</c:v>
                </c:pt>
                <c:pt idx="3">
                  <c:v>0.59895833333333337</c:v>
                </c:pt>
                <c:pt idx="4">
                  <c:v>0.59895833333333337</c:v>
                </c:pt>
                <c:pt idx="5">
                  <c:v>0.59895833333333337</c:v>
                </c:pt>
                <c:pt idx="6">
                  <c:v>0.59895833333333337</c:v>
                </c:pt>
                <c:pt idx="7">
                  <c:v>0.59895833333333337</c:v>
                </c:pt>
                <c:pt idx="8">
                  <c:v>0.59895833333333337</c:v>
                </c:pt>
                <c:pt idx="9">
                  <c:v>0.59895833333333337</c:v>
                </c:pt>
                <c:pt idx="10">
                  <c:v>0.59895833333333337</c:v>
                </c:pt>
                <c:pt idx="11">
                  <c:v>0.59895833333333337</c:v>
                </c:pt>
                <c:pt idx="12">
                  <c:v>0.59895833333333337</c:v>
                </c:pt>
                <c:pt idx="13">
                  <c:v>0.59895833333333337</c:v>
                </c:pt>
                <c:pt idx="14">
                  <c:v>0.59895833333333337</c:v>
                </c:pt>
                <c:pt idx="15">
                  <c:v>0.59895833333333337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9-4C27-930F-20FAC91F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E8F-43CD-BC63-D7E8DBE6B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F-43CD-BC63-D7E8DBE6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E8F-43CD-BC63-D7E8DBE6BD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F-43CD-BC63-D7E8DBE6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1">
                  <c:v>14488</c:v>
                </c:pt>
                <c:pt idx="2">
                  <c:v>24448</c:v>
                </c:pt>
                <c:pt idx="4">
                  <c:v>26072</c:v>
                </c:pt>
                <c:pt idx="5">
                  <c:v>5242</c:v>
                </c:pt>
                <c:pt idx="6">
                  <c:v>2238</c:v>
                </c:pt>
                <c:pt idx="7">
                  <c:v>26784</c:v>
                </c:pt>
                <c:pt idx="9">
                  <c:v>4134</c:v>
                </c:pt>
                <c:pt idx="11">
                  <c:v>5947</c:v>
                </c:pt>
                <c:pt idx="13">
                  <c:v>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3EA-8760-AFEE3C58C976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14488</c:v>
                </c:pt>
                <c:pt idx="2">
                  <c:v>24448</c:v>
                </c:pt>
                <c:pt idx="3">
                  <c:v>5460</c:v>
                </c:pt>
                <c:pt idx="4">
                  <c:v>26072</c:v>
                </c:pt>
                <c:pt idx="5">
                  <c:v>5242</c:v>
                </c:pt>
                <c:pt idx="6">
                  <c:v>2238</c:v>
                </c:pt>
                <c:pt idx="7">
                  <c:v>26784</c:v>
                </c:pt>
                <c:pt idx="8">
                  <c:v>150</c:v>
                </c:pt>
                <c:pt idx="9">
                  <c:v>4134</c:v>
                </c:pt>
                <c:pt idx="10">
                  <c:v>495</c:v>
                </c:pt>
                <c:pt idx="11">
                  <c:v>5947</c:v>
                </c:pt>
                <c:pt idx="12">
                  <c:v>3125</c:v>
                </c:pt>
                <c:pt idx="13">
                  <c:v>25128</c:v>
                </c:pt>
                <c:pt idx="14">
                  <c:v>12698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0-43EA-8760-AFEE3C58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79%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0.79166666666666663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78E-B763-95797DBD1D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9-478E-B763-95797DBD1D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0.49739583333333337</c:v>
                </c:pt>
                <c:pt idx="1">
                  <c:v>0.49739583333333337</c:v>
                </c:pt>
                <c:pt idx="2">
                  <c:v>0.49739583333333337</c:v>
                </c:pt>
                <c:pt idx="3">
                  <c:v>0.49739583333333337</c:v>
                </c:pt>
                <c:pt idx="4">
                  <c:v>0.49739583333333337</c:v>
                </c:pt>
                <c:pt idx="5">
                  <c:v>0.49739583333333337</c:v>
                </c:pt>
                <c:pt idx="6">
                  <c:v>0.49739583333333337</c:v>
                </c:pt>
                <c:pt idx="7">
                  <c:v>0.49739583333333337</c:v>
                </c:pt>
                <c:pt idx="8">
                  <c:v>0.49739583333333337</c:v>
                </c:pt>
                <c:pt idx="9">
                  <c:v>0.49739583333333337</c:v>
                </c:pt>
                <c:pt idx="10">
                  <c:v>0.49739583333333337</c:v>
                </c:pt>
                <c:pt idx="11">
                  <c:v>0.49739583333333337</c:v>
                </c:pt>
                <c:pt idx="12">
                  <c:v>0.49739583333333337</c:v>
                </c:pt>
                <c:pt idx="13">
                  <c:v>0.49739583333333337</c:v>
                </c:pt>
                <c:pt idx="14">
                  <c:v>0.49739583333333337</c:v>
                </c:pt>
                <c:pt idx="15">
                  <c:v>0.49739583333333337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78E-B763-95797DBD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1">
                  <c:v>14488</c:v>
                </c:pt>
                <c:pt idx="2">
                  <c:v>24448</c:v>
                </c:pt>
                <c:pt idx="4">
                  <c:v>26072</c:v>
                </c:pt>
                <c:pt idx="5">
                  <c:v>5242</c:v>
                </c:pt>
                <c:pt idx="6">
                  <c:v>2238</c:v>
                </c:pt>
                <c:pt idx="7">
                  <c:v>26784</c:v>
                </c:pt>
                <c:pt idx="9">
                  <c:v>4134</c:v>
                </c:pt>
                <c:pt idx="11">
                  <c:v>5947</c:v>
                </c:pt>
                <c:pt idx="13">
                  <c:v>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F-4A2C-BB36-D12500E37538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14488</c:v>
                </c:pt>
                <c:pt idx="2">
                  <c:v>24448</c:v>
                </c:pt>
                <c:pt idx="3">
                  <c:v>5460</c:v>
                </c:pt>
                <c:pt idx="4">
                  <c:v>26072</c:v>
                </c:pt>
                <c:pt idx="5">
                  <c:v>5242</c:v>
                </c:pt>
                <c:pt idx="6">
                  <c:v>2238</c:v>
                </c:pt>
                <c:pt idx="7">
                  <c:v>26784</c:v>
                </c:pt>
                <c:pt idx="8">
                  <c:v>150</c:v>
                </c:pt>
                <c:pt idx="9">
                  <c:v>4134</c:v>
                </c:pt>
                <c:pt idx="10">
                  <c:v>495</c:v>
                </c:pt>
                <c:pt idx="11">
                  <c:v>5947</c:v>
                </c:pt>
                <c:pt idx="12">
                  <c:v>3125</c:v>
                </c:pt>
                <c:pt idx="13">
                  <c:v>25128</c:v>
                </c:pt>
                <c:pt idx="14">
                  <c:v>12698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F-4A2C-BB36-D12500E3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79%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0.79166666666666663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1-4C3C-9B31-495D5DB38DC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71-4C3C-9B31-495D5DB38D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0.49739583333333337</c:v>
                </c:pt>
                <c:pt idx="1">
                  <c:v>0.49739583333333337</c:v>
                </c:pt>
                <c:pt idx="2">
                  <c:v>0.49739583333333337</c:v>
                </c:pt>
                <c:pt idx="3">
                  <c:v>0.49739583333333337</c:v>
                </c:pt>
                <c:pt idx="4">
                  <c:v>0.49739583333333337</c:v>
                </c:pt>
                <c:pt idx="5">
                  <c:v>0.49739583333333337</c:v>
                </c:pt>
                <c:pt idx="6">
                  <c:v>0.49739583333333337</c:v>
                </c:pt>
                <c:pt idx="7">
                  <c:v>0.49739583333333337</c:v>
                </c:pt>
                <c:pt idx="8">
                  <c:v>0.49739583333333337</c:v>
                </c:pt>
                <c:pt idx="9">
                  <c:v>0.49739583333333337</c:v>
                </c:pt>
                <c:pt idx="10">
                  <c:v>0.49739583333333337</c:v>
                </c:pt>
                <c:pt idx="11">
                  <c:v>0.49739583333333337</c:v>
                </c:pt>
                <c:pt idx="12">
                  <c:v>0.49739583333333337</c:v>
                </c:pt>
                <c:pt idx="13">
                  <c:v>0.49739583333333337</c:v>
                </c:pt>
                <c:pt idx="14">
                  <c:v>0.49739583333333337</c:v>
                </c:pt>
                <c:pt idx="15">
                  <c:v>0.49739583333333337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1-4C3C-9B31-495D5DB3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67%</c:v>
                </c:pt>
                <c:pt idx="7">
                  <c:v>100%</c:v>
                </c:pt>
                <c:pt idx="8">
                  <c:v>17%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71%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0.66666666666666663</c:v>
                </c:pt>
                <c:pt idx="7">
                  <c:v>1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0.70833333333333337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DE7-A0D8-41C2BB340AA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E-4DE7-A0D8-41C2BB340A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0.39843749999999994</c:v>
                </c:pt>
                <c:pt idx="1">
                  <c:v>0.39843749999999994</c:v>
                </c:pt>
                <c:pt idx="2">
                  <c:v>0.39843749999999994</c:v>
                </c:pt>
                <c:pt idx="3">
                  <c:v>0.39843749999999994</c:v>
                </c:pt>
                <c:pt idx="4">
                  <c:v>0.39843749999999994</c:v>
                </c:pt>
                <c:pt idx="5">
                  <c:v>0.39843749999999994</c:v>
                </c:pt>
                <c:pt idx="6">
                  <c:v>0.39843749999999994</c:v>
                </c:pt>
                <c:pt idx="7">
                  <c:v>0.39843749999999994</c:v>
                </c:pt>
                <c:pt idx="8">
                  <c:v>0.39843749999999994</c:v>
                </c:pt>
                <c:pt idx="9">
                  <c:v>0.39843749999999994</c:v>
                </c:pt>
                <c:pt idx="10">
                  <c:v>0.39843749999999994</c:v>
                </c:pt>
                <c:pt idx="11">
                  <c:v>0.39843749999999994</c:v>
                </c:pt>
                <c:pt idx="12">
                  <c:v>0.39843749999999994</c:v>
                </c:pt>
                <c:pt idx="13">
                  <c:v>0.39843749999999994</c:v>
                </c:pt>
                <c:pt idx="14">
                  <c:v>0.39843749999999994</c:v>
                </c:pt>
                <c:pt idx="15">
                  <c:v>0.39843749999999994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E-4DE7-A0D8-41C2BB34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A29-4DB3-97A9-7922D7799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9-4DB3-97A9-7922D779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A29-4DB3-97A9-7922D7799B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9-4DB3-97A9-7922D779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3749</c:v>
                </c:pt>
                <c:pt idx="1">
                  <c:v>4292</c:v>
                </c:pt>
                <c:pt idx="2">
                  <c:v>9848</c:v>
                </c:pt>
                <c:pt idx="4">
                  <c:v>25812</c:v>
                </c:pt>
                <c:pt idx="5">
                  <c:v>4980</c:v>
                </c:pt>
                <c:pt idx="6">
                  <c:v>1120</c:v>
                </c:pt>
                <c:pt idx="7">
                  <c:v>27388</c:v>
                </c:pt>
                <c:pt idx="9">
                  <c:v>5757</c:v>
                </c:pt>
                <c:pt idx="13">
                  <c:v>18856</c:v>
                </c:pt>
                <c:pt idx="14">
                  <c:v>23796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4546-AA1D-15D728693F2C}"/>
            </c:ext>
          </c:extLst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3749</c:v>
                </c:pt>
                <c:pt idx="1">
                  <c:v>4292</c:v>
                </c:pt>
                <c:pt idx="2">
                  <c:v>9848</c:v>
                </c:pt>
                <c:pt idx="3">
                  <c:v>5460</c:v>
                </c:pt>
                <c:pt idx="4">
                  <c:v>25812</c:v>
                </c:pt>
                <c:pt idx="5">
                  <c:v>4980</c:v>
                </c:pt>
                <c:pt idx="6">
                  <c:v>1120</c:v>
                </c:pt>
                <c:pt idx="7">
                  <c:v>27388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3125</c:v>
                </c:pt>
                <c:pt idx="13">
                  <c:v>18856</c:v>
                </c:pt>
                <c:pt idx="14">
                  <c:v>23796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4546-AA1D-15D72869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6"/>
                <c:pt idx="0">
                  <c:v>67%</c:v>
                </c:pt>
                <c:pt idx="1">
                  <c:v>42%</c:v>
                </c:pt>
                <c:pt idx="2">
                  <c:v>46%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29%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0.66666666666666663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0.29166666666666669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C-4AB4-B6AC-BD7B9E37813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C-4AB4-B6AC-BD7B9E3781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0.47395833333333331</c:v>
                </c:pt>
                <c:pt idx="1">
                  <c:v>0.47395833333333331</c:v>
                </c:pt>
                <c:pt idx="2">
                  <c:v>0.47395833333333331</c:v>
                </c:pt>
                <c:pt idx="3">
                  <c:v>0.47395833333333331</c:v>
                </c:pt>
                <c:pt idx="4">
                  <c:v>0.47395833333333331</c:v>
                </c:pt>
                <c:pt idx="5">
                  <c:v>0.47395833333333331</c:v>
                </c:pt>
                <c:pt idx="6">
                  <c:v>0.47395833333333331</c:v>
                </c:pt>
                <c:pt idx="7">
                  <c:v>0.47395833333333331</c:v>
                </c:pt>
                <c:pt idx="8">
                  <c:v>0.47395833333333331</c:v>
                </c:pt>
                <c:pt idx="9">
                  <c:v>0.47395833333333331</c:v>
                </c:pt>
                <c:pt idx="10">
                  <c:v>0.47395833333333331</c:v>
                </c:pt>
                <c:pt idx="11">
                  <c:v>0.47395833333333331</c:v>
                </c:pt>
                <c:pt idx="12">
                  <c:v>0.47395833333333331</c:v>
                </c:pt>
                <c:pt idx="13">
                  <c:v>0.47395833333333331</c:v>
                </c:pt>
                <c:pt idx="14">
                  <c:v>0.47395833333333331</c:v>
                </c:pt>
                <c:pt idx="15">
                  <c:v>0.47395833333333331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C-4AB4-B6AC-BD7B9E37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0">
                  <c:v>3749</c:v>
                </c:pt>
                <c:pt idx="1">
                  <c:v>4292</c:v>
                </c:pt>
                <c:pt idx="2">
                  <c:v>9848</c:v>
                </c:pt>
                <c:pt idx="4">
                  <c:v>25812</c:v>
                </c:pt>
                <c:pt idx="5">
                  <c:v>4980</c:v>
                </c:pt>
                <c:pt idx="6">
                  <c:v>1120</c:v>
                </c:pt>
                <c:pt idx="7">
                  <c:v>27388</c:v>
                </c:pt>
                <c:pt idx="9">
                  <c:v>5757</c:v>
                </c:pt>
                <c:pt idx="13">
                  <c:v>18856</c:v>
                </c:pt>
                <c:pt idx="14">
                  <c:v>23796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9-4213-AFBA-070E4E02AF54}"/>
            </c:ext>
          </c:extLst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3749</c:v>
                </c:pt>
                <c:pt idx="1">
                  <c:v>4292</c:v>
                </c:pt>
                <c:pt idx="2">
                  <c:v>9848</c:v>
                </c:pt>
                <c:pt idx="3">
                  <c:v>5460</c:v>
                </c:pt>
                <c:pt idx="4">
                  <c:v>25812</c:v>
                </c:pt>
                <c:pt idx="5">
                  <c:v>4980</c:v>
                </c:pt>
                <c:pt idx="6">
                  <c:v>1120</c:v>
                </c:pt>
                <c:pt idx="7">
                  <c:v>27388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3125</c:v>
                </c:pt>
                <c:pt idx="13">
                  <c:v>18856</c:v>
                </c:pt>
                <c:pt idx="14">
                  <c:v>23796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9-4213-AFBA-070E4E02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6"/>
                <c:pt idx="0">
                  <c:v>67%</c:v>
                </c:pt>
                <c:pt idx="1">
                  <c:v>42%</c:v>
                </c:pt>
                <c:pt idx="2">
                  <c:v>46%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29%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0.66666666666666663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0.29166666666666669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3-4E72-9D36-4CD22FC443A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43-4E72-9D36-4CD22FC443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0.47395833333333331</c:v>
                </c:pt>
                <c:pt idx="1">
                  <c:v>0.47395833333333331</c:v>
                </c:pt>
                <c:pt idx="2">
                  <c:v>0.47395833333333331</c:v>
                </c:pt>
                <c:pt idx="3">
                  <c:v>0.47395833333333331</c:v>
                </c:pt>
                <c:pt idx="4">
                  <c:v>0.47395833333333331</c:v>
                </c:pt>
                <c:pt idx="5">
                  <c:v>0.47395833333333331</c:v>
                </c:pt>
                <c:pt idx="6">
                  <c:v>0.47395833333333331</c:v>
                </c:pt>
                <c:pt idx="7">
                  <c:v>0.47395833333333331</c:v>
                </c:pt>
                <c:pt idx="8">
                  <c:v>0.47395833333333331</c:v>
                </c:pt>
                <c:pt idx="9">
                  <c:v>0.47395833333333331</c:v>
                </c:pt>
                <c:pt idx="10">
                  <c:v>0.47395833333333331</c:v>
                </c:pt>
                <c:pt idx="11">
                  <c:v>0.47395833333333331</c:v>
                </c:pt>
                <c:pt idx="12">
                  <c:v>0.47395833333333331</c:v>
                </c:pt>
                <c:pt idx="13">
                  <c:v>0.47395833333333331</c:v>
                </c:pt>
                <c:pt idx="14">
                  <c:v>0.47395833333333331</c:v>
                </c:pt>
                <c:pt idx="15">
                  <c:v>0.47395833333333331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3-4E72-9D36-4CD22FC4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400-411A-A82F-89983DE62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0-411A-A82F-89983DE6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400-411A-A82F-89983DE62F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0-411A-A82F-89983DE6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0">
                  <c:v>6136</c:v>
                </c:pt>
                <c:pt idx="4">
                  <c:v>25952</c:v>
                </c:pt>
                <c:pt idx="5">
                  <c:v>450</c:v>
                </c:pt>
                <c:pt idx="7">
                  <c:v>26976</c:v>
                </c:pt>
                <c:pt idx="12">
                  <c:v>1703</c:v>
                </c:pt>
                <c:pt idx="13">
                  <c:v>25256</c:v>
                </c:pt>
                <c:pt idx="14">
                  <c:v>26920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E-4034-B26E-0382C75A8E71}"/>
            </c:ext>
          </c:extLst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6136</c:v>
                </c:pt>
                <c:pt idx="1">
                  <c:v>4292</c:v>
                </c:pt>
                <c:pt idx="2">
                  <c:v>9848</c:v>
                </c:pt>
                <c:pt idx="3">
                  <c:v>5460</c:v>
                </c:pt>
                <c:pt idx="4">
                  <c:v>25952</c:v>
                </c:pt>
                <c:pt idx="5">
                  <c:v>450</c:v>
                </c:pt>
                <c:pt idx="6">
                  <c:v>1120</c:v>
                </c:pt>
                <c:pt idx="7">
                  <c:v>26976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1703</c:v>
                </c:pt>
                <c:pt idx="13">
                  <c:v>25256</c:v>
                </c:pt>
                <c:pt idx="14">
                  <c:v>26920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E-4034-B26E-0382C75A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6"/>
                <c:pt idx="0">
                  <c:v>100%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17%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42%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0.16666666666666666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A-4A4B-A51E-66D730B9AD0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7A-4A4B-A51E-66D730B9AD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0.34895833333333331</c:v>
                </c:pt>
                <c:pt idx="1">
                  <c:v>0.34895833333333331</c:v>
                </c:pt>
                <c:pt idx="2">
                  <c:v>0.34895833333333331</c:v>
                </c:pt>
                <c:pt idx="3">
                  <c:v>0.34895833333333331</c:v>
                </c:pt>
                <c:pt idx="4">
                  <c:v>0.34895833333333331</c:v>
                </c:pt>
                <c:pt idx="5">
                  <c:v>0.34895833333333331</c:v>
                </c:pt>
                <c:pt idx="6">
                  <c:v>0.34895833333333331</c:v>
                </c:pt>
                <c:pt idx="7">
                  <c:v>0.34895833333333331</c:v>
                </c:pt>
                <c:pt idx="8">
                  <c:v>0.34895833333333331</c:v>
                </c:pt>
                <c:pt idx="9">
                  <c:v>0.34895833333333331</c:v>
                </c:pt>
                <c:pt idx="10">
                  <c:v>0.34895833333333331</c:v>
                </c:pt>
                <c:pt idx="11">
                  <c:v>0.34895833333333331</c:v>
                </c:pt>
                <c:pt idx="12">
                  <c:v>0.34895833333333331</c:v>
                </c:pt>
                <c:pt idx="13">
                  <c:v>0.34895833333333331</c:v>
                </c:pt>
                <c:pt idx="14">
                  <c:v>0.34895833333333331</c:v>
                </c:pt>
                <c:pt idx="15">
                  <c:v>0.34895833333333331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A-4A4B-A51E-66D730B9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'08'!$L$6:$L$21</c:f>
              <c:numCache>
                <c:formatCode>_(* #,##0_);_(* \(#,##0\);_(* "-"_);_(@_)</c:formatCode>
                <c:ptCount val="16"/>
                <c:pt idx="0">
                  <c:v>6136</c:v>
                </c:pt>
                <c:pt idx="4">
                  <c:v>25952</c:v>
                </c:pt>
                <c:pt idx="5">
                  <c:v>450</c:v>
                </c:pt>
                <c:pt idx="7">
                  <c:v>26976</c:v>
                </c:pt>
                <c:pt idx="12">
                  <c:v>1703</c:v>
                </c:pt>
                <c:pt idx="13">
                  <c:v>25256</c:v>
                </c:pt>
                <c:pt idx="14">
                  <c:v>26920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0AE-83C9-A9F01B132109}"/>
            </c:ext>
          </c:extLst>
        </c:ser>
        <c:ser>
          <c:idx val="1"/>
          <c:order val="1"/>
          <c:tx>
            <c:v>계획</c:v>
          </c:tx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'08'!$J$6:$J$21</c:f>
              <c:numCache>
                <c:formatCode>_(* #,##0_);_(* \(#,##0\);_(* "-"_);_(@_)</c:formatCode>
                <c:ptCount val="16"/>
                <c:pt idx="0">
                  <c:v>6136</c:v>
                </c:pt>
                <c:pt idx="1">
                  <c:v>4292</c:v>
                </c:pt>
                <c:pt idx="2">
                  <c:v>9848</c:v>
                </c:pt>
                <c:pt idx="3">
                  <c:v>5460</c:v>
                </c:pt>
                <c:pt idx="4">
                  <c:v>25952</c:v>
                </c:pt>
                <c:pt idx="5">
                  <c:v>450</c:v>
                </c:pt>
                <c:pt idx="6">
                  <c:v>1120</c:v>
                </c:pt>
                <c:pt idx="7">
                  <c:v>26976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1703</c:v>
                </c:pt>
                <c:pt idx="13">
                  <c:v>25256</c:v>
                </c:pt>
                <c:pt idx="14">
                  <c:v>26920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C-40AE-83C9-A9F01B13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'08'!$AD$6:$AD$21</c:f>
              <c:strCache>
                <c:ptCount val="16"/>
                <c:pt idx="0">
                  <c:v>100%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17%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42%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'08'!$AD$6:$AD$21</c:f>
              <c:numCache>
                <c:formatCode>0%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0.16666666666666666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0.41666666666666669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E-4D5C-8AE8-18F29748EA0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E-4D5C-8AE8-18F29748EA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'08'!$AE$6:$AE$21</c:f>
              <c:numCache>
                <c:formatCode>0%</c:formatCode>
                <c:ptCount val="16"/>
                <c:pt idx="0">
                  <c:v>0.34895833333333331</c:v>
                </c:pt>
                <c:pt idx="1">
                  <c:v>0.34895833333333331</c:v>
                </c:pt>
                <c:pt idx="2">
                  <c:v>0.34895833333333331</c:v>
                </c:pt>
                <c:pt idx="3">
                  <c:v>0.34895833333333331</c:v>
                </c:pt>
                <c:pt idx="4">
                  <c:v>0.34895833333333331</c:v>
                </c:pt>
                <c:pt idx="5">
                  <c:v>0.34895833333333331</c:v>
                </c:pt>
                <c:pt idx="6">
                  <c:v>0.34895833333333331</c:v>
                </c:pt>
                <c:pt idx="7">
                  <c:v>0.34895833333333331</c:v>
                </c:pt>
                <c:pt idx="8">
                  <c:v>0.34895833333333331</c:v>
                </c:pt>
                <c:pt idx="9">
                  <c:v>0.34895833333333331</c:v>
                </c:pt>
                <c:pt idx="10">
                  <c:v>0.34895833333333331</c:v>
                </c:pt>
                <c:pt idx="11">
                  <c:v>0.34895833333333331</c:v>
                </c:pt>
                <c:pt idx="12">
                  <c:v>0.34895833333333331</c:v>
                </c:pt>
                <c:pt idx="13">
                  <c:v>0.34895833333333331</c:v>
                </c:pt>
                <c:pt idx="14">
                  <c:v>0.34895833333333331</c:v>
                </c:pt>
                <c:pt idx="15">
                  <c:v>0.34895833333333331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E-4D5C-8AE8-18F29748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2">
                  <c:v>23516</c:v>
                </c:pt>
                <c:pt idx="6">
                  <c:v>9615</c:v>
                </c:pt>
                <c:pt idx="7">
                  <c:v>26324</c:v>
                </c:pt>
                <c:pt idx="8">
                  <c:v>166</c:v>
                </c:pt>
                <c:pt idx="11">
                  <c:v>5997</c:v>
                </c:pt>
                <c:pt idx="12">
                  <c:v>3436</c:v>
                </c:pt>
                <c:pt idx="13">
                  <c:v>20524</c:v>
                </c:pt>
                <c:pt idx="14">
                  <c:v>12314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F-49FE-B800-061103C80E6B}"/>
            </c:ext>
          </c:extLst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1012</c:v>
                </c:pt>
                <c:pt idx="2">
                  <c:v>23516</c:v>
                </c:pt>
                <c:pt idx="3">
                  <c:v>5460</c:v>
                </c:pt>
                <c:pt idx="4">
                  <c:v>1424</c:v>
                </c:pt>
                <c:pt idx="5">
                  <c:v>2940</c:v>
                </c:pt>
                <c:pt idx="6">
                  <c:v>9615</c:v>
                </c:pt>
                <c:pt idx="7">
                  <c:v>26324</c:v>
                </c:pt>
                <c:pt idx="8">
                  <c:v>166</c:v>
                </c:pt>
                <c:pt idx="9">
                  <c:v>15572</c:v>
                </c:pt>
                <c:pt idx="10">
                  <c:v>495</c:v>
                </c:pt>
                <c:pt idx="11">
                  <c:v>5997</c:v>
                </c:pt>
                <c:pt idx="12">
                  <c:v>3436</c:v>
                </c:pt>
                <c:pt idx="13">
                  <c:v>20524</c:v>
                </c:pt>
                <c:pt idx="14">
                  <c:v>12314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F-49FE-B800-061103C8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C28-4D77-8F85-A7F2AA4C26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8-4D77-8F85-A7F2AA4C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C28-4D77-8F85-A7F2AA4C26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8-4D77-8F85-A7F2AA4C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0">
                  <c:v>6101</c:v>
                </c:pt>
                <c:pt idx="1">
                  <c:v>19516</c:v>
                </c:pt>
                <c:pt idx="4">
                  <c:v>25244</c:v>
                </c:pt>
                <c:pt idx="6">
                  <c:v>900</c:v>
                </c:pt>
                <c:pt idx="7">
                  <c:v>20216</c:v>
                </c:pt>
                <c:pt idx="12">
                  <c:v>4686</c:v>
                </c:pt>
                <c:pt idx="13">
                  <c:v>23464</c:v>
                </c:pt>
                <c:pt idx="14">
                  <c:v>25064</c:v>
                </c:pt>
                <c:pt idx="15">
                  <c:v>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F-458E-B4A9-B478683662AC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6101</c:v>
                </c:pt>
                <c:pt idx="1">
                  <c:v>19516</c:v>
                </c:pt>
                <c:pt idx="2">
                  <c:v>9848</c:v>
                </c:pt>
                <c:pt idx="3">
                  <c:v>5460</c:v>
                </c:pt>
                <c:pt idx="4">
                  <c:v>25244</c:v>
                </c:pt>
                <c:pt idx="5">
                  <c:v>450</c:v>
                </c:pt>
                <c:pt idx="6">
                  <c:v>900</c:v>
                </c:pt>
                <c:pt idx="7">
                  <c:v>20216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4686</c:v>
                </c:pt>
                <c:pt idx="13">
                  <c:v>23464</c:v>
                </c:pt>
                <c:pt idx="14">
                  <c:v>25064</c:v>
                </c:pt>
                <c:pt idx="15">
                  <c:v>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F-458E-B4A9-B4786836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100%</c:v>
                </c:pt>
                <c:pt idx="1">
                  <c:v>75%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25%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88%</c:v>
                </c:pt>
                <c:pt idx="13">
                  <c:v>100%</c:v>
                </c:pt>
                <c:pt idx="14">
                  <c:v>100%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0.875</c:v>
                </c:pt>
                <c:pt idx="13">
                  <c:v>1</c:v>
                </c:pt>
                <c:pt idx="14">
                  <c:v>1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BAC-94E7-A25A0C76B36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91-4BAC-94E7-A25A0C76B3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0.44270833333333331</c:v>
                </c:pt>
                <c:pt idx="1">
                  <c:v>0.44270833333333331</c:v>
                </c:pt>
                <c:pt idx="2">
                  <c:v>0.44270833333333331</c:v>
                </c:pt>
                <c:pt idx="3">
                  <c:v>0.44270833333333331</c:v>
                </c:pt>
                <c:pt idx="4">
                  <c:v>0.44270833333333331</c:v>
                </c:pt>
                <c:pt idx="5">
                  <c:v>0.44270833333333331</c:v>
                </c:pt>
                <c:pt idx="6">
                  <c:v>0.44270833333333331</c:v>
                </c:pt>
                <c:pt idx="7">
                  <c:v>0.44270833333333331</c:v>
                </c:pt>
                <c:pt idx="8">
                  <c:v>0.44270833333333331</c:v>
                </c:pt>
                <c:pt idx="9">
                  <c:v>0.44270833333333331</c:v>
                </c:pt>
                <c:pt idx="10">
                  <c:v>0.44270833333333331</c:v>
                </c:pt>
                <c:pt idx="11">
                  <c:v>0.44270833333333331</c:v>
                </c:pt>
                <c:pt idx="12">
                  <c:v>0.44270833333333331</c:v>
                </c:pt>
                <c:pt idx="13">
                  <c:v>0.44270833333333331</c:v>
                </c:pt>
                <c:pt idx="14">
                  <c:v>0.44270833333333331</c:v>
                </c:pt>
                <c:pt idx="15">
                  <c:v>0.44270833333333331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1-4BAC-94E7-A25A0C76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0">
                  <c:v>6101</c:v>
                </c:pt>
                <c:pt idx="1">
                  <c:v>19516</c:v>
                </c:pt>
                <c:pt idx="4">
                  <c:v>25244</c:v>
                </c:pt>
                <c:pt idx="6">
                  <c:v>900</c:v>
                </c:pt>
                <c:pt idx="7">
                  <c:v>20216</c:v>
                </c:pt>
                <c:pt idx="12">
                  <c:v>4686</c:v>
                </c:pt>
                <c:pt idx="13">
                  <c:v>23464</c:v>
                </c:pt>
                <c:pt idx="14">
                  <c:v>25064</c:v>
                </c:pt>
                <c:pt idx="15">
                  <c:v>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6-4F73-885A-0F50FA99702A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6101</c:v>
                </c:pt>
                <c:pt idx="1">
                  <c:v>19516</c:v>
                </c:pt>
                <c:pt idx="2">
                  <c:v>9848</c:v>
                </c:pt>
                <c:pt idx="3">
                  <c:v>5460</c:v>
                </c:pt>
                <c:pt idx="4">
                  <c:v>25244</c:v>
                </c:pt>
                <c:pt idx="5">
                  <c:v>450</c:v>
                </c:pt>
                <c:pt idx="6">
                  <c:v>900</c:v>
                </c:pt>
                <c:pt idx="7">
                  <c:v>20216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4686</c:v>
                </c:pt>
                <c:pt idx="13">
                  <c:v>23464</c:v>
                </c:pt>
                <c:pt idx="14">
                  <c:v>25064</c:v>
                </c:pt>
                <c:pt idx="15">
                  <c:v>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6-4F73-885A-0F50FA99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100%</c:v>
                </c:pt>
                <c:pt idx="1">
                  <c:v>75%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25%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88%</c:v>
                </c:pt>
                <c:pt idx="13">
                  <c:v>100%</c:v>
                </c:pt>
                <c:pt idx="14">
                  <c:v>100%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0.875</c:v>
                </c:pt>
                <c:pt idx="13">
                  <c:v>1</c:v>
                </c:pt>
                <c:pt idx="14">
                  <c:v>1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482F-94A1-7D78922DFA3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6-482F-94A1-7D78922DFA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LEAD GUIDE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0.44270833333333331</c:v>
                </c:pt>
                <c:pt idx="1">
                  <c:v>0.44270833333333331</c:v>
                </c:pt>
                <c:pt idx="2">
                  <c:v>0.44270833333333331</c:v>
                </c:pt>
                <c:pt idx="3">
                  <c:v>0.44270833333333331</c:v>
                </c:pt>
                <c:pt idx="4">
                  <c:v>0.44270833333333331</c:v>
                </c:pt>
                <c:pt idx="5">
                  <c:v>0.44270833333333331</c:v>
                </c:pt>
                <c:pt idx="6">
                  <c:v>0.44270833333333331</c:v>
                </c:pt>
                <c:pt idx="7">
                  <c:v>0.44270833333333331</c:v>
                </c:pt>
                <c:pt idx="8">
                  <c:v>0.44270833333333331</c:v>
                </c:pt>
                <c:pt idx="9">
                  <c:v>0.44270833333333331</c:v>
                </c:pt>
                <c:pt idx="10">
                  <c:v>0.44270833333333331</c:v>
                </c:pt>
                <c:pt idx="11">
                  <c:v>0.44270833333333331</c:v>
                </c:pt>
                <c:pt idx="12">
                  <c:v>0.44270833333333331</c:v>
                </c:pt>
                <c:pt idx="13">
                  <c:v>0.44270833333333331</c:v>
                </c:pt>
                <c:pt idx="14">
                  <c:v>0.44270833333333331</c:v>
                </c:pt>
                <c:pt idx="15">
                  <c:v>0.44270833333333331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6-482F-94A1-7D78922D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121-4D75-9FCB-F7DA20661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1-4D75-9FCB-F7DA2066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121-4D75-9FCB-F7DA206618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D75-9FCB-F7DA2066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28064</c:v>
                </c:pt>
                <c:pt idx="4">
                  <c:v>12548</c:v>
                </c:pt>
                <c:pt idx="6">
                  <c:v>1698</c:v>
                </c:pt>
                <c:pt idx="7">
                  <c:v>27216</c:v>
                </c:pt>
                <c:pt idx="13">
                  <c:v>17440</c:v>
                </c:pt>
                <c:pt idx="14">
                  <c:v>6512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2-45C3-941F-E0DCC7CA60FB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28064</c:v>
                </c:pt>
                <c:pt idx="2">
                  <c:v>9848</c:v>
                </c:pt>
                <c:pt idx="3">
                  <c:v>5460</c:v>
                </c:pt>
                <c:pt idx="4">
                  <c:v>12548</c:v>
                </c:pt>
                <c:pt idx="5">
                  <c:v>450</c:v>
                </c:pt>
                <c:pt idx="6">
                  <c:v>1698</c:v>
                </c:pt>
                <c:pt idx="7">
                  <c:v>27216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450</c:v>
                </c:pt>
                <c:pt idx="13">
                  <c:v>17440</c:v>
                </c:pt>
                <c:pt idx="14">
                  <c:v>6512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2-45C3-941F-E0DCC7CA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17%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54%</c:v>
                </c:pt>
                <c:pt idx="5">
                  <c:v>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79%</c:v>
                </c:pt>
                <c:pt idx="14">
                  <c:v>29%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0.16666666666666666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0.29166666666666669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E-414D-A370-706EDBDB843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CE-414D-A370-706EDBDB8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0.296875</c:v>
                </c:pt>
                <c:pt idx="1">
                  <c:v>0.296875</c:v>
                </c:pt>
                <c:pt idx="2">
                  <c:v>0.296875</c:v>
                </c:pt>
                <c:pt idx="3">
                  <c:v>0.296875</c:v>
                </c:pt>
                <c:pt idx="4">
                  <c:v>0.296875</c:v>
                </c:pt>
                <c:pt idx="5">
                  <c:v>0.296875</c:v>
                </c:pt>
                <c:pt idx="6">
                  <c:v>0.296875</c:v>
                </c:pt>
                <c:pt idx="7">
                  <c:v>0.296875</c:v>
                </c:pt>
                <c:pt idx="8">
                  <c:v>0.296875</c:v>
                </c:pt>
                <c:pt idx="9">
                  <c:v>0.296875</c:v>
                </c:pt>
                <c:pt idx="10">
                  <c:v>0.296875</c:v>
                </c:pt>
                <c:pt idx="11">
                  <c:v>0.296875</c:v>
                </c:pt>
                <c:pt idx="12">
                  <c:v>0.296875</c:v>
                </c:pt>
                <c:pt idx="13">
                  <c:v>0.296875</c:v>
                </c:pt>
                <c:pt idx="14">
                  <c:v>0.296875</c:v>
                </c:pt>
                <c:pt idx="15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E-414D-A370-706EDBDB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28064</c:v>
                </c:pt>
                <c:pt idx="4">
                  <c:v>12548</c:v>
                </c:pt>
                <c:pt idx="6">
                  <c:v>1698</c:v>
                </c:pt>
                <c:pt idx="7">
                  <c:v>27216</c:v>
                </c:pt>
                <c:pt idx="13">
                  <c:v>17440</c:v>
                </c:pt>
                <c:pt idx="14">
                  <c:v>6512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0-4456-8292-1B64FD4E2C91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28064</c:v>
                </c:pt>
                <c:pt idx="2">
                  <c:v>9848</c:v>
                </c:pt>
                <c:pt idx="3">
                  <c:v>5460</c:v>
                </c:pt>
                <c:pt idx="4">
                  <c:v>12548</c:v>
                </c:pt>
                <c:pt idx="5">
                  <c:v>450</c:v>
                </c:pt>
                <c:pt idx="6">
                  <c:v>1698</c:v>
                </c:pt>
                <c:pt idx="7">
                  <c:v>27216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450</c:v>
                </c:pt>
                <c:pt idx="13">
                  <c:v>17440</c:v>
                </c:pt>
                <c:pt idx="14">
                  <c:v>6512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0-4456-8292-1B64FD4E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17%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54%</c:v>
                </c:pt>
                <c:pt idx="5">
                  <c:v>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79%</c:v>
                </c:pt>
                <c:pt idx="14">
                  <c:v>29%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0.16666666666666666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0.29166666666666669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C-442B-B4DE-351599AC8CF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C-442B-B4DE-351599AC8C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0.296875</c:v>
                </c:pt>
                <c:pt idx="1">
                  <c:v>0.296875</c:v>
                </c:pt>
                <c:pt idx="2">
                  <c:v>0.296875</c:v>
                </c:pt>
                <c:pt idx="3">
                  <c:v>0.296875</c:v>
                </c:pt>
                <c:pt idx="4">
                  <c:v>0.296875</c:v>
                </c:pt>
                <c:pt idx="5">
                  <c:v>0.296875</c:v>
                </c:pt>
                <c:pt idx="6">
                  <c:v>0.296875</c:v>
                </c:pt>
                <c:pt idx="7">
                  <c:v>0.296875</c:v>
                </c:pt>
                <c:pt idx="8">
                  <c:v>0.296875</c:v>
                </c:pt>
                <c:pt idx="9">
                  <c:v>0.296875</c:v>
                </c:pt>
                <c:pt idx="10">
                  <c:v>0.296875</c:v>
                </c:pt>
                <c:pt idx="11">
                  <c:v>0.296875</c:v>
                </c:pt>
                <c:pt idx="12">
                  <c:v>0.296875</c:v>
                </c:pt>
                <c:pt idx="13">
                  <c:v>0.296875</c:v>
                </c:pt>
                <c:pt idx="14">
                  <c:v>0.296875</c:v>
                </c:pt>
                <c:pt idx="15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C-442B-B4DE-351599AC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67%</c:v>
                </c:pt>
                <c:pt idx="7">
                  <c:v>100%</c:v>
                </c:pt>
                <c:pt idx="8">
                  <c:v>17%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71%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0.66666666666666663</c:v>
                </c:pt>
                <c:pt idx="7">
                  <c:v>1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0.70833333333333337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0-44E6-B5FA-12D18F9DCF7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40-44E6-B5FA-12D18F9DCF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0">
                  <c:v>ADAPTER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0.39843749999999994</c:v>
                </c:pt>
                <c:pt idx="1">
                  <c:v>0.39843749999999994</c:v>
                </c:pt>
                <c:pt idx="2">
                  <c:v>0.39843749999999994</c:v>
                </c:pt>
                <c:pt idx="3">
                  <c:v>0.39843749999999994</c:v>
                </c:pt>
                <c:pt idx="4">
                  <c:v>0.39843749999999994</c:v>
                </c:pt>
                <c:pt idx="5">
                  <c:v>0.39843749999999994</c:v>
                </c:pt>
                <c:pt idx="6">
                  <c:v>0.39843749999999994</c:v>
                </c:pt>
                <c:pt idx="7">
                  <c:v>0.39843749999999994</c:v>
                </c:pt>
                <c:pt idx="8">
                  <c:v>0.39843749999999994</c:v>
                </c:pt>
                <c:pt idx="9">
                  <c:v>0.39843749999999994</c:v>
                </c:pt>
                <c:pt idx="10">
                  <c:v>0.39843749999999994</c:v>
                </c:pt>
                <c:pt idx="11">
                  <c:v>0.39843749999999994</c:v>
                </c:pt>
                <c:pt idx="12">
                  <c:v>0.39843749999999994</c:v>
                </c:pt>
                <c:pt idx="13">
                  <c:v>0.39843749999999994</c:v>
                </c:pt>
                <c:pt idx="14">
                  <c:v>0.39843749999999994</c:v>
                </c:pt>
                <c:pt idx="15">
                  <c:v>0.39843749999999994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0-44E6-B5FA-12D18F9D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A42-4B7B-B389-39549BA18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2-4B7B-B389-39549BA1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A42-4B7B-B389-39549BA181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2-4B7B-B389-39549BA1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1">
                  <c:v>28556</c:v>
                </c:pt>
                <c:pt idx="3">
                  <c:v>665</c:v>
                </c:pt>
                <c:pt idx="4">
                  <c:v>24568</c:v>
                </c:pt>
                <c:pt idx="5">
                  <c:v>1112</c:v>
                </c:pt>
                <c:pt idx="6">
                  <c:v>5633</c:v>
                </c:pt>
                <c:pt idx="7">
                  <c:v>23444</c:v>
                </c:pt>
                <c:pt idx="12">
                  <c:v>4173</c:v>
                </c:pt>
                <c:pt idx="13">
                  <c:v>25360</c:v>
                </c:pt>
                <c:pt idx="14">
                  <c:v>18364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E-4AF5-8A07-2A6B806C30A9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28556</c:v>
                </c:pt>
                <c:pt idx="2">
                  <c:v>9848</c:v>
                </c:pt>
                <c:pt idx="3">
                  <c:v>665</c:v>
                </c:pt>
                <c:pt idx="4">
                  <c:v>24568</c:v>
                </c:pt>
                <c:pt idx="5">
                  <c:v>1112</c:v>
                </c:pt>
                <c:pt idx="6">
                  <c:v>5633</c:v>
                </c:pt>
                <c:pt idx="7">
                  <c:v>23444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4173</c:v>
                </c:pt>
                <c:pt idx="13">
                  <c:v>25360</c:v>
                </c:pt>
                <c:pt idx="14">
                  <c:v>18364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E-4AF5-8A07-2A6B806C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21%</c:v>
                </c:pt>
                <c:pt idx="4">
                  <c:v>100%</c:v>
                </c:pt>
                <c:pt idx="5">
                  <c:v>33%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100%</c:v>
                </c:pt>
                <c:pt idx="14">
                  <c:v>75%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0.20833333333333334</c:v>
                </c:pt>
                <c:pt idx="4">
                  <c:v>1</c:v>
                </c:pt>
                <c:pt idx="5">
                  <c:v>0.33333333333333331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1</c:v>
                </c:pt>
                <c:pt idx="14">
                  <c:v>0.75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6-4301-A0EE-C1EF3FF8EF4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56-4301-A0EE-C1EF3FF8EF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0.44270833333333331</c:v>
                </c:pt>
                <c:pt idx="1">
                  <c:v>0.44270833333333331</c:v>
                </c:pt>
                <c:pt idx="2">
                  <c:v>0.44270833333333331</c:v>
                </c:pt>
                <c:pt idx="3">
                  <c:v>0.44270833333333331</c:v>
                </c:pt>
                <c:pt idx="4">
                  <c:v>0.44270833333333331</c:v>
                </c:pt>
                <c:pt idx="5">
                  <c:v>0.44270833333333331</c:v>
                </c:pt>
                <c:pt idx="6">
                  <c:v>0.44270833333333331</c:v>
                </c:pt>
                <c:pt idx="7">
                  <c:v>0.44270833333333331</c:v>
                </c:pt>
                <c:pt idx="8">
                  <c:v>0.44270833333333331</c:v>
                </c:pt>
                <c:pt idx="9">
                  <c:v>0.44270833333333331</c:v>
                </c:pt>
                <c:pt idx="10">
                  <c:v>0.44270833333333331</c:v>
                </c:pt>
                <c:pt idx="11">
                  <c:v>0.44270833333333331</c:v>
                </c:pt>
                <c:pt idx="12">
                  <c:v>0.44270833333333331</c:v>
                </c:pt>
                <c:pt idx="13">
                  <c:v>0.44270833333333331</c:v>
                </c:pt>
                <c:pt idx="14">
                  <c:v>0.44270833333333331</c:v>
                </c:pt>
                <c:pt idx="15">
                  <c:v>0.44270833333333331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6-4301-A0EE-C1EF3FF8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1">
                  <c:v>28556</c:v>
                </c:pt>
                <c:pt idx="3">
                  <c:v>665</c:v>
                </c:pt>
                <c:pt idx="4">
                  <c:v>24568</c:v>
                </c:pt>
                <c:pt idx="5">
                  <c:v>1112</c:v>
                </c:pt>
                <c:pt idx="6">
                  <c:v>5633</c:v>
                </c:pt>
                <c:pt idx="7">
                  <c:v>23444</c:v>
                </c:pt>
                <c:pt idx="12">
                  <c:v>4173</c:v>
                </c:pt>
                <c:pt idx="13">
                  <c:v>25360</c:v>
                </c:pt>
                <c:pt idx="14">
                  <c:v>18364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A-4451-AF0A-3F0C7F20D720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28556</c:v>
                </c:pt>
                <c:pt idx="2">
                  <c:v>9848</c:v>
                </c:pt>
                <c:pt idx="3">
                  <c:v>665</c:v>
                </c:pt>
                <c:pt idx="4">
                  <c:v>24568</c:v>
                </c:pt>
                <c:pt idx="5">
                  <c:v>1112</c:v>
                </c:pt>
                <c:pt idx="6">
                  <c:v>5633</c:v>
                </c:pt>
                <c:pt idx="7">
                  <c:v>23444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4173</c:v>
                </c:pt>
                <c:pt idx="13">
                  <c:v>25360</c:v>
                </c:pt>
                <c:pt idx="14">
                  <c:v>18364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A-4451-AF0A-3F0C7F20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21%</c:v>
                </c:pt>
                <c:pt idx="4">
                  <c:v>100%</c:v>
                </c:pt>
                <c:pt idx="5">
                  <c:v>33%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100%</c:v>
                </c:pt>
                <c:pt idx="14">
                  <c:v>75%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0.20833333333333334</c:v>
                </c:pt>
                <c:pt idx="4">
                  <c:v>1</c:v>
                </c:pt>
                <c:pt idx="5">
                  <c:v>0.33333333333333331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1</c:v>
                </c:pt>
                <c:pt idx="14">
                  <c:v>0.75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571-A5B4-D729119BE58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5F-4571-A5B4-D729119BE5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SLIDER</c:v>
                </c:pt>
                <c:pt idx="4">
                  <c:v>STOPPER</c:v>
                </c:pt>
                <c:pt idx="5">
                  <c:v>ACTUATOR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0.44270833333333331</c:v>
                </c:pt>
                <c:pt idx="1">
                  <c:v>0.44270833333333331</c:v>
                </c:pt>
                <c:pt idx="2">
                  <c:v>0.44270833333333331</c:v>
                </c:pt>
                <c:pt idx="3">
                  <c:v>0.44270833333333331</c:v>
                </c:pt>
                <c:pt idx="4">
                  <c:v>0.44270833333333331</c:v>
                </c:pt>
                <c:pt idx="5">
                  <c:v>0.44270833333333331</c:v>
                </c:pt>
                <c:pt idx="6">
                  <c:v>0.44270833333333331</c:v>
                </c:pt>
                <c:pt idx="7">
                  <c:v>0.44270833333333331</c:v>
                </c:pt>
                <c:pt idx="8">
                  <c:v>0.44270833333333331</c:v>
                </c:pt>
                <c:pt idx="9">
                  <c:v>0.44270833333333331</c:v>
                </c:pt>
                <c:pt idx="10">
                  <c:v>0.44270833333333331</c:v>
                </c:pt>
                <c:pt idx="11">
                  <c:v>0.44270833333333331</c:v>
                </c:pt>
                <c:pt idx="12">
                  <c:v>0.44270833333333331</c:v>
                </c:pt>
                <c:pt idx="13">
                  <c:v>0.44270833333333331</c:v>
                </c:pt>
                <c:pt idx="14">
                  <c:v>0.44270833333333331</c:v>
                </c:pt>
                <c:pt idx="15">
                  <c:v>0.44270833333333331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F-4571-A5B4-D729119B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3CB-43CE-9322-5E94536B1E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B-43CE-9322-5E94536B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3CB-43CE-9322-5E94536B1E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B-43CE-9322-5E94536B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1">
                  <c:v>28800</c:v>
                </c:pt>
                <c:pt idx="3">
                  <c:v>11784</c:v>
                </c:pt>
                <c:pt idx="5">
                  <c:v>4000</c:v>
                </c:pt>
                <c:pt idx="6">
                  <c:v>5697</c:v>
                </c:pt>
                <c:pt idx="7">
                  <c:v>5352</c:v>
                </c:pt>
                <c:pt idx="12">
                  <c:v>2598</c:v>
                </c:pt>
                <c:pt idx="13">
                  <c:v>5768</c:v>
                </c:pt>
                <c:pt idx="14">
                  <c:v>27380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503-B663-40B682C820E5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28800</c:v>
                </c:pt>
                <c:pt idx="2">
                  <c:v>9848</c:v>
                </c:pt>
                <c:pt idx="3">
                  <c:v>11784</c:v>
                </c:pt>
                <c:pt idx="4">
                  <c:v>24568</c:v>
                </c:pt>
                <c:pt idx="5">
                  <c:v>4000</c:v>
                </c:pt>
                <c:pt idx="6">
                  <c:v>5697</c:v>
                </c:pt>
                <c:pt idx="7">
                  <c:v>5352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2598</c:v>
                </c:pt>
                <c:pt idx="13">
                  <c:v>5768</c:v>
                </c:pt>
                <c:pt idx="14">
                  <c:v>27380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503-B663-40B682C8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88%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33%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0.875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0.33333333333333331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8F3-9B89-9F61E3EC6CB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40-48F3-9B89-9F61E3EC6C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0.421875</c:v>
                </c:pt>
                <c:pt idx="1">
                  <c:v>0.421875</c:v>
                </c:pt>
                <c:pt idx="2">
                  <c:v>0.421875</c:v>
                </c:pt>
                <c:pt idx="3">
                  <c:v>0.421875</c:v>
                </c:pt>
                <c:pt idx="4">
                  <c:v>0.421875</c:v>
                </c:pt>
                <c:pt idx="5">
                  <c:v>0.421875</c:v>
                </c:pt>
                <c:pt idx="6">
                  <c:v>0.421875</c:v>
                </c:pt>
                <c:pt idx="7">
                  <c:v>0.421875</c:v>
                </c:pt>
                <c:pt idx="8">
                  <c:v>0.421875</c:v>
                </c:pt>
                <c:pt idx="9">
                  <c:v>0.421875</c:v>
                </c:pt>
                <c:pt idx="10">
                  <c:v>0.421875</c:v>
                </c:pt>
                <c:pt idx="11">
                  <c:v>0.421875</c:v>
                </c:pt>
                <c:pt idx="12">
                  <c:v>0.421875</c:v>
                </c:pt>
                <c:pt idx="13">
                  <c:v>0.421875</c:v>
                </c:pt>
                <c:pt idx="14">
                  <c:v>0.421875</c:v>
                </c:pt>
                <c:pt idx="15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0-48F3-9B89-9F61E3EC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1">
                  <c:v>28800</c:v>
                </c:pt>
                <c:pt idx="3">
                  <c:v>11784</c:v>
                </c:pt>
                <c:pt idx="5">
                  <c:v>4000</c:v>
                </c:pt>
                <c:pt idx="6">
                  <c:v>5697</c:v>
                </c:pt>
                <c:pt idx="7">
                  <c:v>5352</c:v>
                </c:pt>
                <c:pt idx="12">
                  <c:v>2598</c:v>
                </c:pt>
                <c:pt idx="13">
                  <c:v>5768</c:v>
                </c:pt>
                <c:pt idx="14">
                  <c:v>27380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1-4D74-9AB7-BE076227FBFA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28800</c:v>
                </c:pt>
                <c:pt idx="2">
                  <c:v>9848</c:v>
                </c:pt>
                <c:pt idx="3">
                  <c:v>11784</c:v>
                </c:pt>
                <c:pt idx="4">
                  <c:v>24568</c:v>
                </c:pt>
                <c:pt idx="5">
                  <c:v>4000</c:v>
                </c:pt>
                <c:pt idx="6">
                  <c:v>5697</c:v>
                </c:pt>
                <c:pt idx="7">
                  <c:v>5352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2598</c:v>
                </c:pt>
                <c:pt idx="13">
                  <c:v>5768</c:v>
                </c:pt>
                <c:pt idx="14">
                  <c:v>27380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1-4D74-9AB7-BE076227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88%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33%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0.875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0.33333333333333331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C-4E55-A268-E1086AEEFCF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FC-4E55-A268-E1086AEEFC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0.421875</c:v>
                </c:pt>
                <c:pt idx="1">
                  <c:v>0.421875</c:v>
                </c:pt>
                <c:pt idx="2">
                  <c:v>0.421875</c:v>
                </c:pt>
                <c:pt idx="3">
                  <c:v>0.421875</c:v>
                </c:pt>
                <c:pt idx="4">
                  <c:v>0.421875</c:v>
                </c:pt>
                <c:pt idx="5">
                  <c:v>0.421875</c:v>
                </c:pt>
                <c:pt idx="6">
                  <c:v>0.421875</c:v>
                </c:pt>
                <c:pt idx="7">
                  <c:v>0.421875</c:v>
                </c:pt>
                <c:pt idx="8">
                  <c:v>0.421875</c:v>
                </c:pt>
                <c:pt idx="9">
                  <c:v>0.421875</c:v>
                </c:pt>
                <c:pt idx="10">
                  <c:v>0.421875</c:v>
                </c:pt>
                <c:pt idx="11">
                  <c:v>0.421875</c:v>
                </c:pt>
                <c:pt idx="12">
                  <c:v>0.421875</c:v>
                </c:pt>
                <c:pt idx="13">
                  <c:v>0.421875</c:v>
                </c:pt>
                <c:pt idx="14">
                  <c:v>0.421875</c:v>
                </c:pt>
                <c:pt idx="15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C-4E55-A268-E1086AEE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933-4FA9-A8B9-12A8E10F3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3-4FA9-A8B9-12A8E10F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33-4FA9-A8B9-12A8E10F3F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3-4FA9-A8B9-12A8E10F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C19-41AC-8DC1-0627348BA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9-41AC-8DC1-0627348B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19-41AC-8DC1-0627348BA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9-41AC-8DC1-0627348B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1">
                  <c:v>28308</c:v>
                </c:pt>
                <c:pt idx="3">
                  <c:v>8244</c:v>
                </c:pt>
                <c:pt idx="4">
                  <c:v>5668</c:v>
                </c:pt>
                <c:pt idx="5">
                  <c:v>5343</c:v>
                </c:pt>
                <c:pt idx="6">
                  <c:v>5159</c:v>
                </c:pt>
                <c:pt idx="7">
                  <c:v>5939</c:v>
                </c:pt>
                <c:pt idx="12">
                  <c:v>1499</c:v>
                </c:pt>
                <c:pt idx="13">
                  <c:v>1373</c:v>
                </c:pt>
                <c:pt idx="14">
                  <c:v>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1-4667-9AFF-6EEFDB0B2664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28308</c:v>
                </c:pt>
                <c:pt idx="2">
                  <c:v>9848</c:v>
                </c:pt>
                <c:pt idx="3">
                  <c:v>8244</c:v>
                </c:pt>
                <c:pt idx="4">
                  <c:v>5668</c:v>
                </c:pt>
                <c:pt idx="5">
                  <c:v>5343</c:v>
                </c:pt>
                <c:pt idx="6">
                  <c:v>5159</c:v>
                </c:pt>
                <c:pt idx="7">
                  <c:v>5939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1373</c:v>
                </c:pt>
                <c:pt idx="14">
                  <c:v>23604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1-4667-9AFF-6EEFDB0B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67%</c:v>
                </c:pt>
                <c:pt idx="4">
                  <c:v>58%</c:v>
                </c:pt>
                <c:pt idx="5">
                  <c:v>100%</c:v>
                </c:pt>
                <c:pt idx="6">
                  <c:v>88%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38%</c:v>
                </c:pt>
                <c:pt idx="13">
                  <c:v>33%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0.33333333333333331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419-98E5-F65D455A051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0-4419-98E5-F65D455A05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0.42708333333333331</c:v>
                </c:pt>
                <c:pt idx="1">
                  <c:v>0.42708333333333331</c:v>
                </c:pt>
                <c:pt idx="2">
                  <c:v>0.42708333333333331</c:v>
                </c:pt>
                <c:pt idx="3">
                  <c:v>0.42708333333333331</c:v>
                </c:pt>
                <c:pt idx="4">
                  <c:v>0.42708333333333331</c:v>
                </c:pt>
                <c:pt idx="5">
                  <c:v>0.42708333333333331</c:v>
                </c:pt>
                <c:pt idx="6">
                  <c:v>0.42708333333333331</c:v>
                </c:pt>
                <c:pt idx="7">
                  <c:v>0.42708333333333331</c:v>
                </c:pt>
                <c:pt idx="8">
                  <c:v>0.42708333333333331</c:v>
                </c:pt>
                <c:pt idx="9">
                  <c:v>0.42708333333333331</c:v>
                </c:pt>
                <c:pt idx="10">
                  <c:v>0.42708333333333331</c:v>
                </c:pt>
                <c:pt idx="11">
                  <c:v>0.42708333333333331</c:v>
                </c:pt>
                <c:pt idx="12">
                  <c:v>0.42708333333333331</c:v>
                </c:pt>
                <c:pt idx="13">
                  <c:v>0.42708333333333331</c:v>
                </c:pt>
                <c:pt idx="14">
                  <c:v>0.42708333333333331</c:v>
                </c:pt>
                <c:pt idx="15">
                  <c:v>0.42708333333333331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0-4419-98E5-F65D455A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1">
                  <c:v>28308</c:v>
                </c:pt>
                <c:pt idx="3">
                  <c:v>8244</c:v>
                </c:pt>
                <c:pt idx="4">
                  <c:v>5668</c:v>
                </c:pt>
                <c:pt idx="5">
                  <c:v>5343</c:v>
                </c:pt>
                <c:pt idx="6">
                  <c:v>5159</c:v>
                </c:pt>
                <c:pt idx="7">
                  <c:v>5939</c:v>
                </c:pt>
                <c:pt idx="12">
                  <c:v>1499</c:v>
                </c:pt>
                <c:pt idx="13">
                  <c:v>1373</c:v>
                </c:pt>
                <c:pt idx="14">
                  <c:v>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60D-962B-CB04AC7CCDAD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28308</c:v>
                </c:pt>
                <c:pt idx="2">
                  <c:v>9848</c:v>
                </c:pt>
                <c:pt idx="3">
                  <c:v>8244</c:v>
                </c:pt>
                <c:pt idx="4">
                  <c:v>5668</c:v>
                </c:pt>
                <c:pt idx="5">
                  <c:v>5343</c:v>
                </c:pt>
                <c:pt idx="6">
                  <c:v>5159</c:v>
                </c:pt>
                <c:pt idx="7">
                  <c:v>5939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1373</c:v>
                </c:pt>
                <c:pt idx="14">
                  <c:v>23604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60D-962B-CB04AC7C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67%</c:v>
                </c:pt>
                <c:pt idx="4">
                  <c:v>58%</c:v>
                </c:pt>
                <c:pt idx="5">
                  <c:v>100%</c:v>
                </c:pt>
                <c:pt idx="6">
                  <c:v>88%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38%</c:v>
                </c:pt>
                <c:pt idx="13">
                  <c:v>33%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0.33333333333333331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6-4F9F-B0C3-ABC83A52AB0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F9F-B0C3-ABC83A52AB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0.42708333333333331</c:v>
                </c:pt>
                <c:pt idx="1">
                  <c:v>0.42708333333333331</c:v>
                </c:pt>
                <c:pt idx="2">
                  <c:v>0.42708333333333331</c:v>
                </c:pt>
                <c:pt idx="3">
                  <c:v>0.42708333333333331</c:v>
                </c:pt>
                <c:pt idx="4">
                  <c:v>0.42708333333333331</c:v>
                </c:pt>
                <c:pt idx="5">
                  <c:v>0.42708333333333331</c:v>
                </c:pt>
                <c:pt idx="6">
                  <c:v>0.42708333333333331</c:v>
                </c:pt>
                <c:pt idx="7">
                  <c:v>0.42708333333333331</c:v>
                </c:pt>
                <c:pt idx="8">
                  <c:v>0.42708333333333331</c:v>
                </c:pt>
                <c:pt idx="9">
                  <c:v>0.42708333333333331</c:v>
                </c:pt>
                <c:pt idx="10">
                  <c:v>0.42708333333333331</c:v>
                </c:pt>
                <c:pt idx="11">
                  <c:v>0.42708333333333331</c:v>
                </c:pt>
                <c:pt idx="12">
                  <c:v>0.42708333333333331</c:v>
                </c:pt>
                <c:pt idx="13">
                  <c:v>0.42708333333333331</c:v>
                </c:pt>
                <c:pt idx="14">
                  <c:v>0.42708333333333331</c:v>
                </c:pt>
                <c:pt idx="15">
                  <c:v>0.42708333333333331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6-4F9F-B0C3-ABC83A52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408-42EE-8093-E6D84D28A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8-42EE-8093-E6D84D28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08-42EE-8093-E6D84D28AD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8-42EE-8093-E6D84D28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1">
                  <c:v>21300</c:v>
                </c:pt>
                <c:pt idx="4">
                  <c:v>4612</c:v>
                </c:pt>
                <c:pt idx="5">
                  <c:v>5373</c:v>
                </c:pt>
                <c:pt idx="6">
                  <c:v>5608</c:v>
                </c:pt>
                <c:pt idx="7">
                  <c:v>5686</c:v>
                </c:pt>
                <c:pt idx="14">
                  <c:v>18934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D-4BCA-89EC-47019375A57B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21300</c:v>
                </c:pt>
                <c:pt idx="2">
                  <c:v>9848</c:v>
                </c:pt>
                <c:pt idx="3">
                  <c:v>8244</c:v>
                </c:pt>
                <c:pt idx="4">
                  <c:v>5668</c:v>
                </c:pt>
                <c:pt idx="5">
                  <c:v>5373</c:v>
                </c:pt>
                <c:pt idx="6">
                  <c:v>5608</c:v>
                </c:pt>
                <c:pt idx="7">
                  <c:v>5686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1373</c:v>
                </c:pt>
                <c:pt idx="14">
                  <c:v>18934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D-4BCA-89EC-47019375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31%</c:v>
                </c:pt>
                <c:pt idx="5">
                  <c:v>96%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0.30513408609738885</c:v>
                </c:pt>
                <c:pt idx="5">
                  <c:v>0.95833333333333337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4B84-8109-B92B7F644CB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62-4B84-8109-B92B7F644C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0.3289667137144201</c:v>
                </c:pt>
                <c:pt idx="1">
                  <c:v>0.3289667137144201</c:v>
                </c:pt>
                <c:pt idx="2">
                  <c:v>0.3289667137144201</c:v>
                </c:pt>
                <c:pt idx="3">
                  <c:v>0.3289667137144201</c:v>
                </c:pt>
                <c:pt idx="4">
                  <c:v>0.3289667137144201</c:v>
                </c:pt>
                <c:pt idx="5">
                  <c:v>0.3289667137144201</c:v>
                </c:pt>
                <c:pt idx="6">
                  <c:v>0.3289667137144201</c:v>
                </c:pt>
                <c:pt idx="7">
                  <c:v>0.3289667137144201</c:v>
                </c:pt>
                <c:pt idx="8">
                  <c:v>0.3289667137144201</c:v>
                </c:pt>
                <c:pt idx="9">
                  <c:v>0.3289667137144201</c:v>
                </c:pt>
                <c:pt idx="10">
                  <c:v>0.3289667137144201</c:v>
                </c:pt>
                <c:pt idx="11">
                  <c:v>0.3289667137144201</c:v>
                </c:pt>
                <c:pt idx="12">
                  <c:v>0.3289667137144201</c:v>
                </c:pt>
                <c:pt idx="13">
                  <c:v>0.3289667137144201</c:v>
                </c:pt>
                <c:pt idx="14">
                  <c:v>0.3289667137144201</c:v>
                </c:pt>
                <c:pt idx="15">
                  <c:v>0.3289667137144201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2-4B84-8109-B92B7F64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1">
                  <c:v>21300</c:v>
                </c:pt>
                <c:pt idx="4">
                  <c:v>4612</c:v>
                </c:pt>
                <c:pt idx="5">
                  <c:v>5373</c:v>
                </c:pt>
                <c:pt idx="6">
                  <c:v>5608</c:v>
                </c:pt>
                <c:pt idx="7">
                  <c:v>5686</c:v>
                </c:pt>
                <c:pt idx="14">
                  <c:v>18934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2-4A97-B98A-A3E36C779AA7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21300</c:v>
                </c:pt>
                <c:pt idx="2">
                  <c:v>9848</c:v>
                </c:pt>
                <c:pt idx="3">
                  <c:v>8244</c:v>
                </c:pt>
                <c:pt idx="4">
                  <c:v>5668</c:v>
                </c:pt>
                <c:pt idx="5">
                  <c:v>5373</c:v>
                </c:pt>
                <c:pt idx="6">
                  <c:v>5608</c:v>
                </c:pt>
                <c:pt idx="7">
                  <c:v>5686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1373</c:v>
                </c:pt>
                <c:pt idx="14">
                  <c:v>18934</c:v>
                </c:pt>
                <c:pt idx="15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2-4A97-B98A-A3E36C77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31%</c:v>
                </c:pt>
                <c:pt idx="5">
                  <c:v>96%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0.30513408609738885</c:v>
                </c:pt>
                <c:pt idx="5">
                  <c:v>0.95833333333333337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0-449B-93A8-AA8E5FDE659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B0-449B-93A8-AA8E5FDE65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CAM</c:v>
                </c:pt>
                <c:pt idx="14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0.3289667137144201</c:v>
                </c:pt>
                <c:pt idx="1">
                  <c:v>0.3289667137144201</c:v>
                </c:pt>
                <c:pt idx="2">
                  <c:v>0.3289667137144201</c:v>
                </c:pt>
                <c:pt idx="3">
                  <c:v>0.3289667137144201</c:v>
                </c:pt>
                <c:pt idx="4">
                  <c:v>0.3289667137144201</c:v>
                </c:pt>
                <c:pt idx="5">
                  <c:v>0.3289667137144201</c:v>
                </c:pt>
                <c:pt idx="6">
                  <c:v>0.3289667137144201</c:v>
                </c:pt>
                <c:pt idx="7">
                  <c:v>0.3289667137144201</c:v>
                </c:pt>
                <c:pt idx="8">
                  <c:v>0.3289667137144201</c:v>
                </c:pt>
                <c:pt idx="9">
                  <c:v>0.3289667137144201</c:v>
                </c:pt>
                <c:pt idx="10">
                  <c:v>0.3289667137144201</c:v>
                </c:pt>
                <c:pt idx="11">
                  <c:v>0.3289667137144201</c:v>
                </c:pt>
                <c:pt idx="12">
                  <c:v>0.3289667137144201</c:v>
                </c:pt>
                <c:pt idx="13">
                  <c:v>0.3289667137144201</c:v>
                </c:pt>
                <c:pt idx="14">
                  <c:v>0.3289667137144201</c:v>
                </c:pt>
                <c:pt idx="15">
                  <c:v>0.3289667137144201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0-449B-93A8-AA8E5FDE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1">
                  <c:v>11840</c:v>
                </c:pt>
                <c:pt idx="2">
                  <c:v>24584</c:v>
                </c:pt>
                <c:pt idx="4">
                  <c:v>10400</c:v>
                </c:pt>
                <c:pt idx="5">
                  <c:v>3348</c:v>
                </c:pt>
                <c:pt idx="6">
                  <c:v>17043</c:v>
                </c:pt>
                <c:pt idx="7">
                  <c:v>8180</c:v>
                </c:pt>
                <c:pt idx="8">
                  <c:v>190</c:v>
                </c:pt>
                <c:pt idx="11">
                  <c:v>6224</c:v>
                </c:pt>
                <c:pt idx="12">
                  <c:v>3125</c:v>
                </c:pt>
                <c:pt idx="13">
                  <c:v>15980</c:v>
                </c:pt>
                <c:pt idx="14">
                  <c:v>12816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D-4D50-840E-BAB77DC4401C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11840</c:v>
                </c:pt>
                <c:pt idx="2">
                  <c:v>24584</c:v>
                </c:pt>
                <c:pt idx="3">
                  <c:v>5460</c:v>
                </c:pt>
                <c:pt idx="4">
                  <c:v>10400</c:v>
                </c:pt>
                <c:pt idx="5">
                  <c:v>3348</c:v>
                </c:pt>
                <c:pt idx="6">
                  <c:v>17043</c:v>
                </c:pt>
                <c:pt idx="7">
                  <c:v>8180</c:v>
                </c:pt>
                <c:pt idx="8">
                  <c:v>190</c:v>
                </c:pt>
                <c:pt idx="9">
                  <c:v>15572</c:v>
                </c:pt>
                <c:pt idx="10">
                  <c:v>495</c:v>
                </c:pt>
                <c:pt idx="11">
                  <c:v>6224</c:v>
                </c:pt>
                <c:pt idx="12">
                  <c:v>3125</c:v>
                </c:pt>
                <c:pt idx="13">
                  <c:v>15980</c:v>
                </c:pt>
                <c:pt idx="14">
                  <c:v>12816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D-4D50-840E-BAB77DC4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9BE-45FC-98BF-AB59F49CE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E-45FC-98BF-AB59F49C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9BE-45FC-98BF-AB59F49CE7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E-45FC-98BF-AB59F49C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1">
                  <c:v>17568</c:v>
                </c:pt>
                <c:pt idx="4">
                  <c:v>4258</c:v>
                </c:pt>
                <c:pt idx="6">
                  <c:v>3801</c:v>
                </c:pt>
                <c:pt idx="7">
                  <c:v>5401</c:v>
                </c:pt>
                <c:pt idx="13">
                  <c:v>18036</c:v>
                </c:pt>
                <c:pt idx="14">
                  <c:v>2558</c:v>
                </c:pt>
                <c:pt idx="15">
                  <c:v>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D-4BC9-97CD-A7932BC8FADF}"/>
            </c:ext>
          </c:extLst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17568</c:v>
                </c:pt>
                <c:pt idx="2">
                  <c:v>9848</c:v>
                </c:pt>
                <c:pt idx="3">
                  <c:v>8244</c:v>
                </c:pt>
                <c:pt idx="4">
                  <c:v>4258</c:v>
                </c:pt>
                <c:pt idx="5">
                  <c:v>5373</c:v>
                </c:pt>
                <c:pt idx="6">
                  <c:v>3801</c:v>
                </c:pt>
                <c:pt idx="7">
                  <c:v>5401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2558</c:v>
                </c:pt>
                <c:pt idx="15">
                  <c:v>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D-4BC9-97CD-A7932BC8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6"/>
                <c:pt idx="0">
                  <c:v>0%</c:v>
                </c:pt>
                <c:pt idx="1">
                  <c:v>75%</c:v>
                </c:pt>
                <c:pt idx="2">
                  <c:v>0%</c:v>
                </c:pt>
                <c:pt idx="3">
                  <c:v>0%</c:v>
                </c:pt>
                <c:pt idx="4">
                  <c:v>83%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88%</c:v>
                </c:pt>
                <c:pt idx="14">
                  <c:v>58%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0.58333333333333337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2-4C4F-A253-4B7F2A266D7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82-4C4F-A253-4B7F2A266D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0.33072916666666669</c:v>
                </c:pt>
                <c:pt idx="1">
                  <c:v>0.33072916666666669</c:v>
                </c:pt>
                <c:pt idx="2">
                  <c:v>0.33072916666666669</c:v>
                </c:pt>
                <c:pt idx="3">
                  <c:v>0.33072916666666669</c:v>
                </c:pt>
                <c:pt idx="4">
                  <c:v>0.33072916666666669</c:v>
                </c:pt>
                <c:pt idx="5">
                  <c:v>0.33072916666666669</c:v>
                </c:pt>
                <c:pt idx="6">
                  <c:v>0.33072916666666669</c:v>
                </c:pt>
                <c:pt idx="7">
                  <c:v>0.33072916666666669</c:v>
                </c:pt>
                <c:pt idx="8">
                  <c:v>0.33072916666666669</c:v>
                </c:pt>
                <c:pt idx="9">
                  <c:v>0.33072916666666669</c:v>
                </c:pt>
                <c:pt idx="10">
                  <c:v>0.33072916666666669</c:v>
                </c:pt>
                <c:pt idx="11">
                  <c:v>0.33072916666666669</c:v>
                </c:pt>
                <c:pt idx="12">
                  <c:v>0.33072916666666669</c:v>
                </c:pt>
                <c:pt idx="13">
                  <c:v>0.33072916666666669</c:v>
                </c:pt>
                <c:pt idx="14">
                  <c:v>0.33072916666666669</c:v>
                </c:pt>
                <c:pt idx="15">
                  <c:v>0.33072916666666669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2-4C4F-A253-4B7F2A26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1">
                  <c:v>17568</c:v>
                </c:pt>
                <c:pt idx="4">
                  <c:v>4258</c:v>
                </c:pt>
                <c:pt idx="6">
                  <c:v>3801</c:v>
                </c:pt>
                <c:pt idx="7">
                  <c:v>5401</c:v>
                </c:pt>
                <c:pt idx="13">
                  <c:v>18036</c:v>
                </c:pt>
                <c:pt idx="14">
                  <c:v>2558</c:v>
                </c:pt>
                <c:pt idx="15">
                  <c:v>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E-4FD0-A9A6-258E74927958}"/>
            </c:ext>
          </c:extLst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17568</c:v>
                </c:pt>
                <c:pt idx="2">
                  <c:v>9848</c:v>
                </c:pt>
                <c:pt idx="3">
                  <c:v>8244</c:v>
                </c:pt>
                <c:pt idx="4">
                  <c:v>4258</c:v>
                </c:pt>
                <c:pt idx="5">
                  <c:v>5373</c:v>
                </c:pt>
                <c:pt idx="6">
                  <c:v>3801</c:v>
                </c:pt>
                <c:pt idx="7">
                  <c:v>5401</c:v>
                </c:pt>
                <c:pt idx="8">
                  <c:v>150</c:v>
                </c:pt>
                <c:pt idx="9">
                  <c:v>5757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2558</c:v>
                </c:pt>
                <c:pt idx="15">
                  <c:v>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E-4FD0-A9A6-258E74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6"/>
                <c:pt idx="0">
                  <c:v>0%</c:v>
                </c:pt>
                <c:pt idx="1">
                  <c:v>75%</c:v>
                </c:pt>
                <c:pt idx="2">
                  <c:v>0%</c:v>
                </c:pt>
                <c:pt idx="3">
                  <c:v>0%</c:v>
                </c:pt>
                <c:pt idx="4">
                  <c:v>83%</c:v>
                </c:pt>
                <c:pt idx="5">
                  <c:v>0%</c:v>
                </c:pt>
                <c:pt idx="6">
                  <c:v>83%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88%</c:v>
                </c:pt>
                <c:pt idx="14">
                  <c:v>58%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</c:v>
                </c:pt>
                <c:pt idx="6">
                  <c:v>0.83333333333333337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0.58333333333333337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D-4978-A435-87B53AB456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BD-4978-A435-87B53AB456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BASE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0.33072916666666669</c:v>
                </c:pt>
                <c:pt idx="1">
                  <c:v>0.33072916666666669</c:v>
                </c:pt>
                <c:pt idx="2">
                  <c:v>0.33072916666666669</c:v>
                </c:pt>
                <c:pt idx="3">
                  <c:v>0.33072916666666669</c:v>
                </c:pt>
                <c:pt idx="4">
                  <c:v>0.33072916666666669</c:v>
                </c:pt>
                <c:pt idx="5">
                  <c:v>0.33072916666666669</c:v>
                </c:pt>
                <c:pt idx="6">
                  <c:v>0.33072916666666669</c:v>
                </c:pt>
                <c:pt idx="7">
                  <c:v>0.33072916666666669</c:v>
                </c:pt>
                <c:pt idx="8">
                  <c:v>0.33072916666666669</c:v>
                </c:pt>
                <c:pt idx="9">
                  <c:v>0.33072916666666669</c:v>
                </c:pt>
                <c:pt idx="10">
                  <c:v>0.33072916666666669</c:v>
                </c:pt>
                <c:pt idx="11">
                  <c:v>0.33072916666666669</c:v>
                </c:pt>
                <c:pt idx="12">
                  <c:v>0.33072916666666669</c:v>
                </c:pt>
                <c:pt idx="13">
                  <c:v>0.33072916666666669</c:v>
                </c:pt>
                <c:pt idx="14">
                  <c:v>0.33072916666666669</c:v>
                </c:pt>
                <c:pt idx="15">
                  <c:v>0.33072916666666669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D-4978-A435-87B53AB4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A04-472A-AE20-67303BA22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4-472A-AE20-67303BA2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04-472A-AE20-67303BA22C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72A-AE20-67303BA2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1">
                  <c:v>25040</c:v>
                </c:pt>
                <c:pt idx="4">
                  <c:v>3309</c:v>
                </c:pt>
                <c:pt idx="5">
                  <c:v>13264</c:v>
                </c:pt>
                <c:pt idx="7">
                  <c:v>1584</c:v>
                </c:pt>
                <c:pt idx="9">
                  <c:v>9150</c:v>
                </c:pt>
                <c:pt idx="14">
                  <c:v>557</c:v>
                </c:pt>
                <c:pt idx="15">
                  <c:v>72816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2F6-81D3-BB17F7D35142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25040</c:v>
                </c:pt>
                <c:pt idx="2">
                  <c:v>9848</c:v>
                </c:pt>
                <c:pt idx="3">
                  <c:v>8244</c:v>
                </c:pt>
                <c:pt idx="4">
                  <c:v>3309</c:v>
                </c:pt>
                <c:pt idx="5">
                  <c:v>13264</c:v>
                </c:pt>
                <c:pt idx="6">
                  <c:v>3801</c:v>
                </c:pt>
                <c:pt idx="7">
                  <c:v>1584</c:v>
                </c:pt>
                <c:pt idx="8">
                  <c:v>150</c:v>
                </c:pt>
                <c:pt idx="9">
                  <c:v>9150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557</c:v>
                </c:pt>
                <c:pt idx="15">
                  <c:v>72816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C-42F6-81D3-BB17F7D3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67%</c:v>
                </c:pt>
                <c:pt idx="5">
                  <c:v>71%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17%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0.70833333333333337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0.16666666666666666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550-8F9A-1AF3873D15D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C0-4550-8F9A-1AF3873D15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0.29166666666666663</c:v>
                </c:pt>
                <c:pt idx="1">
                  <c:v>0.29166666666666663</c:v>
                </c:pt>
                <c:pt idx="2">
                  <c:v>0.29166666666666663</c:v>
                </c:pt>
                <c:pt idx="3">
                  <c:v>0.29166666666666663</c:v>
                </c:pt>
                <c:pt idx="4">
                  <c:v>0.29166666666666663</c:v>
                </c:pt>
                <c:pt idx="5">
                  <c:v>0.29166666666666663</c:v>
                </c:pt>
                <c:pt idx="6">
                  <c:v>0.29166666666666663</c:v>
                </c:pt>
                <c:pt idx="7">
                  <c:v>0.29166666666666663</c:v>
                </c:pt>
                <c:pt idx="8">
                  <c:v>0.29166666666666663</c:v>
                </c:pt>
                <c:pt idx="9">
                  <c:v>0.29166666666666663</c:v>
                </c:pt>
                <c:pt idx="10">
                  <c:v>0.29166666666666663</c:v>
                </c:pt>
                <c:pt idx="11">
                  <c:v>0.29166666666666663</c:v>
                </c:pt>
                <c:pt idx="12">
                  <c:v>0.29166666666666663</c:v>
                </c:pt>
                <c:pt idx="13">
                  <c:v>0.29166666666666663</c:v>
                </c:pt>
                <c:pt idx="14">
                  <c:v>0.29166666666666663</c:v>
                </c:pt>
                <c:pt idx="15">
                  <c:v>0.29166666666666663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550-8F9A-1AF3873D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1">
                  <c:v>25040</c:v>
                </c:pt>
                <c:pt idx="4">
                  <c:v>3309</c:v>
                </c:pt>
                <c:pt idx="5">
                  <c:v>13264</c:v>
                </c:pt>
                <c:pt idx="7">
                  <c:v>1584</c:v>
                </c:pt>
                <c:pt idx="9">
                  <c:v>9150</c:v>
                </c:pt>
                <c:pt idx="14">
                  <c:v>557</c:v>
                </c:pt>
                <c:pt idx="15">
                  <c:v>72816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AA7-8C21-E980D88744CB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25040</c:v>
                </c:pt>
                <c:pt idx="2">
                  <c:v>9848</c:v>
                </c:pt>
                <c:pt idx="3">
                  <c:v>8244</c:v>
                </c:pt>
                <c:pt idx="4">
                  <c:v>3309</c:v>
                </c:pt>
                <c:pt idx="5">
                  <c:v>13264</c:v>
                </c:pt>
                <c:pt idx="6">
                  <c:v>3801</c:v>
                </c:pt>
                <c:pt idx="7">
                  <c:v>1584</c:v>
                </c:pt>
                <c:pt idx="8">
                  <c:v>150</c:v>
                </c:pt>
                <c:pt idx="9">
                  <c:v>9150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557</c:v>
                </c:pt>
                <c:pt idx="15">
                  <c:v>72816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4-4AA7-8C21-E980D887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0%</c:v>
                </c:pt>
                <c:pt idx="3">
                  <c:v>0%</c:v>
                </c:pt>
                <c:pt idx="4">
                  <c:v>67%</c:v>
                </c:pt>
                <c:pt idx="5">
                  <c:v>71%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17%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0.70833333333333337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0.16666666666666666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877-BA83-D7F6F528AF9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C9-4877-BA83-D7F6F528AF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FLAPPER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0.29166666666666663</c:v>
                </c:pt>
                <c:pt idx="1">
                  <c:v>0.29166666666666663</c:v>
                </c:pt>
                <c:pt idx="2">
                  <c:v>0.29166666666666663</c:v>
                </c:pt>
                <c:pt idx="3">
                  <c:v>0.29166666666666663</c:v>
                </c:pt>
                <c:pt idx="4">
                  <c:v>0.29166666666666663</c:v>
                </c:pt>
                <c:pt idx="5">
                  <c:v>0.29166666666666663</c:v>
                </c:pt>
                <c:pt idx="6">
                  <c:v>0.29166666666666663</c:v>
                </c:pt>
                <c:pt idx="7">
                  <c:v>0.29166666666666663</c:v>
                </c:pt>
                <c:pt idx="8">
                  <c:v>0.29166666666666663</c:v>
                </c:pt>
                <c:pt idx="9">
                  <c:v>0.29166666666666663</c:v>
                </c:pt>
                <c:pt idx="10">
                  <c:v>0.29166666666666663</c:v>
                </c:pt>
                <c:pt idx="11">
                  <c:v>0.29166666666666663</c:v>
                </c:pt>
                <c:pt idx="12">
                  <c:v>0.29166666666666663</c:v>
                </c:pt>
                <c:pt idx="13">
                  <c:v>0.29166666666666663</c:v>
                </c:pt>
                <c:pt idx="14">
                  <c:v>0.29166666666666663</c:v>
                </c:pt>
                <c:pt idx="15">
                  <c:v>0.29166666666666663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877-BA83-D7F6F528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0%</c:v>
                </c:pt>
                <c:pt idx="1">
                  <c:v>54%</c:v>
                </c:pt>
                <c:pt idx="2">
                  <c:v>100%</c:v>
                </c:pt>
                <c:pt idx="3">
                  <c:v>0%</c:v>
                </c:pt>
                <c:pt idx="4">
                  <c:v>54%</c:v>
                </c:pt>
                <c:pt idx="5">
                  <c:v>79%</c:v>
                </c:pt>
                <c:pt idx="6">
                  <c:v>88%</c:v>
                </c:pt>
                <c:pt idx="7">
                  <c:v>38%</c:v>
                </c:pt>
                <c:pt idx="8">
                  <c:v>25%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71%</c:v>
                </c:pt>
                <c:pt idx="13">
                  <c:v>79%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</c:v>
                </c:pt>
                <c:pt idx="1">
                  <c:v>0.54166666666666663</c:v>
                </c:pt>
                <c:pt idx="2">
                  <c:v>1</c:v>
                </c:pt>
                <c:pt idx="3">
                  <c:v>0</c:v>
                </c:pt>
                <c:pt idx="4">
                  <c:v>0.54166666666666663</c:v>
                </c:pt>
                <c:pt idx="5">
                  <c:v>0.79166666666666663</c:v>
                </c:pt>
                <c:pt idx="6">
                  <c:v>0.875</c:v>
                </c:pt>
                <c:pt idx="7">
                  <c:v>0.375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0.70833333333333337</c:v>
                </c:pt>
                <c:pt idx="13">
                  <c:v>0.79166666666666663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B-4EC6-AFB0-289A6B935DB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8B-4EC6-AFB0-289A6B935D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0.4921875</c:v>
                </c:pt>
                <c:pt idx="1">
                  <c:v>0.4921875</c:v>
                </c:pt>
                <c:pt idx="2">
                  <c:v>0.4921875</c:v>
                </c:pt>
                <c:pt idx="3">
                  <c:v>0.4921875</c:v>
                </c:pt>
                <c:pt idx="4">
                  <c:v>0.4921875</c:v>
                </c:pt>
                <c:pt idx="5">
                  <c:v>0.4921875</c:v>
                </c:pt>
                <c:pt idx="6">
                  <c:v>0.4921875</c:v>
                </c:pt>
                <c:pt idx="7">
                  <c:v>0.4921875</c:v>
                </c:pt>
                <c:pt idx="8">
                  <c:v>0.4921875</c:v>
                </c:pt>
                <c:pt idx="9">
                  <c:v>0.4921875</c:v>
                </c:pt>
                <c:pt idx="10">
                  <c:v>0.4921875</c:v>
                </c:pt>
                <c:pt idx="11">
                  <c:v>0.4921875</c:v>
                </c:pt>
                <c:pt idx="12">
                  <c:v>0.4921875</c:v>
                </c:pt>
                <c:pt idx="13">
                  <c:v>0.4921875</c:v>
                </c:pt>
                <c:pt idx="14">
                  <c:v>0.4921875</c:v>
                </c:pt>
                <c:pt idx="15">
                  <c:v>0.4921875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B-4EC6-AFB0-289A6B93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26D-4DA2-AEB2-D4E35A91A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D-4DA2-AEB2-D4E35A91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6D-4DA2-AEB2-D4E35A91AA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D-4DA2-AEB2-D4E35A91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3260</c:v>
                </c:pt>
                <c:pt idx="5">
                  <c:v>24332</c:v>
                </c:pt>
                <c:pt idx="9">
                  <c:v>17829</c:v>
                </c:pt>
                <c:pt idx="14">
                  <c:v>4094</c:v>
                </c:pt>
                <c:pt idx="15">
                  <c:v>70472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C-4F41-9110-CAE341C7A536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25040</c:v>
                </c:pt>
                <c:pt idx="2">
                  <c:v>9848</c:v>
                </c:pt>
                <c:pt idx="3">
                  <c:v>3260</c:v>
                </c:pt>
                <c:pt idx="4">
                  <c:v>3309</c:v>
                </c:pt>
                <c:pt idx="5">
                  <c:v>24332</c:v>
                </c:pt>
                <c:pt idx="6">
                  <c:v>3801</c:v>
                </c:pt>
                <c:pt idx="7">
                  <c:v>1584</c:v>
                </c:pt>
                <c:pt idx="8">
                  <c:v>150</c:v>
                </c:pt>
                <c:pt idx="9">
                  <c:v>17829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4094</c:v>
                </c:pt>
                <c:pt idx="15">
                  <c:v>70472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C-4F41-9110-CAE341C7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100%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88%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B-47BF-8A57-F94BCBE1169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DB-47BF-8A57-F94BCBE116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0.29166666666666663</c:v>
                </c:pt>
                <c:pt idx="1">
                  <c:v>0.29166666666666663</c:v>
                </c:pt>
                <c:pt idx="2">
                  <c:v>0.29166666666666663</c:v>
                </c:pt>
                <c:pt idx="3">
                  <c:v>0.29166666666666663</c:v>
                </c:pt>
                <c:pt idx="4">
                  <c:v>0.29166666666666663</c:v>
                </c:pt>
                <c:pt idx="5">
                  <c:v>0.29166666666666663</c:v>
                </c:pt>
                <c:pt idx="6">
                  <c:v>0.29166666666666663</c:v>
                </c:pt>
                <c:pt idx="7">
                  <c:v>0.29166666666666663</c:v>
                </c:pt>
                <c:pt idx="8">
                  <c:v>0.29166666666666663</c:v>
                </c:pt>
                <c:pt idx="9">
                  <c:v>0.29166666666666663</c:v>
                </c:pt>
                <c:pt idx="10">
                  <c:v>0.29166666666666663</c:v>
                </c:pt>
                <c:pt idx="11">
                  <c:v>0.29166666666666663</c:v>
                </c:pt>
                <c:pt idx="12">
                  <c:v>0.29166666666666663</c:v>
                </c:pt>
                <c:pt idx="13">
                  <c:v>0.29166666666666663</c:v>
                </c:pt>
                <c:pt idx="14">
                  <c:v>0.29166666666666663</c:v>
                </c:pt>
                <c:pt idx="15">
                  <c:v>0.29166666666666663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B-47BF-8A57-F94BCBE1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3260</c:v>
                </c:pt>
                <c:pt idx="5">
                  <c:v>24332</c:v>
                </c:pt>
                <c:pt idx="9">
                  <c:v>17829</c:v>
                </c:pt>
                <c:pt idx="14">
                  <c:v>4094</c:v>
                </c:pt>
                <c:pt idx="15">
                  <c:v>70472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B97-AEAD-96EEC2803B0B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25040</c:v>
                </c:pt>
                <c:pt idx="2">
                  <c:v>9848</c:v>
                </c:pt>
                <c:pt idx="3">
                  <c:v>3260</c:v>
                </c:pt>
                <c:pt idx="4">
                  <c:v>3309</c:v>
                </c:pt>
                <c:pt idx="5">
                  <c:v>24332</c:v>
                </c:pt>
                <c:pt idx="6">
                  <c:v>3801</c:v>
                </c:pt>
                <c:pt idx="7">
                  <c:v>1584</c:v>
                </c:pt>
                <c:pt idx="8">
                  <c:v>150</c:v>
                </c:pt>
                <c:pt idx="9">
                  <c:v>17829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18036</c:v>
                </c:pt>
                <c:pt idx="14">
                  <c:v>4094</c:v>
                </c:pt>
                <c:pt idx="15">
                  <c:v>70472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4-4B97-AEAD-96EEC280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100%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88%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5-402C-9226-60AF12375D1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55-402C-9226-60AF12375D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0.29166666666666663</c:v>
                </c:pt>
                <c:pt idx="1">
                  <c:v>0.29166666666666663</c:v>
                </c:pt>
                <c:pt idx="2">
                  <c:v>0.29166666666666663</c:v>
                </c:pt>
                <c:pt idx="3">
                  <c:v>0.29166666666666663</c:v>
                </c:pt>
                <c:pt idx="4">
                  <c:v>0.29166666666666663</c:v>
                </c:pt>
                <c:pt idx="5">
                  <c:v>0.29166666666666663</c:v>
                </c:pt>
                <c:pt idx="6">
                  <c:v>0.29166666666666663</c:v>
                </c:pt>
                <c:pt idx="7">
                  <c:v>0.29166666666666663</c:v>
                </c:pt>
                <c:pt idx="8">
                  <c:v>0.29166666666666663</c:v>
                </c:pt>
                <c:pt idx="9">
                  <c:v>0.29166666666666663</c:v>
                </c:pt>
                <c:pt idx="10">
                  <c:v>0.29166666666666663</c:v>
                </c:pt>
                <c:pt idx="11">
                  <c:v>0.29166666666666663</c:v>
                </c:pt>
                <c:pt idx="12">
                  <c:v>0.29166666666666663</c:v>
                </c:pt>
                <c:pt idx="13">
                  <c:v>0.29166666666666663</c:v>
                </c:pt>
                <c:pt idx="14">
                  <c:v>0.29166666666666663</c:v>
                </c:pt>
                <c:pt idx="15">
                  <c:v>0.29166666666666663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5-402C-9226-60AF1237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6F-4A6C-AA76-DCFC5E867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F-4A6C-AA76-DCFC5E86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26F-4A6C-AA76-DCFC5E8678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F-4A6C-AA76-DCFC5E86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2506</c:v>
                </c:pt>
                <c:pt idx="3">
                  <c:v>4494</c:v>
                </c:pt>
                <c:pt idx="4">
                  <c:v>2571</c:v>
                </c:pt>
                <c:pt idx="5">
                  <c:v>25248</c:v>
                </c:pt>
                <c:pt idx="7">
                  <c:v>3790</c:v>
                </c:pt>
                <c:pt idx="9">
                  <c:v>18261</c:v>
                </c:pt>
                <c:pt idx="13">
                  <c:v>2447</c:v>
                </c:pt>
                <c:pt idx="14">
                  <c:v>3345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6-4F03-9CBD-E13B5F085343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2506</c:v>
                </c:pt>
                <c:pt idx="2">
                  <c:v>9848</c:v>
                </c:pt>
                <c:pt idx="3">
                  <c:v>4494</c:v>
                </c:pt>
                <c:pt idx="4">
                  <c:v>2571</c:v>
                </c:pt>
                <c:pt idx="5">
                  <c:v>25248</c:v>
                </c:pt>
                <c:pt idx="6">
                  <c:v>3801</c:v>
                </c:pt>
                <c:pt idx="7">
                  <c:v>3790</c:v>
                </c:pt>
                <c:pt idx="8">
                  <c:v>150</c:v>
                </c:pt>
                <c:pt idx="9">
                  <c:v>18261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2447</c:v>
                </c:pt>
                <c:pt idx="14">
                  <c:v>3345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F03-9CBD-E13B5F08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58%</c:v>
                </c:pt>
                <c:pt idx="2">
                  <c:v>0%</c:v>
                </c:pt>
                <c:pt idx="3">
                  <c:v>88%</c:v>
                </c:pt>
                <c:pt idx="4">
                  <c:v>71%</c:v>
                </c:pt>
                <c:pt idx="5">
                  <c:v>100%</c:v>
                </c:pt>
                <c:pt idx="6">
                  <c:v>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71%</c:v>
                </c:pt>
                <c:pt idx="14">
                  <c:v>71%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0.58333333333333337</c:v>
                </c:pt>
                <c:pt idx="2">
                  <c:v>0</c:v>
                </c:pt>
                <c:pt idx="3">
                  <c:v>0.875</c:v>
                </c:pt>
                <c:pt idx="4">
                  <c:v>0.70833333333333337</c:v>
                </c:pt>
                <c:pt idx="5">
                  <c:v>1</c:v>
                </c:pt>
                <c:pt idx="6">
                  <c:v>0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0.70833333333333337</c:v>
                </c:pt>
                <c:pt idx="14">
                  <c:v>0.70833333333333337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B-42CA-8F7E-45BBF7C2E88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6B-42CA-8F7E-45BBF7C2E8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0.42708333333333331</c:v>
                </c:pt>
                <c:pt idx="1">
                  <c:v>0.42708333333333331</c:v>
                </c:pt>
                <c:pt idx="2">
                  <c:v>0.42708333333333331</c:v>
                </c:pt>
                <c:pt idx="3">
                  <c:v>0.42708333333333331</c:v>
                </c:pt>
                <c:pt idx="4">
                  <c:v>0.42708333333333331</c:v>
                </c:pt>
                <c:pt idx="5">
                  <c:v>0.42708333333333331</c:v>
                </c:pt>
                <c:pt idx="6">
                  <c:v>0.42708333333333331</c:v>
                </c:pt>
                <c:pt idx="7">
                  <c:v>0.42708333333333331</c:v>
                </c:pt>
                <c:pt idx="8">
                  <c:v>0.42708333333333331</c:v>
                </c:pt>
                <c:pt idx="9">
                  <c:v>0.42708333333333331</c:v>
                </c:pt>
                <c:pt idx="10">
                  <c:v>0.42708333333333331</c:v>
                </c:pt>
                <c:pt idx="11">
                  <c:v>0.42708333333333331</c:v>
                </c:pt>
                <c:pt idx="12">
                  <c:v>0.42708333333333331</c:v>
                </c:pt>
                <c:pt idx="13">
                  <c:v>0.42708333333333331</c:v>
                </c:pt>
                <c:pt idx="14">
                  <c:v>0.42708333333333331</c:v>
                </c:pt>
                <c:pt idx="15">
                  <c:v>0.42708333333333331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B-42CA-8F7E-45BBF7C2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2506</c:v>
                </c:pt>
                <c:pt idx="3">
                  <c:v>4494</c:v>
                </c:pt>
                <c:pt idx="4">
                  <c:v>2571</c:v>
                </c:pt>
                <c:pt idx="5">
                  <c:v>25248</c:v>
                </c:pt>
                <c:pt idx="7">
                  <c:v>3790</c:v>
                </c:pt>
                <c:pt idx="9">
                  <c:v>18261</c:v>
                </c:pt>
                <c:pt idx="13">
                  <c:v>2447</c:v>
                </c:pt>
                <c:pt idx="14">
                  <c:v>3345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2-43D2-B618-E0706B0289A8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2506</c:v>
                </c:pt>
                <c:pt idx="2">
                  <c:v>9848</c:v>
                </c:pt>
                <c:pt idx="3">
                  <c:v>4494</c:v>
                </c:pt>
                <c:pt idx="4">
                  <c:v>2571</c:v>
                </c:pt>
                <c:pt idx="5">
                  <c:v>25248</c:v>
                </c:pt>
                <c:pt idx="6">
                  <c:v>3801</c:v>
                </c:pt>
                <c:pt idx="7">
                  <c:v>3790</c:v>
                </c:pt>
                <c:pt idx="8">
                  <c:v>150</c:v>
                </c:pt>
                <c:pt idx="9">
                  <c:v>18261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2447</c:v>
                </c:pt>
                <c:pt idx="14">
                  <c:v>3345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2-43D2-B618-E0706B02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58%</c:v>
                </c:pt>
                <c:pt idx="2">
                  <c:v>0%</c:v>
                </c:pt>
                <c:pt idx="3">
                  <c:v>88%</c:v>
                </c:pt>
                <c:pt idx="4">
                  <c:v>71%</c:v>
                </c:pt>
                <c:pt idx="5">
                  <c:v>100%</c:v>
                </c:pt>
                <c:pt idx="6">
                  <c:v>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71%</c:v>
                </c:pt>
                <c:pt idx="14">
                  <c:v>71%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0.58333333333333337</c:v>
                </c:pt>
                <c:pt idx="2">
                  <c:v>0</c:v>
                </c:pt>
                <c:pt idx="3">
                  <c:v>0.875</c:v>
                </c:pt>
                <c:pt idx="4">
                  <c:v>0.70833333333333337</c:v>
                </c:pt>
                <c:pt idx="5">
                  <c:v>1</c:v>
                </c:pt>
                <c:pt idx="6">
                  <c:v>0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0.70833333333333337</c:v>
                </c:pt>
                <c:pt idx="14">
                  <c:v>0.70833333333333337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2-4C44-B5AF-C1E4FDE4171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C44-B5AF-C1E4FDE417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0.42708333333333331</c:v>
                </c:pt>
                <c:pt idx="1">
                  <c:v>0.42708333333333331</c:v>
                </c:pt>
                <c:pt idx="2">
                  <c:v>0.42708333333333331</c:v>
                </c:pt>
                <c:pt idx="3">
                  <c:v>0.42708333333333331</c:v>
                </c:pt>
                <c:pt idx="4">
                  <c:v>0.42708333333333331</c:v>
                </c:pt>
                <c:pt idx="5">
                  <c:v>0.42708333333333331</c:v>
                </c:pt>
                <c:pt idx="6">
                  <c:v>0.42708333333333331</c:v>
                </c:pt>
                <c:pt idx="7">
                  <c:v>0.42708333333333331</c:v>
                </c:pt>
                <c:pt idx="8">
                  <c:v>0.42708333333333331</c:v>
                </c:pt>
                <c:pt idx="9">
                  <c:v>0.42708333333333331</c:v>
                </c:pt>
                <c:pt idx="10">
                  <c:v>0.42708333333333331</c:v>
                </c:pt>
                <c:pt idx="11">
                  <c:v>0.42708333333333331</c:v>
                </c:pt>
                <c:pt idx="12">
                  <c:v>0.42708333333333331</c:v>
                </c:pt>
                <c:pt idx="13">
                  <c:v>0.42708333333333331</c:v>
                </c:pt>
                <c:pt idx="14">
                  <c:v>0.42708333333333331</c:v>
                </c:pt>
                <c:pt idx="15">
                  <c:v>0.42708333333333331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2-4C44-B5AF-C1E4FDE4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1">
                  <c:v>11840</c:v>
                </c:pt>
                <c:pt idx="2">
                  <c:v>24584</c:v>
                </c:pt>
                <c:pt idx="4">
                  <c:v>10400</c:v>
                </c:pt>
                <c:pt idx="5">
                  <c:v>3348</c:v>
                </c:pt>
                <c:pt idx="6">
                  <c:v>17043</c:v>
                </c:pt>
                <c:pt idx="7">
                  <c:v>8180</c:v>
                </c:pt>
                <c:pt idx="8">
                  <c:v>190</c:v>
                </c:pt>
                <c:pt idx="11">
                  <c:v>6224</c:v>
                </c:pt>
                <c:pt idx="12">
                  <c:v>3125</c:v>
                </c:pt>
                <c:pt idx="13">
                  <c:v>15980</c:v>
                </c:pt>
                <c:pt idx="14">
                  <c:v>12816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4CB-ACD8-CC7E53C57B80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3718</c:v>
                </c:pt>
                <c:pt idx="1">
                  <c:v>11840</c:v>
                </c:pt>
                <c:pt idx="2">
                  <c:v>24584</c:v>
                </c:pt>
                <c:pt idx="3">
                  <c:v>5460</c:v>
                </c:pt>
                <c:pt idx="4">
                  <c:v>10400</c:v>
                </c:pt>
                <c:pt idx="5">
                  <c:v>3348</c:v>
                </c:pt>
                <c:pt idx="6">
                  <c:v>17043</c:v>
                </c:pt>
                <c:pt idx="7">
                  <c:v>8180</c:v>
                </c:pt>
                <c:pt idx="8">
                  <c:v>190</c:v>
                </c:pt>
                <c:pt idx="9">
                  <c:v>15572</c:v>
                </c:pt>
                <c:pt idx="10">
                  <c:v>495</c:v>
                </c:pt>
                <c:pt idx="11">
                  <c:v>6224</c:v>
                </c:pt>
                <c:pt idx="12">
                  <c:v>3125</c:v>
                </c:pt>
                <c:pt idx="13">
                  <c:v>15980</c:v>
                </c:pt>
                <c:pt idx="14">
                  <c:v>12816</c:v>
                </c:pt>
                <c:pt idx="15">
                  <c:v>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9-44CB-ACD8-CC7E53C5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110-4408-8382-C6A4FFC3A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0-4408-8382-C6A4FFC3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110-4408-8382-C6A4FFC3A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0-4408-8382-C6A4FFC3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3518</c:v>
                </c:pt>
                <c:pt idx="3">
                  <c:v>1745</c:v>
                </c:pt>
                <c:pt idx="4">
                  <c:v>3158</c:v>
                </c:pt>
                <c:pt idx="5">
                  <c:v>14223</c:v>
                </c:pt>
                <c:pt idx="7">
                  <c:v>3671</c:v>
                </c:pt>
                <c:pt idx="8">
                  <c:v>112</c:v>
                </c:pt>
                <c:pt idx="9">
                  <c:v>6600</c:v>
                </c:pt>
                <c:pt idx="13">
                  <c:v>2329</c:v>
                </c:pt>
                <c:pt idx="14">
                  <c:v>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5-4989-A7CD-62131B568127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3518</c:v>
                </c:pt>
                <c:pt idx="2">
                  <c:v>9848</c:v>
                </c:pt>
                <c:pt idx="3">
                  <c:v>1745</c:v>
                </c:pt>
                <c:pt idx="4">
                  <c:v>3158</c:v>
                </c:pt>
                <c:pt idx="5">
                  <c:v>14223</c:v>
                </c:pt>
                <c:pt idx="6">
                  <c:v>3801</c:v>
                </c:pt>
                <c:pt idx="7">
                  <c:v>3671</c:v>
                </c:pt>
                <c:pt idx="8">
                  <c:v>112</c:v>
                </c:pt>
                <c:pt idx="9">
                  <c:v>6600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2329</c:v>
                </c:pt>
                <c:pt idx="14">
                  <c:v>5194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5-4989-A7CD-62131B56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71%</c:v>
                </c:pt>
                <c:pt idx="2">
                  <c:v>0%</c:v>
                </c:pt>
                <c:pt idx="3">
                  <c:v>42%</c:v>
                </c:pt>
                <c:pt idx="4">
                  <c:v>71%</c:v>
                </c:pt>
                <c:pt idx="5">
                  <c:v>92%</c:v>
                </c:pt>
                <c:pt idx="6">
                  <c:v>0%</c:v>
                </c:pt>
                <c:pt idx="7">
                  <c:v>83%</c:v>
                </c:pt>
                <c:pt idx="8">
                  <c:v>13%</c:v>
                </c:pt>
                <c:pt idx="9">
                  <c:v>42%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0.70833333333333337</c:v>
                </c:pt>
                <c:pt idx="2">
                  <c:v>0</c:v>
                </c:pt>
                <c:pt idx="3">
                  <c:v>0.41666666666666669</c:v>
                </c:pt>
                <c:pt idx="4">
                  <c:v>0.70833333333333337</c:v>
                </c:pt>
                <c:pt idx="5">
                  <c:v>0.91666666666666663</c:v>
                </c:pt>
                <c:pt idx="6">
                  <c:v>0</c:v>
                </c:pt>
                <c:pt idx="7">
                  <c:v>0.83333333333333337</c:v>
                </c:pt>
                <c:pt idx="8">
                  <c:v>0.125</c:v>
                </c:pt>
                <c:pt idx="9">
                  <c:v>0.41666666666666669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568-9A37-EBEB74D69A5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E-4568-9A37-EBEB74D69A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0.35677083333333331</c:v>
                </c:pt>
                <c:pt idx="1">
                  <c:v>0.35677083333333331</c:v>
                </c:pt>
                <c:pt idx="2">
                  <c:v>0.35677083333333331</c:v>
                </c:pt>
                <c:pt idx="3">
                  <c:v>0.35677083333333331</c:v>
                </c:pt>
                <c:pt idx="4">
                  <c:v>0.35677083333333331</c:v>
                </c:pt>
                <c:pt idx="5">
                  <c:v>0.35677083333333331</c:v>
                </c:pt>
                <c:pt idx="6">
                  <c:v>0.35677083333333331</c:v>
                </c:pt>
                <c:pt idx="7">
                  <c:v>0.35677083333333331</c:v>
                </c:pt>
                <c:pt idx="8">
                  <c:v>0.35677083333333331</c:v>
                </c:pt>
                <c:pt idx="9">
                  <c:v>0.35677083333333331</c:v>
                </c:pt>
                <c:pt idx="10">
                  <c:v>0.35677083333333331</c:v>
                </c:pt>
                <c:pt idx="11">
                  <c:v>0.35677083333333331</c:v>
                </c:pt>
                <c:pt idx="12">
                  <c:v>0.35677083333333331</c:v>
                </c:pt>
                <c:pt idx="13">
                  <c:v>0.35677083333333331</c:v>
                </c:pt>
                <c:pt idx="14">
                  <c:v>0.35677083333333331</c:v>
                </c:pt>
                <c:pt idx="15">
                  <c:v>0.35677083333333331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568-9A37-EBEB74D6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3518</c:v>
                </c:pt>
                <c:pt idx="3">
                  <c:v>1745</c:v>
                </c:pt>
                <c:pt idx="4">
                  <c:v>3158</c:v>
                </c:pt>
                <c:pt idx="5">
                  <c:v>14223</c:v>
                </c:pt>
                <c:pt idx="7">
                  <c:v>3671</c:v>
                </c:pt>
                <c:pt idx="8">
                  <c:v>112</c:v>
                </c:pt>
                <c:pt idx="9">
                  <c:v>6600</c:v>
                </c:pt>
                <c:pt idx="13">
                  <c:v>2329</c:v>
                </c:pt>
                <c:pt idx="14">
                  <c:v>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5-4D00-B391-EEF042BC4E74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637</c:v>
                </c:pt>
                <c:pt idx="1">
                  <c:v>3518</c:v>
                </c:pt>
                <c:pt idx="2">
                  <c:v>9848</c:v>
                </c:pt>
                <c:pt idx="3">
                  <c:v>1745</c:v>
                </c:pt>
                <c:pt idx="4">
                  <c:v>3158</c:v>
                </c:pt>
                <c:pt idx="5">
                  <c:v>14223</c:v>
                </c:pt>
                <c:pt idx="6">
                  <c:v>3801</c:v>
                </c:pt>
                <c:pt idx="7">
                  <c:v>3671</c:v>
                </c:pt>
                <c:pt idx="8">
                  <c:v>112</c:v>
                </c:pt>
                <c:pt idx="9">
                  <c:v>6600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2329</c:v>
                </c:pt>
                <c:pt idx="14">
                  <c:v>5194</c:v>
                </c:pt>
                <c:pt idx="1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5-4D00-B391-EEF042BC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71%</c:v>
                </c:pt>
                <c:pt idx="2">
                  <c:v>0%</c:v>
                </c:pt>
                <c:pt idx="3">
                  <c:v>42%</c:v>
                </c:pt>
                <c:pt idx="4">
                  <c:v>71%</c:v>
                </c:pt>
                <c:pt idx="5">
                  <c:v>92%</c:v>
                </c:pt>
                <c:pt idx="6">
                  <c:v>0%</c:v>
                </c:pt>
                <c:pt idx="7">
                  <c:v>83%</c:v>
                </c:pt>
                <c:pt idx="8">
                  <c:v>13%</c:v>
                </c:pt>
                <c:pt idx="9">
                  <c:v>42%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0.70833333333333337</c:v>
                </c:pt>
                <c:pt idx="2">
                  <c:v>0</c:v>
                </c:pt>
                <c:pt idx="3">
                  <c:v>0.41666666666666669</c:v>
                </c:pt>
                <c:pt idx="4">
                  <c:v>0.70833333333333337</c:v>
                </c:pt>
                <c:pt idx="5">
                  <c:v>0.91666666666666663</c:v>
                </c:pt>
                <c:pt idx="6">
                  <c:v>0</c:v>
                </c:pt>
                <c:pt idx="7">
                  <c:v>0.83333333333333337</c:v>
                </c:pt>
                <c:pt idx="8">
                  <c:v>0.125</c:v>
                </c:pt>
                <c:pt idx="9">
                  <c:v>0.41666666666666669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F-444D-84F2-0A7A37303BE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3F-444D-84F2-0A7A37303B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INNER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0.35677083333333331</c:v>
                </c:pt>
                <c:pt idx="1">
                  <c:v>0.35677083333333331</c:v>
                </c:pt>
                <c:pt idx="2">
                  <c:v>0.35677083333333331</c:v>
                </c:pt>
                <c:pt idx="3">
                  <c:v>0.35677083333333331</c:v>
                </c:pt>
                <c:pt idx="4">
                  <c:v>0.35677083333333331</c:v>
                </c:pt>
                <c:pt idx="5">
                  <c:v>0.35677083333333331</c:v>
                </c:pt>
                <c:pt idx="6">
                  <c:v>0.35677083333333331</c:v>
                </c:pt>
                <c:pt idx="7">
                  <c:v>0.35677083333333331</c:v>
                </c:pt>
                <c:pt idx="8">
                  <c:v>0.35677083333333331</c:v>
                </c:pt>
                <c:pt idx="9">
                  <c:v>0.35677083333333331</c:v>
                </c:pt>
                <c:pt idx="10">
                  <c:v>0.35677083333333331</c:v>
                </c:pt>
                <c:pt idx="11">
                  <c:v>0.35677083333333331</c:v>
                </c:pt>
                <c:pt idx="12">
                  <c:v>0.35677083333333331</c:v>
                </c:pt>
                <c:pt idx="13">
                  <c:v>0.35677083333333331</c:v>
                </c:pt>
                <c:pt idx="14">
                  <c:v>0.35677083333333331</c:v>
                </c:pt>
                <c:pt idx="15">
                  <c:v>0.35677083333333331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F-444D-84F2-0A7A3730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DE0-48FC-A9CA-7CD6D946C4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0-48FC-A9CA-7CD6D946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E0-48FC-A9CA-7CD6D946C4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0-48FC-A9CA-7CD6D946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'24'!$L$6:$L$23</c:f>
              <c:numCache>
                <c:formatCode>_(* #,##0_);_(* \(#,##0\);_(* "-"_);_(@_)</c:formatCode>
                <c:ptCount val="18"/>
                <c:pt idx="0">
                  <c:v>1354</c:v>
                </c:pt>
                <c:pt idx="1">
                  <c:v>2903</c:v>
                </c:pt>
                <c:pt idx="3">
                  <c:v>6124</c:v>
                </c:pt>
                <c:pt idx="4">
                  <c:v>20808</c:v>
                </c:pt>
                <c:pt idx="7">
                  <c:v>5242</c:v>
                </c:pt>
                <c:pt idx="9">
                  <c:v>3277</c:v>
                </c:pt>
                <c:pt idx="13">
                  <c:v>1068</c:v>
                </c:pt>
                <c:pt idx="14">
                  <c:v>134</c:v>
                </c:pt>
                <c:pt idx="15">
                  <c:v>0</c:v>
                </c:pt>
                <c:pt idx="16">
                  <c:v>17832</c:v>
                </c:pt>
                <c:pt idx="17">
                  <c:v>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B-4232-BB9F-4C21D56D3DBA}"/>
            </c:ext>
          </c:extLst>
        </c:ser>
        <c:ser>
          <c:idx val="1"/>
          <c:order val="1"/>
          <c:tx>
            <c:v>계획</c:v>
          </c:tx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'24'!$J$6:$J$23</c:f>
              <c:numCache>
                <c:formatCode>_(* #,##0_);_(* \(#,##0\);_(* "-"_);_(@_)</c:formatCode>
                <c:ptCount val="18"/>
                <c:pt idx="0">
                  <c:v>1354</c:v>
                </c:pt>
                <c:pt idx="1">
                  <c:v>2903</c:v>
                </c:pt>
                <c:pt idx="2">
                  <c:v>9848</c:v>
                </c:pt>
                <c:pt idx="3">
                  <c:v>6124</c:v>
                </c:pt>
                <c:pt idx="4">
                  <c:v>20808</c:v>
                </c:pt>
                <c:pt idx="5">
                  <c:v>14223</c:v>
                </c:pt>
                <c:pt idx="6">
                  <c:v>3801</c:v>
                </c:pt>
                <c:pt idx="7">
                  <c:v>5242</c:v>
                </c:pt>
                <c:pt idx="8">
                  <c:v>112</c:v>
                </c:pt>
                <c:pt idx="9">
                  <c:v>3277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1068</c:v>
                </c:pt>
                <c:pt idx="14">
                  <c:v>134</c:v>
                </c:pt>
                <c:pt idx="15">
                  <c:v>134</c:v>
                </c:pt>
                <c:pt idx="16">
                  <c:v>17832</c:v>
                </c:pt>
                <c:pt idx="17">
                  <c:v>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B-4232-BB9F-4C21D56D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'24'!$AD$6:$AD$23</c:f>
              <c:strCache>
                <c:ptCount val="18"/>
                <c:pt idx="0">
                  <c:v>33%</c:v>
                </c:pt>
                <c:pt idx="1">
                  <c:v>58%</c:v>
                </c:pt>
                <c:pt idx="2">
                  <c:v>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33%</c:v>
                </c:pt>
                <c:pt idx="14">
                  <c:v>17%</c:v>
                </c:pt>
                <c:pt idx="15">
                  <c:v>0%</c:v>
                </c:pt>
                <c:pt idx="16">
                  <c:v>79%</c:v>
                </c:pt>
                <c:pt idx="17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'24'!$AD$6:$AD$23</c:f>
              <c:numCache>
                <c:formatCode>0%</c:formatCode>
                <c:ptCount val="18"/>
                <c:pt idx="0">
                  <c:v>0.33333333333333331</c:v>
                </c:pt>
                <c:pt idx="1">
                  <c:v>0.58333333333333337</c:v>
                </c:pt>
                <c:pt idx="2">
                  <c:v>0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0.79166666666666663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0-47CD-9C6B-425990836F5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50-47CD-9C6B-425990836F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'24'!$AE$6:$AE$23</c:f>
              <c:numCache>
                <c:formatCode>0%</c:formatCode>
                <c:ptCount val="18"/>
                <c:pt idx="0">
                  <c:v>0.32870370370370372</c:v>
                </c:pt>
                <c:pt idx="1">
                  <c:v>0.32870370370370372</c:v>
                </c:pt>
                <c:pt idx="2">
                  <c:v>0.32870370370370372</c:v>
                </c:pt>
                <c:pt idx="3">
                  <c:v>0.32870370370370372</c:v>
                </c:pt>
                <c:pt idx="4">
                  <c:v>0.32870370370370372</c:v>
                </c:pt>
                <c:pt idx="5">
                  <c:v>0.32870370370370372</c:v>
                </c:pt>
                <c:pt idx="6">
                  <c:v>0.32870370370370372</c:v>
                </c:pt>
                <c:pt idx="7">
                  <c:v>0.32870370370370372</c:v>
                </c:pt>
                <c:pt idx="8">
                  <c:v>0.32870370370370372</c:v>
                </c:pt>
                <c:pt idx="9">
                  <c:v>0.32870370370370372</c:v>
                </c:pt>
                <c:pt idx="10">
                  <c:v>0.32870370370370372</c:v>
                </c:pt>
                <c:pt idx="11">
                  <c:v>0.32870370370370372</c:v>
                </c:pt>
                <c:pt idx="12">
                  <c:v>0.32870370370370372</c:v>
                </c:pt>
                <c:pt idx="13">
                  <c:v>0.32870370370370372</c:v>
                </c:pt>
                <c:pt idx="14">
                  <c:v>0.32870370370370372</c:v>
                </c:pt>
                <c:pt idx="15">
                  <c:v>0.32870370370370372</c:v>
                </c:pt>
                <c:pt idx="16">
                  <c:v>0.32870370370370372</c:v>
                </c:pt>
                <c:pt idx="17">
                  <c:v>0.32870370370370372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0-47CD-9C6B-42599083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'24'!$L$6:$L$23</c:f>
              <c:numCache>
                <c:formatCode>_(* #,##0_);_(* \(#,##0\);_(* "-"_);_(@_)</c:formatCode>
                <c:ptCount val="18"/>
                <c:pt idx="0">
                  <c:v>1354</c:v>
                </c:pt>
                <c:pt idx="1">
                  <c:v>2903</c:v>
                </c:pt>
                <c:pt idx="3">
                  <c:v>6124</c:v>
                </c:pt>
                <c:pt idx="4">
                  <c:v>20808</c:v>
                </c:pt>
                <c:pt idx="7">
                  <c:v>5242</c:v>
                </c:pt>
                <c:pt idx="9">
                  <c:v>3277</c:v>
                </c:pt>
                <c:pt idx="13">
                  <c:v>1068</c:v>
                </c:pt>
                <c:pt idx="14">
                  <c:v>134</c:v>
                </c:pt>
                <c:pt idx="15">
                  <c:v>0</c:v>
                </c:pt>
                <c:pt idx="16">
                  <c:v>17832</c:v>
                </c:pt>
                <c:pt idx="17">
                  <c:v>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2-4A4B-B11C-73A14DDFDD85}"/>
            </c:ext>
          </c:extLst>
        </c:ser>
        <c:ser>
          <c:idx val="1"/>
          <c:order val="1"/>
          <c:tx>
            <c:v>계획</c:v>
          </c:tx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'24'!$J$6:$J$23</c:f>
              <c:numCache>
                <c:formatCode>_(* #,##0_);_(* \(#,##0\);_(* "-"_);_(@_)</c:formatCode>
                <c:ptCount val="18"/>
                <c:pt idx="0">
                  <c:v>1354</c:v>
                </c:pt>
                <c:pt idx="1">
                  <c:v>2903</c:v>
                </c:pt>
                <c:pt idx="2">
                  <c:v>9848</c:v>
                </c:pt>
                <c:pt idx="3">
                  <c:v>6124</c:v>
                </c:pt>
                <c:pt idx="4">
                  <c:v>20808</c:v>
                </c:pt>
                <c:pt idx="5">
                  <c:v>14223</c:v>
                </c:pt>
                <c:pt idx="6">
                  <c:v>3801</c:v>
                </c:pt>
                <c:pt idx="7">
                  <c:v>5242</c:v>
                </c:pt>
                <c:pt idx="8">
                  <c:v>112</c:v>
                </c:pt>
                <c:pt idx="9">
                  <c:v>3277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1068</c:v>
                </c:pt>
                <c:pt idx="14">
                  <c:v>134</c:v>
                </c:pt>
                <c:pt idx="15">
                  <c:v>134</c:v>
                </c:pt>
                <c:pt idx="16">
                  <c:v>17832</c:v>
                </c:pt>
                <c:pt idx="17">
                  <c:v>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2-4A4B-B11C-73A14DDF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'24'!$AD$6:$AD$23</c:f>
              <c:strCache>
                <c:ptCount val="18"/>
                <c:pt idx="0">
                  <c:v>33%</c:v>
                </c:pt>
                <c:pt idx="1">
                  <c:v>58%</c:v>
                </c:pt>
                <c:pt idx="2">
                  <c:v>0%</c:v>
                </c:pt>
                <c:pt idx="3">
                  <c:v>58%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33%</c:v>
                </c:pt>
                <c:pt idx="14">
                  <c:v>17%</c:v>
                </c:pt>
                <c:pt idx="15">
                  <c:v>0%</c:v>
                </c:pt>
                <c:pt idx="16">
                  <c:v>79%</c:v>
                </c:pt>
                <c:pt idx="17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'24'!$AD$6:$AD$23</c:f>
              <c:numCache>
                <c:formatCode>0%</c:formatCode>
                <c:ptCount val="18"/>
                <c:pt idx="0">
                  <c:v>0.33333333333333331</c:v>
                </c:pt>
                <c:pt idx="1">
                  <c:v>0.58333333333333337</c:v>
                </c:pt>
                <c:pt idx="2">
                  <c:v>0</c:v>
                </c:pt>
                <c:pt idx="3">
                  <c:v>0.58333333333333337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0.33333333333333331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0.79166666666666663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0-4EF5-8D2F-40BD4A8A74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0-4EF5-8D2F-40BD4A8A74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'24'!$D$6:$D$23</c:f>
              <c:strCache>
                <c:ptCount val="17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COVER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HOLDER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</c:strCache>
            </c:strRef>
          </c:cat>
          <c:val>
            <c:numRef>
              <c:f>'24'!$AE$6:$AE$23</c:f>
              <c:numCache>
                <c:formatCode>0%</c:formatCode>
                <c:ptCount val="18"/>
                <c:pt idx="0">
                  <c:v>0.32870370370370372</c:v>
                </c:pt>
                <c:pt idx="1">
                  <c:v>0.32870370370370372</c:v>
                </c:pt>
                <c:pt idx="2">
                  <c:v>0.32870370370370372</c:v>
                </c:pt>
                <c:pt idx="3">
                  <c:v>0.32870370370370372</c:v>
                </c:pt>
                <c:pt idx="4">
                  <c:v>0.32870370370370372</c:v>
                </c:pt>
                <c:pt idx="5">
                  <c:v>0.32870370370370372</c:v>
                </c:pt>
                <c:pt idx="6">
                  <c:v>0.32870370370370372</c:v>
                </c:pt>
                <c:pt idx="7">
                  <c:v>0.32870370370370372</c:v>
                </c:pt>
                <c:pt idx="8">
                  <c:v>0.32870370370370372</c:v>
                </c:pt>
                <c:pt idx="9">
                  <c:v>0.32870370370370372</c:v>
                </c:pt>
                <c:pt idx="10">
                  <c:v>0.32870370370370372</c:v>
                </c:pt>
                <c:pt idx="11">
                  <c:v>0.32870370370370372</c:v>
                </c:pt>
                <c:pt idx="12">
                  <c:v>0.32870370370370372</c:v>
                </c:pt>
                <c:pt idx="13">
                  <c:v>0.32870370370370372</c:v>
                </c:pt>
                <c:pt idx="14">
                  <c:v>0.32870370370370372</c:v>
                </c:pt>
                <c:pt idx="15">
                  <c:v>0.32870370370370372</c:v>
                </c:pt>
                <c:pt idx="16">
                  <c:v>0.32870370370370372</c:v>
                </c:pt>
                <c:pt idx="17">
                  <c:v>0.32870370370370372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0-4EF5-8D2F-40BD4A8A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0%</c:v>
                </c:pt>
                <c:pt idx="1">
                  <c:v>54%</c:v>
                </c:pt>
                <c:pt idx="2">
                  <c:v>100%</c:v>
                </c:pt>
                <c:pt idx="3">
                  <c:v>0%</c:v>
                </c:pt>
                <c:pt idx="4">
                  <c:v>54%</c:v>
                </c:pt>
                <c:pt idx="5">
                  <c:v>79%</c:v>
                </c:pt>
                <c:pt idx="6">
                  <c:v>88%</c:v>
                </c:pt>
                <c:pt idx="7">
                  <c:v>38%</c:v>
                </c:pt>
                <c:pt idx="8">
                  <c:v>25%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71%</c:v>
                </c:pt>
                <c:pt idx="13">
                  <c:v>79%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</c:v>
                </c:pt>
                <c:pt idx="1">
                  <c:v>0.54166666666666663</c:v>
                </c:pt>
                <c:pt idx="2">
                  <c:v>1</c:v>
                </c:pt>
                <c:pt idx="3">
                  <c:v>0</c:v>
                </c:pt>
                <c:pt idx="4">
                  <c:v>0.54166666666666663</c:v>
                </c:pt>
                <c:pt idx="5">
                  <c:v>0.79166666666666663</c:v>
                </c:pt>
                <c:pt idx="6">
                  <c:v>0.875</c:v>
                </c:pt>
                <c:pt idx="7">
                  <c:v>0.375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0.70833333333333337</c:v>
                </c:pt>
                <c:pt idx="13">
                  <c:v>0.79166666666666663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C-42C3-8A75-04F19EF0CDC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DC-42C3-8A75-04F19EF0CD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LEAD GUIDE</c:v>
                </c:pt>
                <c:pt idx="3">
                  <c:v>LEAD GUIDE</c:v>
                </c:pt>
                <c:pt idx="4">
                  <c:v>STOPPER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LED A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0.4921875</c:v>
                </c:pt>
                <c:pt idx="1">
                  <c:v>0.4921875</c:v>
                </c:pt>
                <c:pt idx="2">
                  <c:v>0.4921875</c:v>
                </c:pt>
                <c:pt idx="3">
                  <c:v>0.4921875</c:v>
                </c:pt>
                <c:pt idx="4">
                  <c:v>0.4921875</c:v>
                </c:pt>
                <c:pt idx="5">
                  <c:v>0.4921875</c:v>
                </c:pt>
                <c:pt idx="6">
                  <c:v>0.4921875</c:v>
                </c:pt>
                <c:pt idx="7">
                  <c:v>0.4921875</c:v>
                </c:pt>
                <c:pt idx="8">
                  <c:v>0.4921875</c:v>
                </c:pt>
                <c:pt idx="9">
                  <c:v>0.4921875</c:v>
                </c:pt>
                <c:pt idx="10">
                  <c:v>0.4921875</c:v>
                </c:pt>
                <c:pt idx="11">
                  <c:v>0.4921875</c:v>
                </c:pt>
                <c:pt idx="12">
                  <c:v>0.4921875</c:v>
                </c:pt>
                <c:pt idx="13">
                  <c:v>0.4921875</c:v>
                </c:pt>
                <c:pt idx="14">
                  <c:v>0.4921875</c:v>
                </c:pt>
                <c:pt idx="15">
                  <c:v>0.4921875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C-42C3-8A75-04F19EF0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43B-4AA3-A11B-EC18FDF0F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B-4AA3-A11B-EC18FDF0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43B-4AA3-A11B-EC18FDF0F5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B-4AA3-A11B-EC18FDF0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1">
                  <c:v>5754</c:v>
                </c:pt>
                <c:pt idx="4">
                  <c:v>23988</c:v>
                </c:pt>
                <c:pt idx="6">
                  <c:v>9910</c:v>
                </c:pt>
                <c:pt idx="7">
                  <c:v>750</c:v>
                </c:pt>
                <c:pt idx="9">
                  <c:v>4927</c:v>
                </c:pt>
                <c:pt idx="13">
                  <c:v>4594</c:v>
                </c:pt>
                <c:pt idx="14">
                  <c:v>26640</c:v>
                </c:pt>
                <c:pt idx="15">
                  <c:v>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6-4666-B369-A8682E5A0E80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1354</c:v>
                </c:pt>
                <c:pt idx="1">
                  <c:v>5754</c:v>
                </c:pt>
                <c:pt idx="2">
                  <c:v>9848</c:v>
                </c:pt>
                <c:pt idx="3">
                  <c:v>6124</c:v>
                </c:pt>
                <c:pt idx="4">
                  <c:v>23988</c:v>
                </c:pt>
                <c:pt idx="5">
                  <c:v>14223</c:v>
                </c:pt>
                <c:pt idx="6">
                  <c:v>9910</c:v>
                </c:pt>
                <c:pt idx="7">
                  <c:v>750</c:v>
                </c:pt>
                <c:pt idx="8">
                  <c:v>112</c:v>
                </c:pt>
                <c:pt idx="9">
                  <c:v>4927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4594</c:v>
                </c:pt>
                <c:pt idx="14">
                  <c:v>26640</c:v>
                </c:pt>
                <c:pt idx="15">
                  <c:v>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6-4666-B369-A8682E5A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96%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96%</c:v>
                </c:pt>
                <c:pt idx="7">
                  <c:v>21%</c:v>
                </c:pt>
                <c:pt idx="8">
                  <c:v>0%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92%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0.95833333333333337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0.95833333333333337</c:v>
                </c:pt>
                <c:pt idx="7">
                  <c:v>0.20833333333333334</c:v>
                </c:pt>
                <c:pt idx="8">
                  <c:v>0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0.91666666666666663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2-4F1B-98CB-E554B4DE45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72-4F1B-98CB-E554B4DE45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0.40625000000000006</c:v>
                </c:pt>
                <c:pt idx="1">
                  <c:v>0.40625000000000006</c:v>
                </c:pt>
                <c:pt idx="2">
                  <c:v>0.40625000000000006</c:v>
                </c:pt>
                <c:pt idx="3">
                  <c:v>0.40625000000000006</c:v>
                </c:pt>
                <c:pt idx="4">
                  <c:v>0.40625000000000006</c:v>
                </c:pt>
                <c:pt idx="5">
                  <c:v>0.40625000000000006</c:v>
                </c:pt>
                <c:pt idx="6">
                  <c:v>0.40625000000000006</c:v>
                </c:pt>
                <c:pt idx="7">
                  <c:v>0.40625000000000006</c:v>
                </c:pt>
                <c:pt idx="8">
                  <c:v>0.40625000000000006</c:v>
                </c:pt>
                <c:pt idx="9">
                  <c:v>0.40625000000000006</c:v>
                </c:pt>
                <c:pt idx="10">
                  <c:v>0.40625000000000006</c:v>
                </c:pt>
                <c:pt idx="11">
                  <c:v>0.40625000000000006</c:v>
                </c:pt>
                <c:pt idx="12">
                  <c:v>0.40625000000000006</c:v>
                </c:pt>
                <c:pt idx="13">
                  <c:v>0.40625000000000006</c:v>
                </c:pt>
                <c:pt idx="14">
                  <c:v>0.40625000000000006</c:v>
                </c:pt>
                <c:pt idx="15">
                  <c:v>0.40625000000000006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2-4F1B-98CB-E554B4DE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1">
                  <c:v>5754</c:v>
                </c:pt>
                <c:pt idx="4">
                  <c:v>23988</c:v>
                </c:pt>
                <c:pt idx="6">
                  <c:v>9910</c:v>
                </c:pt>
                <c:pt idx="7">
                  <c:v>750</c:v>
                </c:pt>
                <c:pt idx="9">
                  <c:v>4927</c:v>
                </c:pt>
                <c:pt idx="13">
                  <c:v>4594</c:v>
                </c:pt>
                <c:pt idx="14">
                  <c:v>26640</c:v>
                </c:pt>
                <c:pt idx="15">
                  <c:v>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AF-B5C3-0612FC181D5F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1354</c:v>
                </c:pt>
                <c:pt idx="1">
                  <c:v>5754</c:v>
                </c:pt>
                <c:pt idx="2">
                  <c:v>9848</c:v>
                </c:pt>
                <c:pt idx="3">
                  <c:v>6124</c:v>
                </c:pt>
                <c:pt idx="4">
                  <c:v>23988</c:v>
                </c:pt>
                <c:pt idx="5">
                  <c:v>14223</c:v>
                </c:pt>
                <c:pt idx="6">
                  <c:v>9910</c:v>
                </c:pt>
                <c:pt idx="7">
                  <c:v>750</c:v>
                </c:pt>
                <c:pt idx="8">
                  <c:v>112</c:v>
                </c:pt>
                <c:pt idx="9">
                  <c:v>4927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4594</c:v>
                </c:pt>
                <c:pt idx="14">
                  <c:v>26640</c:v>
                </c:pt>
                <c:pt idx="15">
                  <c:v>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8AF-B5C3-0612FC18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96%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96%</c:v>
                </c:pt>
                <c:pt idx="7">
                  <c:v>21%</c:v>
                </c:pt>
                <c:pt idx="8">
                  <c:v>0%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92%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0.95833333333333337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0.95833333333333337</c:v>
                </c:pt>
                <c:pt idx="7">
                  <c:v>0.20833333333333334</c:v>
                </c:pt>
                <c:pt idx="8">
                  <c:v>0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0.91666666666666663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A-48AB-B20A-1F2D21F920E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BA-48AB-B20A-1F2D21F920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LATCH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0.40625000000000006</c:v>
                </c:pt>
                <c:pt idx="1">
                  <c:v>0.40625000000000006</c:v>
                </c:pt>
                <c:pt idx="2">
                  <c:v>0.40625000000000006</c:v>
                </c:pt>
                <c:pt idx="3">
                  <c:v>0.40625000000000006</c:v>
                </c:pt>
                <c:pt idx="4">
                  <c:v>0.40625000000000006</c:v>
                </c:pt>
                <c:pt idx="5">
                  <c:v>0.40625000000000006</c:v>
                </c:pt>
                <c:pt idx="6">
                  <c:v>0.40625000000000006</c:v>
                </c:pt>
                <c:pt idx="7">
                  <c:v>0.40625000000000006</c:v>
                </c:pt>
                <c:pt idx="8">
                  <c:v>0.40625000000000006</c:v>
                </c:pt>
                <c:pt idx="9">
                  <c:v>0.40625000000000006</c:v>
                </c:pt>
                <c:pt idx="10">
                  <c:v>0.40625000000000006</c:v>
                </c:pt>
                <c:pt idx="11">
                  <c:v>0.40625000000000006</c:v>
                </c:pt>
                <c:pt idx="12">
                  <c:v>0.40625000000000006</c:v>
                </c:pt>
                <c:pt idx="13">
                  <c:v>0.40625000000000006</c:v>
                </c:pt>
                <c:pt idx="14">
                  <c:v>0.40625000000000006</c:v>
                </c:pt>
                <c:pt idx="15">
                  <c:v>0.40625000000000006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A-48AB-B20A-1F2D21F9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B9A-43B2-ABEB-D1AAFEB13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0.39843749999999994</c:v>
                </c:pt>
                <c:pt idx="3">
                  <c:v>0.4921875</c:v>
                </c:pt>
                <c:pt idx="4">
                  <c:v>0.59895833333333337</c:v>
                </c:pt>
                <c:pt idx="5">
                  <c:v>0.49739583333333337</c:v>
                </c:pt>
                <c:pt idx="6">
                  <c:v>0.47395833333333331</c:v>
                </c:pt>
                <c:pt idx="7">
                  <c:v>0.34895833333333331</c:v>
                </c:pt>
                <c:pt idx="9">
                  <c:v>0.44270833333333331</c:v>
                </c:pt>
                <c:pt idx="10">
                  <c:v>0.296875</c:v>
                </c:pt>
                <c:pt idx="11">
                  <c:v>0.44270833333333331</c:v>
                </c:pt>
                <c:pt idx="12">
                  <c:v>0.421875</c:v>
                </c:pt>
                <c:pt idx="13">
                  <c:v>0.42708333333333331</c:v>
                </c:pt>
                <c:pt idx="14">
                  <c:v>0.3289667137144201</c:v>
                </c:pt>
                <c:pt idx="16">
                  <c:v>0.33072916666666669</c:v>
                </c:pt>
                <c:pt idx="17">
                  <c:v>0.29166666666666663</c:v>
                </c:pt>
                <c:pt idx="18">
                  <c:v>0.29166666666666663</c:v>
                </c:pt>
                <c:pt idx="19">
                  <c:v>0.42708333333333331</c:v>
                </c:pt>
                <c:pt idx="20">
                  <c:v>0.35677083333333331</c:v>
                </c:pt>
                <c:pt idx="23">
                  <c:v>0.32870370370370372</c:v>
                </c:pt>
                <c:pt idx="24">
                  <c:v>0.40625000000000006</c:v>
                </c:pt>
                <c:pt idx="25">
                  <c:v>0.43489583333333337</c:v>
                </c:pt>
                <c:pt idx="26">
                  <c:v>0.40931372549019607</c:v>
                </c:pt>
                <c:pt idx="27">
                  <c:v>0.37239583333333337</c:v>
                </c:pt>
                <c:pt idx="30">
                  <c:v>0.45833333333333331</c:v>
                </c:pt>
                <c:pt idx="31">
                  <c:v>0.29928779493252655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A-43B2-ABEB-D1AAFEB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B9A-43B2-ABEB-D1AAFEB131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A-43B2-ABEB-D1AAFEB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1">
                  <c:v>2638</c:v>
                </c:pt>
                <c:pt idx="3">
                  <c:v>200</c:v>
                </c:pt>
                <c:pt idx="4">
                  <c:v>24256</c:v>
                </c:pt>
                <c:pt idx="6">
                  <c:v>10248</c:v>
                </c:pt>
                <c:pt idx="7">
                  <c:v>4387</c:v>
                </c:pt>
                <c:pt idx="9">
                  <c:v>4955</c:v>
                </c:pt>
                <c:pt idx="13">
                  <c:v>5357</c:v>
                </c:pt>
                <c:pt idx="14">
                  <c:v>27152</c:v>
                </c:pt>
                <c:pt idx="15">
                  <c:v>35220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2-4FF7-8681-6AB3661EA5E4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1354</c:v>
                </c:pt>
                <c:pt idx="1">
                  <c:v>2638</c:v>
                </c:pt>
                <c:pt idx="2">
                  <c:v>9848</c:v>
                </c:pt>
                <c:pt idx="3">
                  <c:v>200</c:v>
                </c:pt>
                <c:pt idx="4">
                  <c:v>24256</c:v>
                </c:pt>
                <c:pt idx="5">
                  <c:v>14223</c:v>
                </c:pt>
                <c:pt idx="6">
                  <c:v>10248</c:v>
                </c:pt>
                <c:pt idx="7">
                  <c:v>4387</c:v>
                </c:pt>
                <c:pt idx="8">
                  <c:v>112</c:v>
                </c:pt>
                <c:pt idx="9">
                  <c:v>4955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5357</c:v>
                </c:pt>
                <c:pt idx="14">
                  <c:v>27152</c:v>
                </c:pt>
                <c:pt idx="15">
                  <c:v>35220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2-4FF7-8681-6AB3661E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42%</c:v>
                </c:pt>
                <c:pt idx="2">
                  <c:v>0%</c:v>
                </c:pt>
                <c:pt idx="3">
                  <c:v>17%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0.16666666666666666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125-9587-9900625258C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7-4125-9587-9900625258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0.43489583333333337</c:v>
                </c:pt>
                <c:pt idx="1">
                  <c:v>0.43489583333333337</c:v>
                </c:pt>
                <c:pt idx="2">
                  <c:v>0.43489583333333337</c:v>
                </c:pt>
                <c:pt idx="3">
                  <c:v>0.43489583333333337</c:v>
                </c:pt>
                <c:pt idx="4">
                  <c:v>0.43489583333333337</c:v>
                </c:pt>
                <c:pt idx="5">
                  <c:v>0.43489583333333337</c:v>
                </c:pt>
                <c:pt idx="6">
                  <c:v>0.43489583333333337</c:v>
                </c:pt>
                <c:pt idx="7">
                  <c:v>0.43489583333333337</c:v>
                </c:pt>
                <c:pt idx="8">
                  <c:v>0.43489583333333337</c:v>
                </c:pt>
                <c:pt idx="9">
                  <c:v>0.43489583333333337</c:v>
                </c:pt>
                <c:pt idx="10">
                  <c:v>0.43489583333333337</c:v>
                </c:pt>
                <c:pt idx="11">
                  <c:v>0.43489583333333337</c:v>
                </c:pt>
                <c:pt idx="12">
                  <c:v>0.43489583333333337</c:v>
                </c:pt>
                <c:pt idx="13">
                  <c:v>0.43489583333333337</c:v>
                </c:pt>
                <c:pt idx="14">
                  <c:v>0.43489583333333337</c:v>
                </c:pt>
                <c:pt idx="15">
                  <c:v>0.43489583333333337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125-9587-99006252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1">
                  <c:v>2638</c:v>
                </c:pt>
                <c:pt idx="3">
                  <c:v>200</c:v>
                </c:pt>
                <c:pt idx="4">
                  <c:v>24256</c:v>
                </c:pt>
                <c:pt idx="6">
                  <c:v>10248</c:v>
                </c:pt>
                <c:pt idx="7">
                  <c:v>4387</c:v>
                </c:pt>
                <c:pt idx="9">
                  <c:v>4955</c:v>
                </c:pt>
                <c:pt idx="13">
                  <c:v>5357</c:v>
                </c:pt>
                <c:pt idx="14">
                  <c:v>27152</c:v>
                </c:pt>
                <c:pt idx="15">
                  <c:v>35220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9-484D-8077-E7A9BAB964C2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1354</c:v>
                </c:pt>
                <c:pt idx="1">
                  <c:v>2638</c:v>
                </c:pt>
                <c:pt idx="2">
                  <c:v>9848</c:v>
                </c:pt>
                <c:pt idx="3">
                  <c:v>200</c:v>
                </c:pt>
                <c:pt idx="4">
                  <c:v>24256</c:v>
                </c:pt>
                <c:pt idx="5">
                  <c:v>14223</c:v>
                </c:pt>
                <c:pt idx="6">
                  <c:v>10248</c:v>
                </c:pt>
                <c:pt idx="7">
                  <c:v>4387</c:v>
                </c:pt>
                <c:pt idx="8">
                  <c:v>112</c:v>
                </c:pt>
                <c:pt idx="9">
                  <c:v>4955</c:v>
                </c:pt>
                <c:pt idx="10">
                  <c:v>495</c:v>
                </c:pt>
                <c:pt idx="11">
                  <c:v>5947</c:v>
                </c:pt>
                <c:pt idx="12">
                  <c:v>1499</c:v>
                </c:pt>
                <c:pt idx="13">
                  <c:v>5357</c:v>
                </c:pt>
                <c:pt idx="14">
                  <c:v>27152</c:v>
                </c:pt>
                <c:pt idx="15">
                  <c:v>35220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9-484D-8077-E7A9BAB9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42%</c:v>
                </c:pt>
                <c:pt idx="2">
                  <c:v>0%</c:v>
                </c:pt>
                <c:pt idx="3">
                  <c:v>17%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0.16666666666666666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3-43CB-B30A-1CADE68103D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33-43CB-B30A-1CADE68103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COVER</c:v>
                </c:pt>
                <c:pt idx="3">
                  <c:v>LEAD GUIDE</c:v>
                </c:pt>
                <c:pt idx="4">
                  <c:v>STOPPER</c:v>
                </c:pt>
                <c:pt idx="5">
                  <c:v>STOPPER</c:v>
                </c:pt>
                <c:pt idx="6">
                  <c:v>LATCH/ROLLER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0.43489583333333337</c:v>
                </c:pt>
                <c:pt idx="1">
                  <c:v>0.43489583333333337</c:v>
                </c:pt>
                <c:pt idx="2">
                  <c:v>0.43489583333333337</c:v>
                </c:pt>
                <c:pt idx="3">
                  <c:v>0.43489583333333337</c:v>
                </c:pt>
                <c:pt idx="4">
                  <c:v>0.43489583333333337</c:v>
                </c:pt>
                <c:pt idx="5">
                  <c:v>0.43489583333333337</c:v>
                </c:pt>
                <c:pt idx="6">
                  <c:v>0.43489583333333337</c:v>
                </c:pt>
                <c:pt idx="7">
                  <c:v>0.43489583333333337</c:v>
                </c:pt>
                <c:pt idx="8">
                  <c:v>0.43489583333333337</c:v>
                </c:pt>
                <c:pt idx="9">
                  <c:v>0.43489583333333337</c:v>
                </c:pt>
                <c:pt idx="10">
                  <c:v>0.43489583333333337</c:v>
                </c:pt>
                <c:pt idx="11">
                  <c:v>0.43489583333333337</c:v>
                </c:pt>
                <c:pt idx="12">
                  <c:v>0.43489583333333337</c:v>
                </c:pt>
                <c:pt idx="13">
                  <c:v>0.43489583333333337</c:v>
                </c:pt>
                <c:pt idx="14">
                  <c:v>0.43489583333333337</c:v>
                </c:pt>
                <c:pt idx="15">
                  <c:v>0.43489583333333337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3-43CB-B30A-1CADE681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3FEE2A-9758-4926-B67A-07158388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450969-56D8-4D0D-8722-52CE1BBB5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44A4CA2-1038-4267-AECF-B3CD1F8BD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F2A6C2-1B1B-4AB6-A65C-4E3152B0C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4CFC0DC-99A4-4EDF-85C5-30A687853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BEAE27F-DEE2-44B2-839A-650D762FB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CDDFAE7-4A95-4965-AAF2-CB2476D8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3633FA-4421-463F-8636-86C72E1A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DB1253-6C8A-4E9A-B4F5-E4B3203F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49EB020-9631-4DD9-A33B-1C383147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5F43B2-D086-44BC-A852-3CB54EB3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3471CC-BA38-49B0-8325-64819CCD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E8472A5-D8A3-4721-9E9D-24114E7A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33064BE-0B35-41FF-ADA1-C91AEC29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9CB46E-76C8-4176-8B6E-9EDA226A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21234D-9B64-44F1-B53A-36729295F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19AEF9B-02ED-4947-B1E6-8C060301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8C2D590-FA19-4D42-96A3-6B7654027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A5FAE7C-8475-4532-964D-3A4DD3EF5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C18701F-5552-4618-B904-83B9961FB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F1F4909-52ED-47DC-8F1A-D6ABF471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1BE5C-2253-44F7-BBDC-9F71807D0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326BB7-70F3-4B7A-94E4-FB2E8F4B7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BF5A36D-5614-4FA0-B75B-278DBD2F9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1D6F159-D3ED-4CC6-AC4C-7255E30AD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2D3569E-4F96-430A-A0E1-FF9697F22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407F107-BCE7-4F6D-8B95-8072FF84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651FB06-66B4-45AF-9C55-970DBFE91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73CF4F-2E36-4A91-B3A1-3D2BB2AFA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3660975-5BA5-4FE3-8949-C720E0013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DACAAF3-D87D-4D16-8634-E1C987A3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C85A68B-4C79-4F99-8E34-C3B343574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25BC662-F935-4D8C-8676-E357B7A4D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230DCFE-2771-40AF-AD3D-57916EFE3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5C3E2B4-5F08-4D68-8A72-7C7134CC8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D246E9-3314-4141-8820-DAB046F7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51E93E-1D85-437A-8C3A-F391450E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205EBF9-A55D-4D44-A26E-46F344BC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F96C23D-275D-40A1-9897-FC309750B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CF926B3-A5CF-408F-A87A-03D89E80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3F7BBF0-3983-41AA-B10A-7C9CA44DA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041CD1E-8E52-41F9-A2DB-E0374A7F6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3F9296-75B8-4637-8548-AFF0E47A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EF7270-F82A-49D4-BB55-04E86A73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28DFCF2-4889-41A0-8ED1-A9BE135E3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089B33E-EC83-4D24-B864-0A56872CD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0F2CB5E-058B-491B-BE0A-58C6C024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E64E363-CD3A-46F6-B3B3-DAE361851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E6A733C-FD83-412C-B60E-10E8F79A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299357</xdr:colOff>
      <xdr:row>52</xdr:row>
      <xdr:rowOff>136072</xdr:rowOff>
    </xdr:from>
    <xdr:to>
      <xdr:col>20</xdr:col>
      <xdr:colOff>13607</xdr:colOff>
      <xdr:row>54</xdr:row>
      <xdr:rowOff>231322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EA35BA-6C81-49F3-A28F-8BA19AEC69DE}"/>
            </a:ext>
          </a:extLst>
        </xdr:cNvPr>
        <xdr:cNvSpPr txBox="1"/>
      </xdr:nvSpPr>
      <xdr:spPr>
        <a:xfrm>
          <a:off x="13960928" y="16328572"/>
          <a:ext cx="3592286" cy="775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셈플 </a:t>
          </a:r>
          <a:r>
            <a:rPr lang="en-US" altLang="ko-KR" sz="2400"/>
            <a:t>2</a:t>
          </a:r>
          <a:r>
            <a:rPr lang="ko-KR" altLang="en-US" sz="2400"/>
            <a:t>종 진행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EF3856-6F02-42A4-BDD5-C123DDC18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440020-69CE-4F8C-A779-BFD9E1598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F00663C-F667-49A9-9298-174B2DC6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B271197-CB07-49BE-B9A9-D408F63C1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EE874C-58C3-4180-BD95-1B58A44F6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990D519-400F-4939-9C37-1B59C56C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F3A0E1C-4CF2-4CA6-8FF0-E6EBC64A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0542BB-D97E-41C3-A818-385F26AA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3ADFFAC-02EF-4617-8A74-96C66DFD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7E9609A-D817-4261-9B18-81DE4A5A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A38BBD-7AE3-485B-B365-1A0EC00B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C065EA6-17CE-4402-AA44-4E5E1D7D1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04FDE01-BD79-4D9A-B050-CC5FACAD4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FDFFB57-B10E-458B-9863-696CEEC7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993111-33A6-46D8-99A6-0E64C756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52044E-6397-41EF-941D-4CD9BC1C7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31892E0-91AC-45A2-9C99-288C7EBF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037F5E5-BCC5-4640-A321-03F2F245F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515BCA6-77CB-4805-85F1-5634CE481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A836F61-DAF6-4415-9E16-5144ECF4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7C4B92A-5191-464A-8C3D-1F68C3842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A93C52-95AF-411B-BC55-36C7B5EA3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377EE-0522-47C0-AB5D-69F295A6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943A9D3-5ED9-4DDA-80DF-FD6ED6FBA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8639B6-272A-42EB-96DB-6A19B6250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DE3A6FD-219F-4FB1-B36E-0EBF5D9DA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BA96992-4659-48B2-9A8F-354FAC1C5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9B7CA72-5639-443E-B1C9-044C1D9E5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C54E3E-6AF6-4937-833A-14790C16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C41669-0F88-4150-AD05-AF6CD9186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98D7D42-67AC-428D-83AA-07B1A36A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25C0BC-90DB-463D-B279-FEFF7D64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E5D42A-2BE2-4E87-AA7B-4B5506A43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B096F7F-C52D-43DA-9CEC-491978495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457E04C-50AD-4100-B586-927AADE9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40D313-1917-4124-855D-A9786895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304CFC-2FA7-4B11-8109-F1817CEDD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657E459-6ADC-48B4-ABD4-4CDF7E9D7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8CE6A3-C7BE-4EB6-AF3F-0D19820C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D071877-5785-47C1-896B-4FCE869A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D44FB64-1F2D-45B5-80F9-B51DD7CF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AF88A7-E540-44F5-8CB9-D184E0A9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917CF8-EE40-4874-A789-06BE3CAC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B98F9F-864F-4AE8-9012-C4137613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62B512E-75BB-428E-83B8-E09AF2A7E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8140B8-C6F1-43CF-A5D4-F2D958D93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509870F-A047-4296-A055-F7A498D7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5E6BCC7-3029-4D9C-9DCF-76C0CD1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EB49C83-554D-4F8A-BB57-F034E8E73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2D2904-1351-4504-9EB1-208094FEB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414C66-6A6D-464C-93B4-94E5C89C0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FF3E79B-1AFC-444C-BC58-EB875D09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AB6BE16-5BD8-47DA-BBC9-2613C0141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C61BEF4-AB18-4605-9A2D-C1546279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BC4ED39-599A-4FC6-A7F0-75B5AFFB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BD08FFA-E9B0-4D65-976A-E7F31155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3A1CCE-70B9-438D-B2D1-D55879D8B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C00F9C-0354-467D-8BE9-B6A86658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F8D148E-189E-4252-9C7B-14288FC9B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1E07927-9483-41F9-A485-5D06C07C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CFD0F1A-20FC-4DFD-A65C-0A76734F0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A684530-149A-4EFF-8011-D8E9DE9B4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67CAF4-B737-4E02-91BD-D4F10354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E5FE4C-FA85-47E8-82CA-36876E73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03313C-72BD-4AD2-8A1A-418CB9122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6C33859-03BD-4B46-B309-7DE69FEC5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738B9B-1105-4C10-A405-FFC0A841C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7A45AC-3FEE-4B00-927C-87E551590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F249F04-9719-4282-B116-5A24B8930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3F5D13D-61A8-4E39-8E8D-1BFC77005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888164-2628-45B2-A5BE-E662057A6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728EA1-2BD1-4402-A7EF-76BE1B90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777A076-65CC-4D50-B57F-FCF4FA60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044B2BB-50DF-4231-9B4D-6F9080E48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A68631-F92D-4EA3-B673-86C0EEF3E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C53190B-D5BA-41E3-A981-692FF505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B3A3C26-D446-4976-B929-784FE1E9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287E1F-45D5-445A-AEBC-5B86DD5E6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0FC3DC-BDF3-4607-95AB-64A7EEB1D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E77E5C9-04A2-4445-9AC1-32A2A3161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9289AF1-AC47-4444-A747-571BF37D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D106CF9-6E54-4B7F-938B-A870B722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13B93E8-97A3-4B04-98CE-4C833DA0B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DA2CA9A-A812-4B43-9F29-E9BBC1DF0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5C1E94-9FAE-4884-B436-2567EBDA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F289D9-790C-4EFA-9C9F-4B2512A3B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1C35C92-FF65-4516-ABE7-8EE91B21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A79DDC0-9C71-45A0-8643-105BC8751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0BCE835-55EF-4772-8286-4E48FB538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EBA9D0D-B5DD-4E1C-AE24-ECD68DE44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DA533A6-B18C-4E1A-BB9A-46B04CBA9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104775</xdr:rowOff>
    </xdr:from>
    <xdr:to>
      <xdr:col>16</xdr:col>
      <xdr:colOff>66675</xdr:colOff>
      <xdr:row>32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20</xdr:row>
      <xdr:rowOff>123825</xdr:rowOff>
    </xdr:from>
    <xdr:to>
      <xdr:col>32</xdr:col>
      <xdr:colOff>371474</xdr:colOff>
      <xdr:row>32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8588B2-144B-4E04-9759-2855CA7C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D92258-372B-4872-AA7E-A15172F8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A62E0DC-F428-4909-A61F-582745FE3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060384E-5011-41DA-94C1-E348030C4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9D427C7-D44C-4FF1-BE49-6D6425839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036DE41-CC44-45AE-87A3-A167979DF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7A5CFE9-BFB1-4E69-B289-05F064C6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5440C-5F02-4ABC-855C-491E876B3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9429B2-8FCD-46A9-A5B1-4249E635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9DFAFE8-A867-4562-AEC7-511CFE0BF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70F431C-84D7-4523-8F95-379ADE9C2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B86A87E-57A7-49CB-9514-C796C02C5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25CC253-1F2E-4494-BFFC-C09691C9B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74DBFE9-F9E9-4EAF-B917-181D5FBC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8A03F1-B756-4F40-9599-DCEEDD71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5F13E3-33FD-44EC-9439-7B71FB186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D5F45C5-A6C7-468F-B503-EBFD6CE8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969223-49F4-4D44-AED7-E8C7FD21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5E1E728-5FDA-43B9-BBE6-82E1A04F5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B533EC9-DC1C-424C-8A7D-2AE74E1C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153" y="54428"/>
          <a:ext cx="32929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2F76176-0774-41DD-86FD-EC3D26294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4608-9430-4E1A-A683-7D80FB1F0025}">
  <dimension ref="A1:AF87"/>
  <sheetViews>
    <sheetView view="pageBreakPreview" zoomScale="70" zoomScaleNormal="72" zoomScaleSheetLayoutView="70" workbookViewId="0">
      <selection activeCell="AG23" sqref="AG2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178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20" t="s">
        <v>17</v>
      </c>
      <c r="L5" s="120" t="s">
        <v>18</v>
      </c>
      <c r="M5" s="120" t="s">
        <v>19</v>
      </c>
      <c r="N5" s="12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166</v>
      </c>
      <c r="F6" s="12" t="s">
        <v>127</v>
      </c>
      <c r="G6" s="12">
        <v>1</v>
      </c>
      <c r="H6" s="13">
        <v>24</v>
      </c>
      <c r="I6" s="31">
        <v>4000</v>
      </c>
      <c r="J6" s="14">
        <v>3718</v>
      </c>
      <c r="K6" s="15">
        <f>L6+1408+3251+3718</f>
        <v>8377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0.39843749999999994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122</v>
      </c>
      <c r="D7" s="52"/>
      <c r="E7" s="53" t="s">
        <v>168</v>
      </c>
      <c r="F7" s="12" t="s">
        <v>169</v>
      </c>
      <c r="G7" s="12">
        <v>1</v>
      </c>
      <c r="H7" s="13">
        <v>24</v>
      </c>
      <c r="I7" s="31">
        <v>6000</v>
      </c>
      <c r="J7" s="14">
        <v>1012</v>
      </c>
      <c r="K7" s="15">
        <f>L7+2355+900+1012</f>
        <v>4267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/>
      <c r="X7" s="16"/>
      <c r="Y7" s="16"/>
      <c r="Z7" s="16"/>
      <c r="AA7" s="18">
        <v>24</v>
      </c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0.39843749999999994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23516</v>
      </c>
      <c r="K8" s="15">
        <f>L8+23776+23632+22448+10612+24680+24492+25268+13104+24332+13700+17504+23944</f>
        <v>271008</v>
      </c>
      <c r="L8" s="15">
        <f>3191*4+2688*4</f>
        <v>23516</v>
      </c>
      <c r="M8" s="15">
        <f t="shared" si="0"/>
        <v>23516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0.39843749999999994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0.39843749999999994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1424</v>
      </c>
      <c r="K10" s="15">
        <f>L10+25196+23668+24836+25088+24940+25884+1424</f>
        <v>151036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0.39843749999999994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119</v>
      </c>
      <c r="D11" s="52" t="s">
        <v>115</v>
      </c>
      <c r="E11" s="53" t="s">
        <v>172</v>
      </c>
      <c r="F11" s="30" t="s">
        <v>129</v>
      </c>
      <c r="G11" s="33">
        <v>1</v>
      </c>
      <c r="H11" s="35">
        <v>24</v>
      </c>
      <c r="I11" s="7">
        <v>7000</v>
      </c>
      <c r="J11" s="14">
        <v>2940</v>
      </c>
      <c r="K11" s="15">
        <f>L11+2508+2541+2940</f>
        <v>7989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ref="AD11:AD14" si="9">AC11*AB11*(1-O11)</f>
        <v>0</v>
      </c>
      <c r="AE11" s="36">
        <f t="shared" si="7"/>
        <v>0.39843749999999994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120</v>
      </c>
      <c r="D12" s="52" t="s">
        <v>115</v>
      </c>
      <c r="E12" s="53" t="s">
        <v>152</v>
      </c>
      <c r="F12" s="30" t="s">
        <v>123</v>
      </c>
      <c r="G12" s="12">
        <v>3</v>
      </c>
      <c r="H12" s="13">
        <v>28</v>
      </c>
      <c r="I12" s="31">
        <v>400000</v>
      </c>
      <c r="J12" s="5">
        <v>9615</v>
      </c>
      <c r="K12" s="15">
        <f>L12+24356+25828+27100+24476+20768+27072+26880+9280+9984+18246+20307+18330+20418</f>
        <v>282660</v>
      </c>
      <c r="L12" s="15">
        <f>3015*3+190*3</f>
        <v>9615</v>
      </c>
      <c r="M12" s="15">
        <f t="shared" si="0"/>
        <v>9615</v>
      </c>
      <c r="N12" s="15">
        <v>0</v>
      </c>
      <c r="O12" s="58">
        <f t="shared" si="1"/>
        <v>0</v>
      </c>
      <c r="P12" s="39">
        <f t="shared" si="2"/>
        <v>16</v>
      </c>
      <c r="Q12" s="40">
        <f t="shared" si="3"/>
        <v>8</v>
      </c>
      <c r="R12" s="7"/>
      <c r="S12" s="6">
        <v>8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0.66666666666666663</v>
      </c>
      <c r="AD12" s="10">
        <f t="shared" si="9"/>
        <v>0.66666666666666663</v>
      </c>
      <c r="AE12" s="36">
        <f t="shared" si="7"/>
        <v>0.39843749999999994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130000</v>
      </c>
      <c r="J13" s="5">
        <v>26324</v>
      </c>
      <c r="K13" s="15">
        <f>L13+14284+8352+12576+8310+15524+17860+22424+23088+2420+23364+22844+15980+12148+8056+16415+23304+22652+18028+24560+16004+23972+26116+28148+12884+27980+28568+27912+29148+22636+20804+27276+24808+27356</f>
        <v>682125</v>
      </c>
      <c r="L13" s="15">
        <f>3520*4+3061*4</f>
        <v>26324</v>
      </c>
      <c r="M13" s="15">
        <f t="shared" si="0"/>
        <v>26324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0.39843749999999994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137</v>
      </c>
      <c r="F14" s="30" t="s">
        <v>129</v>
      </c>
      <c r="G14" s="33">
        <v>1</v>
      </c>
      <c r="H14" s="35">
        <v>60</v>
      </c>
      <c r="I14" s="7">
        <v>300</v>
      </c>
      <c r="J14" s="5">
        <v>166</v>
      </c>
      <c r="K14" s="15">
        <f>L14</f>
        <v>166</v>
      </c>
      <c r="L14" s="15">
        <v>166</v>
      </c>
      <c r="M14" s="15">
        <f t="shared" si="0"/>
        <v>166</v>
      </c>
      <c r="N14" s="15">
        <v>0</v>
      </c>
      <c r="O14" s="58">
        <f t="shared" si="1"/>
        <v>0</v>
      </c>
      <c r="P14" s="39">
        <f t="shared" si="2"/>
        <v>4</v>
      </c>
      <c r="Q14" s="40">
        <f t="shared" si="3"/>
        <v>20</v>
      </c>
      <c r="R14" s="7"/>
      <c r="S14" s="6">
        <v>20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0.16666666666666666</v>
      </c>
      <c r="AD14" s="10">
        <f t="shared" si="9"/>
        <v>0.16666666666666666</v>
      </c>
      <c r="AE14" s="36">
        <f t="shared" si="7"/>
        <v>0.39843749999999994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163</v>
      </c>
      <c r="E15" s="53" t="s">
        <v>164</v>
      </c>
      <c r="F15" s="12" t="s">
        <v>165</v>
      </c>
      <c r="G15" s="12">
        <v>4</v>
      </c>
      <c r="H15" s="13">
        <v>24</v>
      </c>
      <c r="I15" s="31">
        <v>10000</v>
      </c>
      <c r="J15" s="14">
        <v>15572</v>
      </c>
      <c r="K15" s="15">
        <f>L15+20724+15572</f>
        <v>36296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0.39843749999999994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0.39843749999999994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5997</v>
      </c>
      <c r="K17" s="15">
        <f>L17+5525+6064+6153+5650</f>
        <v>29389</v>
      </c>
      <c r="L17" s="15">
        <f>2740+3257</f>
        <v>5997</v>
      </c>
      <c r="M17" s="15">
        <f t="shared" si="0"/>
        <v>5997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0.39843749999999994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115</v>
      </c>
      <c r="E18" s="53" t="s">
        <v>177</v>
      </c>
      <c r="F18" s="30" t="s">
        <v>129</v>
      </c>
      <c r="G18" s="33">
        <v>1</v>
      </c>
      <c r="H18" s="35">
        <v>24</v>
      </c>
      <c r="I18" s="7">
        <v>1600</v>
      </c>
      <c r="J18" s="14">
        <v>3436</v>
      </c>
      <c r="K18" s="15">
        <f>L18</f>
        <v>3436</v>
      </c>
      <c r="L18" s="15">
        <f>442+2829+165</f>
        <v>3436</v>
      </c>
      <c r="M18" s="15">
        <f t="shared" si="0"/>
        <v>3436</v>
      </c>
      <c r="N18" s="15">
        <v>0</v>
      </c>
      <c r="O18" s="58">
        <f t="shared" si="1"/>
        <v>0</v>
      </c>
      <c r="P18" s="39">
        <f t="shared" si="2"/>
        <v>17</v>
      </c>
      <c r="Q18" s="40">
        <f t="shared" si="3"/>
        <v>7</v>
      </c>
      <c r="R18" s="7"/>
      <c r="S18" s="6">
        <v>7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0.70833333333333337</v>
      </c>
      <c r="AD18" s="10">
        <f t="shared" si="6"/>
        <v>0.70833333333333337</v>
      </c>
      <c r="AE18" s="36">
        <f t="shared" si="7"/>
        <v>0.39843749999999994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100000</v>
      </c>
      <c r="J19" s="14">
        <v>20524</v>
      </c>
      <c r="K19" s="15">
        <f>L19+9612+11036</f>
        <v>41172</v>
      </c>
      <c r="L19" s="15">
        <f>1762*4+3369*4</f>
        <v>20524</v>
      </c>
      <c r="M19" s="15">
        <f t="shared" si="0"/>
        <v>20524</v>
      </c>
      <c r="N19" s="15">
        <v>0</v>
      </c>
      <c r="O19" s="58">
        <f t="shared" si="1"/>
        <v>0</v>
      </c>
      <c r="P19" s="39">
        <f t="shared" si="2"/>
        <v>20</v>
      </c>
      <c r="Q19" s="40">
        <f t="shared" si="3"/>
        <v>4</v>
      </c>
      <c r="R19" s="7"/>
      <c r="S19" s="6">
        <v>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6">
        <f t="shared" si="7"/>
        <v>0.39843749999999994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131</v>
      </c>
      <c r="E20" s="53" t="s">
        <v>174</v>
      </c>
      <c r="F20" s="30" t="s">
        <v>123</v>
      </c>
      <c r="G20" s="12">
        <v>2</v>
      </c>
      <c r="H20" s="13">
        <v>28</v>
      </c>
      <c r="I20" s="31">
        <v>40000</v>
      </c>
      <c r="J20" s="5">
        <v>12314</v>
      </c>
      <c r="K20" s="15">
        <f>L20+12952+12936</f>
        <v>38202</v>
      </c>
      <c r="L20" s="15">
        <f>2797*2+3360*2</f>
        <v>12314</v>
      </c>
      <c r="M20" s="15">
        <f t="shared" si="0"/>
        <v>12314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0.39843749999999994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0.39843749999999994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2250400</v>
      </c>
      <c r="J22" s="19">
        <f t="shared" si="10"/>
        <v>168597</v>
      </c>
      <c r="K22" s="20">
        <f t="shared" si="10"/>
        <v>1740814</v>
      </c>
      <c r="L22" s="21">
        <f t="shared" si="10"/>
        <v>101892</v>
      </c>
      <c r="M22" s="20">
        <f t="shared" si="10"/>
        <v>101892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153</v>
      </c>
      <c r="Q22" s="43">
        <f t="shared" si="11"/>
        <v>231</v>
      </c>
      <c r="R22" s="23">
        <f t="shared" si="11"/>
        <v>24</v>
      </c>
      <c r="S22" s="24">
        <f t="shared" si="11"/>
        <v>87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48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48</v>
      </c>
      <c r="AB22" s="28">
        <f>AVERAGE(AB6:AB21)</f>
        <v>0.5</v>
      </c>
      <c r="AC22" s="4">
        <f>AVERAGE(AC6:AC21)</f>
        <v>0.39843749999999994</v>
      </c>
      <c r="AD22" s="4">
        <f>AVERAGE(AD6:AD21)</f>
        <v>0.39843749999999994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153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155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21" t="s">
        <v>46</v>
      </c>
      <c r="D51" s="121" t="s">
        <v>47</v>
      </c>
      <c r="E51" s="121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21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122" t="s">
        <v>141</v>
      </c>
      <c r="D52" s="122" t="s">
        <v>115</v>
      </c>
      <c r="E52" s="124" t="s">
        <v>152</v>
      </c>
      <c r="F52" s="488" t="s">
        <v>179</v>
      </c>
      <c r="G52" s="489"/>
      <c r="H52" s="489"/>
      <c r="I52" s="489"/>
      <c r="J52" s="489"/>
      <c r="K52" s="489"/>
      <c r="L52" s="489"/>
      <c r="M52" s="490"/>
      <c r="N52" s="134" t="s">
        <v>112</v>
      </c>
      <c r="O52" s="133" t="s">
        <v>149</v>
      </c>
      <c r="P52" s="502" t="s">
        <v>115</v>
      </c>
      <c r="Q52" s="503"/>
      <c r="R52" s="502" t="s">
        <v>185</v>
      </c>
      <c r="S52" s="504"/>
      <c r="T52" s="504"/>
      <c r="U52" s="503"/>
      <c r="V52" s="472" t="s">
        <v>148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112</v>
      </c>
      <c r="B53" s="487"/>
      <c r="C53" s="124" t="s">
        <v>151</v>
      </c>
      <c r="D53" s="122" t="s">
        <v>115</v>
      </c>
      <c r="E53" s="124" t="s">
        <v>137</v>
      </c>
      <c r="F53" s="488" t="s">
        <v>180</v>
      </c>
      <c r="G53" s="489"/>
      <c r="H53" s="489"/>
      <c r="I53" s="489"/>
      <c r="J53" s="489"/>
      <c r="K53" s="489"/>
      <c r="L53" s="489"/>
      <c r="M53" s="490"/>
      <c r="N53" s="134" t="s">
        <v>112</v>
      </c>
      <c r="O53" s="133" t="s">
        <v>151</v>
      </c>
      <c r="P53" s="502" t="s">
        <v>115</v>
      </c>
      <c r="Q53" s="503"/>
      <c r="R53" s="502" t="s">
        <v>137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112</v>
      </c>
      <c r="B54" s="487"/>
      <c r="C54" s="124" t="s">
        <v>149</v>
      </c>
      <c r="D54" s="124" t="s">
        <v>115</v>
      </c>
      <c r="E54" s="124" t="s">
        <v>177</v>
      </c>
      <c r="F54" s="488" t="s">
        <v>154</v>
      </c>
      <c r="G54" s="489"/>
      <c r="H54" s="489"/>
      <c r="I54" s="489"/>
      <c r="J54" s="489"/>
      <c r="K54" s="489"/>
      <c r="L54" s="489"/>
      <c r="M54" s="490"/>
      <c r="N54" s="134" t="s">
        <v>119</v>
      </c>
      <c r="O54" s="133" t="s">
        <v>147</v>
      </c>
      <c r="P54" s="502" t="s">
        <v>160</v>
      </c>
      <c r="Q54" s="503"/>
      <c r="R54" s="502" t="s">
        <v>167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181</v>
      </c>
      <c r="B55" s="487"/>
      <c r="C55" s="124" t="s">
        <v>182</v>
      </c>
      <c r="D55" s="124" t="s">
        <v>115</v>
      </c>
      <c r="E55" s="124" t="s">
        <v>183</v>
      </c>
      <c r="F55" s="488" t="s">
        <v>184</v>
      </c>
      <c r="G55" s="489"/>
      <c r="H55" s="489"/>
      <c r="I55" s="489"/>
      <c r="J55" s="489"/>
      <c r="K55" s="489"/>
      <c r="L55" s="489"/>
      <c r="M55" s="490"/>
      <c r="N55" s="123"/>
      <c r="O55" s="129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124"/>
      <c r="D56" s="122"/>
      <c r="E56" s="124"/>
      <c r="F56" s="488"/>
      <c r="G56" s="489"/>
      <c r="H56" s="489"/>
      <c r="I56" s="489"/>
      <c r="J56" s="489"/>
      <c r="K56" s="489"/>
      <c r="L56" s="489"/>
      <c r="M56" s="490"/>
      <c r="N56" s="123"/>
      <c r="O56" s="129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486"/>
      <c r="B57" s="487"/>
      <c r="C57" s="124"/>
      <c r="D57" s="124"/>
      <c r="E57" s="124"/>
      <c r="F57" s="488"/>
      <c r="G57" s="489"/>
      <c r="H57" s="489"/>
      <c r="I57" s="489"/>
      <c r="J57" s="489"/>
      <c r="K57" s="489"/>
      <c r="L57" s="489"/>
      <c r="M57" s="490"/>
      <c r="N57" s="123"/>
      <c r="O57" s="129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122"/>
      <c r="D58" s="122"/>
      <c r="E58" s="124"/>
      <c r="F58" s="488"/>
      <c r="G58" s="489"/>
      <c r="H58" s="489"/>
      <c r="I58" s="489"/>
      <c r="J58" s="489"/>
      <c r="K58" s="489"/>
      <c r="L58" s="489"/>
      <c r="M58" s="490"/>
      <c r="N58" s="123"/>
      <c r="O58" s="129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122"/>
      <c r="D59" s="122"/>
      <c r="E59" s="124"/>
      <c r="F59" s="488"/>
      <c r="G59" s="489"/>
      <c r="H59" s="489"/>
      <c r="I59" s="489"/>
      <c r="J59" s="489"/>
      <c r="K59" s="489"/>
      <c r="L59" s="489"/>
      <c r="M59" s="490"/>
      <c r="N59" s="123"/>
      <c r="O59" s="129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24"/>
      <c r="D60" s="124"/>
      <c r="E60" s="124"/>
      <c r="F60" s="488"/>
      <c r="G60" s="489"/>
      <c r="H60" s="489"/>
      <c r="I60" s="489"/>
      <c r="J60" s="489"/>
      <c r="K60" s="489"/>
      <c r="L60" s="489"/>
      <c r="M60" s="490"/>
      <c r="N60" s="123"/>
      <c r="O60" s="129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25"/>
      <c r="D61" s="126"/>
      <c r="E61" s="126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156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27" t="s">
        <v>2</v>
      </c>
      <c r="D63" s="127" t="s">
        <v>37</v>
      </c>
      <c r="E63" s="127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27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131"/>
      <c r="E64" s="128" t="s">
        <v>128</v>
      </c>
      <c r="F64" s="473" t="s">
        <v>176</v>
      </c>
      <c r="G64" s="474"/>
      <c r="H64" s="474"/>
      <c r="I64" s="474"/>
      <c r="J64" s="475"/>
      <c r="K64" s="461" t="s">
        <v>127</v>
      </c>
      <c r="L64" s="461"/>
      <c r="M64" s="51" t="s">
        <v>133</v>
      </c>
      <c r="N64" s="470" t="s">
        <v>150</v>
      </c>
      <c r="O64" s="470"/>
      <c r="P64" s="471">
        <v>50</v>
      </c>
      <c r="Q64" s="471"/>
      <c r="R64" s="472" t="s">
        <v>186</v>
      </c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131"/>
      <c r="E65" s="128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131"/>
      <c r="E66" s="128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131"/>
      <c r="E67" s="128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131"/>
      <c r="E68" s="128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131"/>
      <c r="E69" s="128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31"/>
      <c r="E70" s="128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31"/>
      <c r="E71" s="128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31"/>
      <c r="E72" s="128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31"/>
      <c r="E73" s="128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158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30" t="s">
        <v>2</v>
      </c>
      <c r="D75" s="130" t="s">
        <v>37</v>
      </c>
      <c r="E75" s="130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32" t="s">
        <v>112</v>
      </c>
      <c r="D76" s="132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31"/>
      <c r="D77" s="131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31"/>
      <c r="D78" s="131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31"/>
      <c r="D79" s="131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31"/>
      <c r="D80" s="131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31"/>
      <c r="D81" s="131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31"/>
      <c r="D82" s="131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159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0C25-E974-4A74-B13A-A7E8FF9A948A}">
  <dimension ref="A1:AF87"/>
  <sheetViews>
    <sheetView view="pageBreakPreview" topLeftCell="A10" zoomScale="70" zoomScaleNormal="72" zoomScaleSheetLayoutView="70" workbookViewId="0">
      <selection activeCell="A19" sqref="A19:XFD1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306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51" t="s">
        <v>17</v>
      </c>
      <c r="L5" s="251" t="s">
        <v>18</v>
      </c>
      <c r="M5" s="251" t="s">
        <v>19</v>
      </c>
      <c r="N5" s="25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0.421875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28800</v>
      </c>
      <c r="K7" s="15">
        <f>L7+11840+19918+14488+4292+19516+28064+28556</f>
        <v>155474</v>
      </c>
      <c r="L7" s="15">
        <f>3648*4+3552*4</f>
        <v>28800</v>
      </c>
      <c r="M7" s="15">
        <f t="shared" si="0"/>
        <v>28800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0.421875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0.421875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307</v>
      </c>
      <c r="E9" s="53" t="s">
        <v>300</v>
      </c>
      <c r="F9" s="30" t="s">
        <v>140</v>
      </c>
      <c r="G9" s="33">
        <v>1</v>
      </c>
      <c r="H9" s="35">
        <v>24</v>
      </c>
      <c r="I9" s="7">
        <v>5000</v>
      </c>
      <c r="J9" s="14">
        <v>11784</v>
      </c>
      <c r="K9" s="15">
        <f>L9</f>
        <v>11784</v>
      </c>
      <c r="L9" s="15">
        <f>2447*2+3445*2</f>
        <v>11784</v>
      </c>
      <c r="M9" s="15">
        <f t="shared" si="0"/>
        <v>11784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0.421875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24568</v>
      </c>
      <c r="K10" s="15">
        <f>L10+25196+23668+24836+25088+24940+25884+1424+10400+18588+26072+25812+25952+25244+12548+24568</f>
        <v>320220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0.421875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115</v>
      </c>
      <c r="E11" s="53" t="s">
        <v>234</v>
      </c>
      <c r="F11" s="30" t="s">
        <v>123</v>
      </c>
      <c r="G11" s="33">
        <v>1</v>
      </c>
      <c r="H11" s="35">
        <v>24</v>
      </c>
      <c r="I11" s="7">
        <v>10000</v>
      </c>
      <c r="J11" s="14">
        <v>4000</v>
      </c>
      <c r="K11" s="15">
        <f>L11</f>
        <v>4000</v>
      </c>
      <c r="L11" s="15">
        <f>1800+2200</f>
        <v>4000</v>
      </c>
      <c r="M11" s="15">
        <f t="shared" si="0"/>
        <v>4000</v>
      </c>
      <c r="N11" s="15">
        <v>0</v>
      </c>
      <c r="O11" s="58">
        <f t="shared" si="1"/>
        <v>0</v>
      </c>
      <c r="P11" s="39">
        <f t="shared" si="2"/>
        <v>21</v>
      </c>
      <c r="Q11" s="40">
        <f t="shared" si="3"/>
        <v>3</v>
      </c>
      <c r="R11" s="7"/>
      <c r="S11" s="6">
        <v>3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0.875</v>
      </c>
      <c r="AD11" s="10">
        <f t="shared" ref="AD11:AD14" si="9">AC11*AB11*(1-O11)</f>
        <v>0.875</v>
      </c>
      <c r="AE11" s="36">
        <f t="shared" si="7"/>
        <v>0.421875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5697</v>
      </c>
      <c r="K12" s="15">
        <f>L12+900+1698+5633</f>
        <v>13928</v>
      </c>
      <c r="L12" s="15">
        <f>2899+2798</f>
        <v>5697</v>
      </c>
      <c r="M12" s="15">
        <f t="shared" si="0"/>
        <v>5697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9"/>
        <v>1</v>
      </c>
      <c r="AE12" s="36">
        <f t="shared" si="7"/>
        <v>0.421875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5352</v>
      </c>
      <c r="K13" s="15">
        <f>L13</f>
        <v>5352</v>
      </c>
      <c r="L13" s="15">
        <f>2362+2990</f>
        <v>5352</v>
      </c>
      <c r="M13" s="15">
        <f t="shared" si="0"/>
        <v>5352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0.421875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0.421875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0.421875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0.421875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0.421875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2598</v>
      </c>
      <c r="K18" s="15">
        <f>L18+450+4173</f>
        <v>7221</v>
      </c>
      <c r="L18" s="15">
        <f>497+2101</f>
        <v>2598</v>
      </c>
      <c r="M18" s="15">
        <f t="shared" si="0"/>
        <v>2598</v>
      </c>
      <c r="N18" s="15">
        <v>0</v>
      </c>
      <c r="O18" s="58">
        <f t="shared" si="1"/>
        <v>0</v>
      </c>
      <c r="P18" s="39">
        <f t="shared" si="2"/>
        <v>13</v>
      </c>
      <c r="Q18" s="40">
        <f t="shared" si="3"/>
        <v>11</v>
      </c>
      <c r="R18" s="7"/>
      <c r="S18" s="6">
        <v>11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0.54166666666666663</v>
      </c>
      <c r="AD18" s="10">
        <f t="shared" si="6"/>
        <v>0.54166666666666663</v>
      </c>
      <c r="AE18" s="36">
        <f t="shared" si="7"/>
        <v>0.421875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5768</v>
      </c>
      <c r="K19" s="15">
        <f>L19+9612+11036+20524+15980+18940+25128+18856+25256+23464+17440+25360</f>
        <v>217364</v>
      </c>
      <c r="L19" s="15">
        <f>1442*4</f>
        <v>5768</v>
      </c>
      <c r="M19" s="15">
        <f t="shared" si="0"/>
        <v>5768</v>
      </c>
      <c r="N19" s="15">
        <v>0</v>
      </c>
      <c r="O19" s="58">
        <f t="shared" si="1"/>
        <v>0</v>
      </c>
      <c r="P19" s="39">
        <f t="shared" si="2"/>
        <v>8</v>
      </c>
      <c r="Q19" s="40">
        <f t="shared" si="3"/>
        <v>16</v>
      </c>
      <c r="R19" s="7"/>
      <c r="S19" s="6"/>
      <c r="T19" s="16"/>
      <c r="U19" s="16"/>
      <c r="V19" s="17"/>
      <c r="W19" s="5">
        <v>16</v>
      </c>
      <c r="X19" s="16"/>
      <c r="Y19" s="16"/>
      <c r="Z19" s="16"/>
      <c r="AA19" s="18"/>
      <c r="AB19" s="8">
        <f t="shared" si="4"/>
        <v>1</v>
      </c>
      <c r="AC19" s="9">
        <f t="shared" si="5"/>
        <v>0.33333333333333331</v>
      </c>
      <c r="AD19" s="10">
        <f t="shared" si="6"/>
        <v>0.33333333333333331</v>
      </c>
      <c r="AE19" s="36">
        <f t="shared" si="7"/>
        <v>0.421875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4</v>
      </c>
      <c r="H20" s="13">
        <v>28</v>
      </c>
      <c r="I20" s="31">
        <v>150000</v>
      </c>
      <c r="J20" s="5">
        <v>27380</v>
      </c>
      <c r="K20" s="15">
        <f>L20+23796+26920+25064+6512+18364</f>
        <v>128036</v>
      </c>
      <c r="L20" s="15">
        <f>3469*4+3376*4</f>
        <v>27380</v>
      </c>
      <c r="M20" s="15">
        <f t="shared" si="0"/>
        <v>27380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0.421875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33668</v>
      </c>
      <c r="K21" s="15">
        <f>L21+28876+33668</f>
        <v>62544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0.421875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2199800</v>
      </c>
      <c r="J22" s="19">
        <f t="shared" si="10"/>
        <v>172449</v>
      </c>
      <c r="K22" s="20">
        <f t="shared" si="10"/>
        <v>1359233</v>
      </c>
      <c r="L22" s="21">
        <f t="shared" si="10"/>
        <v>91379</v>
      </c>
      <c r="M22" s="20">
        <f t="shared" si="10"/>
        <v>91379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162</v>
      </c>
      <c r="Q22" s="43">
        <f t="shared" si="11"/>
        <v>222</v>
      </c>
      <c r="R22" s="23">
        <f t="shared" si="11"/>
        <v>24</v>
      </c>
      <c r="S22" s="24">
        <f t="shared" si="11"/>
        <v>62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88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0.5</v>
      </c>
      <c r="AC22" s="4">
        <f>AVERAGE(AC6:AC21)</f>
        <v>0.421875</v>
      </c>
      <c r="AD22" s="4">
        <f>AVERAGE(AD6:AD21)</f>
        <v>0.421875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309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313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50" t="s">
        <v>46</v>
      </c>
      <c r="D51" s="250" t="s">
        <v>47</v>
      </c>
      <c r="E51" s="250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50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486" t="s">
        <v>119</v>
      </c>
      <c r="B52" s="487"/>
      <c r="C52" s="246" t="s">
        <v>149</v>
      </c>
      <c r="D52" s="246" t="s">
        <v>115</v>
      </c>
      <c r="E52" s="246" t="s">
        <v>259</v>
      </c>
      <c r="F52" s="488" t="s">
        <v>310</v>
      </c>
      <c r="G52" s="489"/>
      <c r="H52" s="489"/>
      <c r="I52" s="489"/>
      <c r="J52" s="489"/>
      <c r="K52" s="489"/>
      <c r="L52" s="489"/>
      <c r="M52" s="490"/>
      <c r="N52" s="245" t="s">
        <v>120</v>
      </c>
      <c r="O52" s="243" t="s">
        <v>150</v>
      </c>
      <c r="P52" s="502" t="s">
        <v>160</v>
      </c>
      <c r="Q52" s="503"/>
      <c r="R52" s="502" t="s">
        <v>248</v>
      </c>
      <c r="S52" s="504"/>
      <c r="T52" s="504"/>
      <c r="U52" s="503"/>
      <c r="V52" s="472" t="s">
        <v>314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120</v>
      </c>
      <c r="B53" s="501"/>
      <c r="C53" s="249" t="s">
        <v>195</v>
      </c>
      <c r="D53" s="249" t="s">
        <v>115</v>
      </c>
      <c r="E53" s="246" t="s">
        <v>234</v>
      </c>
      <c r="F53" s="488" t="s">
        <v>311</v>
      </c>
      <c r="G53" s="489"/>
      <c r="H53" s="489"/>
      <c r="I53" s="489"/>
      <c r="J53" s="489"/>
      <c r="K53" s="489"/>
      <c r="L53" s="489"/>
      <c r="M53" s="490"/>
      <c r="N53" s="245" t="s">
        <v>120</v>
      </c>
      <c r="O53" s="243" t="s">
        <v>205</v>
      </c>
      <c r="P53" s="502" t="s">
        <v>131</v>
      </c>
      <c r="Q53" s="503"/>
      <c r="R53" s="502" t="s">
        <v>315</v>
      </c>
      <c r="S53" s="504"/>
      <c r="T53" s="504"/>
      <c r="U53" s="503"/>
      <c r="V53" s="472" t="s">
        <v>314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119</v>
      </c>
      <c r="B54" s="487"/>
      <c r="C54" s="246" t="s">
        <v>208</v>
      </c>
      <c r="D54" s="246" t="s">
        <v>312</v>
      </c>
      <c r="E54" s="246" t="s">
        <v>300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245" t="s">
        <v>119</v>
      </c>
      <c r="O54" s="243" t="s">
        <v>149</v>
      </c>
      <c r="P54" s="502" t="s">
        <v>115</v>
      </c>
      <c r="Q54" s="503"/>
      <c r="R54" s="502" t="s">
        <v>172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122</v>
      </c>
      <c r="B55" s="487"/>
      <c r="C55" s="246" t="s">
        <v>196</v>
      </c>
      <c r="D55" s="246"/>
      <c r="E55" s="246" t="s">
        <v>302</v>
      </c>
      <c r="F55" s="488" t="s">
        <v>148</v>
      </c>
      <c r="G55" s="489"/>
      <c r="H55" s="489"/>
      <c r="I55" s="489"/>
      <c r="J55" s="489"/>
      <c r="K55" s="489"/>
      <c r="L55" s="489"/>
      <c r="M55" s="490"/>
      <c r="N55" s="245" t="s">
        <v>119</v>
      </c>
      <c r="O55" s="243" t="s">
        <v>182</v>
      </c>
      <c r="P55" s="502" t="s">
        <v>131</v>
      </c>
      <c r="Q55" s="503"/>
      <c r="R55" s="502" t="s">
        <v>240</v>
      </c>
      <c r="S55" s="504"/>
      <c r="T55" s="504"/>
      <c r="U55" s="503"/>
      <c r="V55" s="472" t="s">
        <v>316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246"/>
      <c r="D56" s="249"/>
      <c r="E56" s="246"/>
      <c r="F56" s="488"/>
      <c r="G56" s="489"/>
      <c r="H56" s="489"/>
      <c r="I56" s="489"/>
      <c r="J56" s="489"/>
      <c r="K56" s="489"/>
      <c r="L56" s="489"/>
      <c r="M56" s="490"/>
      <c r="N56" s="245"/>
      <c r="O56" s="243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49"/>
      <c r="D57" s="249"/>
      <c r="E57" s="246"/>
      <c r="F57" s="488"/>
      <c r="G57" s="489"/>
      <c r="H57" s="489"/>
      <c r="I57" s="489"/>
      <c r="J57" s="489"/>
      <c r="K57" s="489"/>
      <c r="L57" s="489"/>
      <c r="M57" s="490"/>
      <c r="N57" s="245"/>
      <c r="O57" s="243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49"/>
      <c r="D58" s="249"/>
      <c r="E58" s="246"/>
      <c r="F58" s="488"/>
      <c r="G58" s="489"/>
      <c r="H58" s="489"/>
      <c r="I58" s="489"/>
      <c r="J58" s="489"/>
      <c r="K58" s="489"/>
      <c r="L58" s="489"/>
      <c r="M58" s="490"/>
      <c r="N58" s="245"/>
      <c r="O58" s="243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49"/>
      <c r="D59" s="249"/>
      <c r="E59" s="246"/>
      <c r="F59" s="488"/>
      <c r="G59" s="489"/>
      <c r="H59" s="489"/>
      <c r="I59" s="489"/>
      <c r="J59" s="489"/>
      <c r="K59" s="489"/>
      <c r="L59" s="489"/>
      <c r="M59" s="490"/>
      <c r="N59" s="245"/>
      <c r="O59" s="243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46"/>
      <c r="D60" s="246"/>
      <c r="E60" s="246"/>
      <c r="F60" s="488"/>
      <c r="G60" s="489"/>
      <c r="H60" s="489"/>
      <c r="I60" s="489"/>
      <c r="J60" s="489"/>
      <c r="K60" s="489"/>
      <c r="L60" s="489"/>
      <c r="M60" s="490"/>
      <c r="N60" s="245"/>
      <c r="O60" s="243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47"/>
      <c r="D61" s="248"/>
      <c r="E61" s="248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317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44" t="s">
        <v>2</v>
      </c>
      <c r="D63" s="244" t="s">
        <v>37</v>
      </c>
      <c r="E63" s="244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44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239"/>
      <c r="E64" s="242" t="s">
        <v>160</v>
      </c>
      <c r="F64" s="473" t="s">
        <v>248</v>
      </c>
      <c r="G64" s="474"/>
      <c r="H64" s="474"/>
      <c r="I64" s="474"/>
      <c r="J64" s="475"/>
      <c r="K64" s="461" t="s">
        <v>318</v>
      </c>
      <c r="L64" s="461"/>
      <c r="M64" s="51" t="s">
        <v>133</v>
      </c>
      <c r="N64" s="470" t="s">
        <v>150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120</v>
      </c>
      <c r="D65" s="239"/>
      <c r="E65" s="242" t="s">
        <v>131</v>
      </c>
      <c r="F65" s="473" t="s">
        <v>315</v>
      </c>
      <c r="G65" s="474"/>
      <c r="H65" s="474"/>
      <c r="I65" s="474"/>
      <c r="J65" s="475"/>
      <c r="K65" s="461" t="s">
        <v>123</v>
      </c>
      <c r="L65" s="461"/>
      <c r="M65" s="51" t="s">
        <v>133</v>
      </c>
      <c r="N65" s="470" t="s">
        <v>205</v>
      </c>
      <c r="O65" s="470"/>
      <c r="P65" s="471">
        <v>100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119</v>
      </c>
      <c r="D66" s="239"/>
      <c r="E66" s="242" t="s">
        <v>128</v>
      </c>
      <c r="F66" s="473" t="s">
        <v>319</v>
      </c>
      <c r="G66" s="474"/>
      <c r="H66" s="474"/>
      <c r="I66" s="474"/>
      <c r="J66" s="475"/>
      <c r="K66" s="461" t="s">
        <v>320</v>
      </c>
      <c r="L66" s="461"/>
      <c r="M66" s="51" t="s">
        <v>133</v>
      </c>
      <c r="N66" s="470" t="s">
        <v>202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39"/>
      <c r="E67" s="242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39"/>
      <c r="E68" s="242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39"/>
      <c r="E69" s="242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39"/>
      <c r="E70" s="242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39"/>
      <c r="E71" s="242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39"/>
      <c r="E72" s="242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39"/>
      <c r="E73" s="242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321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41" t="s">
        <v>2</v>
      </c>
      <c r="D75" s="241" t="s">
        <v>37</v>
      </c>
      <c r="E75" s="241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40" t="s">
        <v>112</v>
      </c>
      <c r="D76" s="240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39"/>
      <c r="D77" s="239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39"/>
      <c r="D78" s="239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39"/>
      <c r="D79" s="239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39"/>
      <c r="D80" s="239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39"/>
      <c r="D81" s="239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39"/>
      <c r="D82" s="239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322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C8BB-75A9-4723-B348-7AE935FF9465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323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52" t="s">
        <v>17</v>
      </c>
      <c r="L5" s="252" t="s">
        <v>18</v>
      </c>
      <c r="M5" s="252" t="s">
        <v>19</v>
      </c>
      <c r="N5" s="25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0.42708333333333331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28308</v>
      </c>
      <c r="K7" s="15">
        <f>L7+11840+19918+14488+4292+19516+28064+28556+28800</f>
        <v>183782</v>
      </c>
      <c r="L7" s="15">
        <f>3602*4+3475*4</f>
        <v>28308</v>
      </c>
      <c r="M7" s="15">
        <f t="shared" si="0"/>
        <v>28308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0.42708333333333331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0.42708333333333331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307</v>
      </c>
      <c r="E9" s="53" t="s">
        <v>300</v>
      </c>
      <c r="F9" s="30" t="s">
        <v>140</v>
      </c>
      <c r="G9" s="33">
        <v>1</v>
      </c>
      <c r="H9" s="35">
        <v>24</v>
      </c>
      <c r="I9" s="7">
        <v>5000</v>
      </c>
      <c r="J9" s="14">
        <v>8244</v>
      </c>
      <c r="K9" s="15">
        <f>L9+11784</f>
        <v>20028</v>
      </c>
      <c r="L9" s="15">
        <f>838*2+3284*2</f>
        <v>8244</v>
      </c>
      <c r="M9" s="15">
        <f t="shared" si="0"/>
        <v>8244</v>
      </c>
      <c r="N9" s="15">
        <v>0</v>
      </c>
      <c r="O9" s="58">
        <f t="shared" si="1"/>
        <v>0</v>
      </c>
      <c r="P9" s="39">
        <f t="shared" si="2"/>
        <v>16</v>
      </c>
      <c r="Q9" s="40">
        <f t="shared" si="3"/>
        <v>8</v>
      </c>
      <c r="R9" s="7"/>
      <c r="S9" s="6"/>
      <c r="T9" s="16"/>
      <c r="U9" s="16"/>
      <c r="V9" s="17"/>
      <c r="W9" s="5">
        <v>8</v>
      </c>
      <c r="X9" s="16"/>
      <c r="Y9" s="16"/>
      <c r="Z9" s="16"/>
      <c r="AA9" s="18"/>
      <c r="AB9" s="8">
        <f t="shared" si="4"/>
        <v>1</v>
      </c>
      <c r="AC9" s="9">
        <f t="shared" si="5"/>
        <v>0.66666666666666663</v>
      </c>
      <c r="AD9" s="10">
        <f t="shared" si="6"/>
        <v>0.66666666666666663</v>
      </c>
      <c r="AE9" s="36">
        <f t="shared" si="7"/>
        <v>0.42708333333333331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315</v>
      </c>
      <c r="F10" s="30" t="s">
        <v>123</v>
      </c>
      <c r="G10" s="33">
        <v>2</v>
      </c>
      <c r="H10" s="35">
        <v>24</v>
      </c>
      <c r="I10" s="7">
        <v>10000</v>
      </c>
      <c r="J10" s="5">
        <v>5668</v>
      </c>
      <c r="K10" s="15">
        <f>L10</f>
        <v>5668</v>
      </c>
      <c r="L10" s="15">
        <f>2834*2</f>
        <v>5668</v>
      </c>
      <c r="M10" s="15">
        <f t="shared" si="0"/>
        <v>5668</v>
      </c>
      <c r="N10" s="15">
        <v>0</v>
      </c>
      <c r="O10" s="58">
        <f t="shared" si="1"/>
        <v>0</v>
      </c>
      <c r="P10" s="39">
        <f t="shared" si="2"/>
        <v>14</v>
      </c>
      <c r="Q10" s="40">
        <f t="shared" si="3"/>
        <v>10</v>
      </c>
      <c r="R10" s="7"/>
      <c r="S10" s="6">
        <v>10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0.58333333333333337</v>
      </c>
      <c r="AD10" s="10">
        <f>AC10*AB10*(1-O10)</f>
        <v>0.58333333333333337</v>
      </c>
      <c r="AE10" s="36">
        <f t="shared" si="7"/>
        <v>0.42708333333333331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115</v>
      </c>
      <c r="E11" s="53" t="s">
        <v>234</v>
      </c>
      <c r="F11" s="30" t="s">
        <v>123</v>
      </c>
      <c r="G11" s="33">
        <v>1</v>
      </c>
      <c r="H11" s="35">
        <v>24</v>
      </c>
      <c r="I11" s="7">
        <v>10000</v>
      </c>
      <c r="J11" s="14">
        <v>5343</v>
      </c>
      <c r="K11" s="15">
        <f>L11+4000</f>
        <v>9343</v>
      </c>
      <c r="L11" s="15">
        <f>2840+2503</f>
        <v>5343</v>
      </c>
      <c r="M11" s="15">
        <f t="shared" si="0"/>
        <v>5343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9">AC11*AB11*(1-O11)</f>
        <v>1</v>
      </c>
      <c r="AE11" s="36">
        <f t="shared" si="7"/>
        <v>0.42708333333333331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5159</v>
      </c>
      <c r="K12" s="15">
        <f>L12+900+1698+5633+5697</f>
        <v>19087</v>
      </c>
      <c r="L12" s="15">
        <f>2881+2278</f>
        <v>5159</v>
      </c>
      <c r="M12" s="15">
        <f t="shared" si="0"/>
        <v>5159</v>
      </c>
      <c r="N12" s="15">
        <v>0</v>
      </c>
      <c r="O12" s="58">
        <f t="shared" si="1"/>
        <v>0</v>
      </c>
      <c r="P12" s="39">
        <f t="shared" si="2"/>
        <v>21</v>
      </c>
      <c r="Q12" s="40">
        <f t="shared" si="3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0.875</v>
      </c>
      <c r="AD12" s="10">
        <f t="shared" si="9"/>
        <v>0.875</v>
      </c>
      <c r="AE12" s="36">
        <f t="shared" si="7"/>
        <v>0.42708333333333331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5939</v>
      </c>
      <c r="K13" s="15">
        <f>L13+5352</f>
        <v>11291</v>
      </c>
      <c r="L13" s="15">
        <f>3028+2911</f>
        <v>5939</v>
      </c>
      <c r="M13" s="15">
        <f t="shared" si="0"/>
        <v>5939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0.42708333333333331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0.42708333333333331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0.42708333333333331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0.42708333333333331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0.42708333333333331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</f>
        <v>8720</v>
      </c>
      <c r="L18" s="15">
        <v>1499</v>
      </c>
      <c r="M18" s="15">
        <f t="shared" si="0"/>
        <v>1499</v>
      </c>
      <c r="N18" s="15">
        <v>0</v>
      </c>
      <c r="O18" s="58">
        <f t="shared" si="1"/>
        <v>0</v>
      </c>
      <c r="P18" s="39">
        <f t="shared" si="2"/>
        <v>9</v>
      </c>
      <c r="Q18" s="40">
        <f t="shared" si="3"/>
        <v>15</v>
      </c>
      <c r="R18" s="7"/>
      <c r="S18" s="6">
        <v>15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0.375</v>
      </c>
      <c r="AD18" s="10">
        <f t="shared" si="6"/>
        <v>0.375</v>
      </c>
      <c r="AE18" s="36">
        <f t="shared" si="7"/>
        <v>0.42708333333333331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324</v>
      </c>
      <c r="E19" s="53">
        <v>3107002</v>
      </c>
      <c r="F19" s="30" t="s">
        <v>325</v>
      </c>
      <c r="G19" s="33">
        <v>1</v>
      </c>
      <c r="H19" s="35">
        <v>24</v>
      </c>
      <c r="I19" s="7">
        <v>200</v>
      </c>
      <c r="J19" s="14">
        <v>1373</v>
      </c>
      <c r="K19" s="15">
        <f>L19</f>
        <v>1373</v>
      </c>
      <c r="L19" s="15">
        <f>1084+289</f>
        <v>1373</v>
      </c>
      <c r="M19" s="15">
        <f t="shared" si="0"/>
        <v>1373</v>
      </c>
      <c r="N19" s="15">
        <v>0</v>
      </c>
      <c r="O19" s="58">
        <f t="shared" si="1"/>
        <v>0</v>
      </c>
      <c r="P19" s="39">
        <f t="shared" si="2"/>
        <v>8</v>
      </c>
      <c r="Q19" s="40">
        <f t="shared" si="3"/>
        <v>16</v>
      </c>
      <c r="R19" s="7"/>
      <c r="S19" s="6"/>
      <c r="T19" s="16"/>
      <c r="U19" s="16"/>
      <c r="V19" s="17"/>
      <c r="W19" s="5">
        <v>16</v>
      </c>
      <c r="X19" s="16"/>
      <c r="Y19" s="16"/>
      <c r="Z19" s="16"/>
      <c r="AA19" s="18"/>
      <c r="AB19" s="8">
        <f t="shared" si="4"/>
        <v>1</v>
      </c>
      <c r="AC19" s="9">
        <f t="shared" si="5"/>
        <v>0.33333333333333331</v>
      </c>
      <c r="AD19" s="10">
        <f t="shared" si="6"/>
        <v>0.33333333333333331</v>
      </c>
      <c r="AE19" s="36">
        <f t="shared" si="7"/>
        <v>0.42708333333333331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326</v>
      </c>
      <c r="F20" s="30" t="s">
        <v>123</v>
      </c>
      <c r="G20" s="12">
        <v>4</v>
      </c>
      <c r="H20" s="13">
        <v>28</v>
      </c>
      <c r="I20" s="31">
        <v>150000</v>
      </c>
      <c r="J20" s="5">
        <v>23604</v>
      </c>
      <c r="K20" s="15">
        <f>L20+23796+26920+25064+6512+18364+27380</f>
        <v>151640</v>
      </c>
      <c r="L20" s="15">
        <f>2648*4+3253*4</f>
        <v>23604</v>
      </c>
      <c r="M20" s="15">
        <f t="shared" si="0"/>
        <v>23604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0.42708333333333331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33668</v>
      </c>
      <c r="K21" s="15">
        <f>L21+28876+33668</f>
        <v>62544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0.42708333333333331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1410000</v>
      </c>
      <c r="J22" s="19">
        <f t="shared" si="10"/>
        <v>141639</v>
      </c>
      <c r="K22" s="20">
        <f t="shared" si="10"/>
        <v>906786</v>
      </c>
      <c r="L22" s="21">
        <f t="shared" si="10"/>
        <v>85137</v>
      </c>
      <c r="M22" s="20">
        <f t="shared" si="10"/>
        <v>85137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164</v>
      </c>
      <c r="Q22" s="43">
        <f t="shared" si="11"/>
        <v>220</v>
      </c>
      <c r="R22" s="23">
        <f t="shared" si="11"/>
        <v>24</v>
      </c>
      <c r="S22" s="24">
        <f t="shared" si="11"/>
        <v>76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96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0.5625</v>
      </c>
      <c r="AC22" s="4">
        <f>AVERAGE(AC6:AC21)</f>
        <v>0.42708333333333331</v>
      </c>
      <c r="AD22" s="4">
        <f>AVERAGE(AD6:AD21)</f>
        <v>0.42708333333333331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327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333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53" t="s">
        <v>46</v>
      </c>
      <c r="D51" s="253" t="s">
        <v>47</v>
      </c>
      <c r="E51" s="253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53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486" t="s">
        <v>119</v>
      </c>
      <c r="B52" s="487"/>
      <c r="C52" s="256" t="s">
        <v>149</v>
      </c>
      <c r="D52" s="256" t="s">
        <v>115</v>
      </c>
      <c r="E52" s="256" t="s">
        <v>259</v>
      </c>
      <c r="F52" s="488" t="s">
        <v>328</v>
      </c>
      <c r="G52" s="489"/>
      <c r="H52" s="489"/>
      <c r="I52" s="489"/>
      <c r="J52" s="489"/>
      <c r="K52" s="489"/>
      <c r="L52" s="489"/>
      <c r="M52" s="490"/>
      <c r="N52" s="255" t="s">
        <v>119</v>
      </c>
      <c r="O52" s="261" t="s">
        <v>149</v>
      </c>
      <c r="P52" s="502" t="s">
        <v>115</v>
      </c>
      <c r="Q52" s="503"/>
      <c r="R52" s="502" t="s">
        <v>172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120</v>
      </c>
      <c r="B53" s="501"/>
      <c r="C53" s="254" t="s">
        <v>205</v>
      </c>
      <c r="D53" s="254" t="s">
        <v>131</v>
      </c>
      <c r="E53" s="256" t="s">
        <v>315</v>
      </c>
      <c r="F53" s="488" t="s">
        <v>329</v>
      </c>
      <c r="G53" s="489"/>
      <c r="H53" s="489"/>
      <c r="I53" s="489"/>
      <c r="J53" s="489"/>
      <c r="K53" s="489"/>
      <c r="L53" s="489"/>
      <c r="M53" s="490"/>
      <c r="N53" s="255"/>
      <c r="O53" s="261"/>
      <c r="P53" s="502"/>
      <c r="Q53" s="503"/>
      <c r="R53" s="502"/>
      <c r="S53" s="504"/>
      <c r="T53" s="504"/>
      <c r="U53" s="503"/>
      <c r="V53" s="472"/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119</v>
      </c>
      <c r="B54" s="487"/>
      <c r="C54" s="256" t="s">
        <v>182</v>
      </c>
      <c r="D54" s="256" t="s">
        <v>324</v>
      </c>
      <c r="E54" s="256" t="s">
        <v>330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255"/>
      <c r="O54" s="261"/>
      <c r="P54" s="502"/>
      <c r="Q54" s="503"/>
      <c r="R54" s="502"/>
      <c r="S54" s="504"/>
      <c r="T54" s="504"/>
      <c r="U54" s="503"/>
      <c r="V54" s="472"/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256" t="s">
        <v>147</v>
      </c>
      <c r="D55" s="256" t="s">
        <v>160</v>
      </c>
      <c r="E55" s="256" t="s">
        <v>167</v>
      </c>
      <c r="F55" s="488" t="s">
        <v>331</v>
      </c>
      <c r="G55" s="489"/>
      <c r="H55" s="489"/>
      <c r="I55" s="489"/>
      <c r="J55" s="489"/>
      <c r="K55" s="489"/>
      <c r="L55" s="489"/>
      <c r="M55" s="490"/>
      <c r="N55" s="255"/>
      <c r="O55" s="261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112</v>
      </c>
      <c r="B56" s="487"/>
      <c r="C56" s="256" t="s">
        <v>141</v>
      </c>
      <c r="D56" s="254" t="s">
        <v>138</v>
      </c>
      <c r="E56" s="256" t="s">
        <v>266</v>
      </c>
      <c r="F56" s="488" t="s">
        <v>332</v>
      </c>
      <c r="G56" s="489"/>
      <c r="H56" s="489"/>
      <c r="I56" s="489"/>
      <c r="J56" s="489"/>
      <c r="K56" s="489"/>
      <c r="L56" s="489"/>
      <c r="M56" s="490"/>
      <c r="N56" s="255"/>
      <c r="O56" s="261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54"/>
      <c r="D57" s="254"/>
      <c r="E57" s="256"/>
      <c r="F57" s="488"/>
      <c r="G57" s="489"/>
      <c r="H57" s="489"/>
      <c r="I57" s="489"/>
      <c r="J57" s="489"/>
      <c r="K57" s="489"/>
      <c r="L57" s="489"/>
      <c r="M57" s="490"/>
      <c r="N57" s="255"/>
      <c r="O57" s="261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54"/>
      <c r="D58" s="254"/>
      <c r="E58" s="256"/>
      <c r="F58" s="488"/>
      <c r="G58" s="489"/>
      <c r="H58" s="489"/>
      <c r="I58" s="489"/>
      <c r="J58" s="489"/>
      <c r="K58" s="489"/>
      <c r="L58" s="489"/>
      <c r="M58" s="490"/>
      <c r="N58" s="255"/>
      <c r="O58" s="261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54"/>
      <c r="D59" s="254"/>
      <c r="E59" s="256"/>
      <c r="F59" s="488"/>
      <c r="G59" s="489"/>
      <c r="H59" s="489"/>
      <c r="I59" s="489"/>
      <c r="J59" s="489"/>
      <c r="K59" s="489"/>
      <c r="L59" s="489"/>
      <c r="M59" s="490"/>
      <c r="N59" s="255"/>
      <c r="O59" s="261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56"/>
      <c r="D60" s="256"/>
      <c r="E60" s="256"/>
      <c r="F60" s="488"/>
      <c r="G60" s="489"/>
      <c r="H60" s="489"/>
      <c r="I60" s="489"/>
      <c r="J60" s="489"/>
      <c r="K60" s="489"/>
      <c r="L60" s="489"/>
      <c r="M60" s="490"/>
      <c r="N60" s="255"/>
      <c r="O60" s="261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57"/>
      <c r="D61" s="258"/>
      <c r="E61" s="258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334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59" t="s">
        <v>2</v>
      </c>
      <c r="D63" s="259" t="s">
        <v>37</v>
      </c>
      <c r="E63" s="259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59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263"/>
      <c r="E64" s="260" t="s">
        <v>160</v>
      </c>
      <c r="F64" s="473" t="s">
        <v>248</v>
      </c>
      <c r="G64" s="474"/>
      <c r="H64" s="474"/>
      <c r="I64" s="474"/>
      <c r="J64" s="475"/>
      <c r="K64" s="461" t="s">
        <v>169</v>
      </c>
      <c r="L64" s="461"/>
      <c r="M64" s="51" t="s">
        <v>133</v>
      </c>
      <c r="N64" s="470" t="s">
        <v>150</v>
      </c>
      <c r="O64" s="470"/>
      <c r="P64" s="471">
        <v>20</v>
      </c>
      <c r="Q64" s="471"/>
      <c r="R64" s="472" t="s">
        <v>335</v>
      </c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119</v>
      </c>
      <c r="D65" s="263"/>
      <c r="E65" s="260" t="s">
        <v>128</v>
      </c>
      <c r="F65" s="473" t="s">
        <v>166</v>
      </c>
      <c r="G65" s="474"/>
      <c r="H65" s="474"/>
      <c r="I65" s="474"/>
      <c r="J65" s="475"/>
      <c r="K65" s="461" t="s">
        <v>127</v>
      </c>
      <c r="L65" s="461"/>
      <c r="M65" s="51" t="s">
        <v>133</v>
      </c>
      <c r="N65" s="470" t="s">
        <v>250</v>
      </c>
      <c r="O65" s="470"/>
      <c r="P65" s="471">
        <v>50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119</v>
      </c>
      <c r="D66" s="263"/>
      <c r="E66" s="260" t="s">
        <v>131</v>
      </c>
      <c r="F66" s="473" t="s">
        <v>240</v>
      </c>
      <c r="G66" s="474"/>
      <c r="H66" s="474"/>
      <c r="I66" s="474"/>
      <c r="J66" s="475"/>
      <c r="K66" s="461" t="s">
        <v>241</v>
      </c>
      <c r="L66" s="461"/>
      <c r="M66" s="51" t="s">
        <v>246</v>
      </c>
      <c r="N66" s="470" t="s">
        <v>149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63"/>
      <c r="E67" s="260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63"/>
      <c r="E68" s="260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63"/>
      <c r="E69" s="260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63"/>
      <c r="E70" s="260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63"/>
      <c r="E71" s="260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63"/>
      <c r="E72" s="260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63"/>
      <c r="E73" s="260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336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62" t="s">
        <v>2</v>
      </c>
      <c r="D75" s="262" t="s">
        <v>37</v>
      </c>
      <c r="E75" s="262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64" t="s">
        <v>112</v>
      </c>
      <c r="D76" s="264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63"/>
      <c r="D77" s="263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63"/>
      <c r="D78" s="263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63"/>
      <c r="D79" s="263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63"/>
      <c r="D80" s="263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63"/>
      <c r="D81" s="263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63"/>
      <c r="D82" s="263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337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9036-2DDE-42FE-BEA8-D760715A91CB}">
  <dimension ref="A1:AF87"/>
  <sheetViews>
    <sheetView view="pageBreakPreview" topLeftCell="A40" zoomScale="70" zoomScaleNormal="72" zoomScaleSheetLayoutView="70" workbookViewId="0">
      <selection activeCell="A65" sqref="A65:XFD6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338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77" t="s">
        <v>17</v>
      </c>
      <c r="L5" s="277" t="s">
        <v>18</v>
      </c>
      <c r="M5" s="277" t="s">
        <v>19</v>
      </c>
      <c r="N5" s="27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0.3289667137144201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3</v>
      </c>
      <c r="H7" s="13">
        <v>24</v>
      </c>
      <c r="I7" s="31">
        <v>200000</v>
      </c>
      <c r="J7" s="14">
        <v>21300</v>
      </c>
      <c r="K7" s="15">
        <f>L7+11840+19918+14488+4292+19516+28064+28556+28800+28308</f>
        <v>205082</v>
      </c>
      <c r="L7" s="15">
        <f>3633*3+3467*3</f>
        <v>21300</v>
      </c>
      <c r="M7" s="15">
        <f t="shared" si="0"/>
        <v>21300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0.3289667137144201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0.3289667137144201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307</v>
      </c>
      <c r="E9" s="53" t="s">
        <v>300</v>
      </c>
      <c r="F9" s="30" t="s">
        <v>140</v>
      </c>
      <c r="G9" s="33">
        <v>1</v>
      </c>
      <c r="H9" s="35">
        <v>24</v>
      </c>
      <c r="I9" s="7">
        <v>5000</v>
      </c>
      <c r="J9" s="14">
        <v>8244</v>
      </c>
      <c r="K9" s="15">
        <f>L9+11784+8244</f>
        <v>20028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0.3289667137144201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315</v>
      </c>
      <c r="F10" s="30" t="s">
        <v>123</v>
      </c>
      <c r="G10" s="33">
        <v>2</v>
      </c>
      <c r="H10" s="35">
        <v>24</v>
      </c>
      <c r="I10" s="7">
        <v>10000</v>
      </c>
      <c r="J10" s="5">
        <v>5668</v>
      </c>
      <c r="K10" s="15">
        <f>L10+5668</f>
        <v>10280</v>
      </c>
      <c r="L10" s="15">
        <f>2306*2</f>
        <v>4612</v>
      </c>
      <c r="M10" s="15">
        <f t="shared" si="0"/>
        <v>4612</v>
      </c>
      <c r="N10" s="15">
        <v>0</v>
      </c>
      <c r="O10" s="58">
        <f t="shared" si="1"/>
        <v>0</v>
      </c>
      <c r="P10" s="39">
        <f t="shared" si="2"/>
        <v>9</v>
      </c>
      <c r="Q10" s="40">
        <f t="shared" si="3"/>
        <v>15</v>
      </c>
      <c r="R10" s="7"/>
      <c r="S10" s="6"/>
      <c r="T10" s="16"/>
      <c r="U10" s="16"/>
      <c r="V10" s="17"/>
      <c r="W10" s="5">
        <v>15</v>
      </c>
      <c r="X10" s="16"/>
      <c r="Y10" s="16"/>
      <c r="Z10" s="16"/>
      <c r="AA10" s="18"/>
      <c r="AB10" s="8">
        <f t="shared" si="4"/>
        <v>0.81369089625970359</v>
      </c>
      <c r="AC10" s="9">
        <f t="shared" si="5"/>
        <v>0.375</v>
      </c>
      <c r="AD10" s="10">
        <f>AC10*AB10*(1-O10)</f>
        <v>0.30513408609738885</v>
      </c>
      <c r="AE10" s="36">
        <f t="shared" si="7"/>
        <v>0.3289667137144201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115</v>
      </c>
      <c r="E11" s="53" t="s">
        <v>234</v>
      </c>
      <c r="F11" s="30" t="s">
        <v>123</v>
      </c>
      <c r="G11" s="33">
        <v>1</v>
      </c>
      <c r="H11" s="35">
        <v>24</v>
      </c>
      <c r="I11" s="7">
        <v>10000</v>
      </c>
      <c r="J11" s="14">
        <v>5373</v>
      </c>
      <c r="K11" s="15">
        <f>L11+4000+5343</f>
        <v>14716</v>
      </c>
      <c r="L11" s="15">
        <f>2893+2480</f>
        <v>5373</v>
      </c>
      <c r="M11" s="15">
        <f t="shared" si="0"/>
        <v>5373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>
        <v>1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ref="AD11:AD14" si="9">AC11*AB11*(1-O11)</f>
        <v>0.95833333333333337</v>
      </c>
      <c r="AE11" s="36">
        <f t="shared" si="7"/>
        <v>0.3289667137144201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5608</v>
      </c>
      <c r="K12" s="15">
        <f>L12+900+1698+5633+5697+5159</f>
        <v>24695</v>
      </c>
      <c r="L12" s="15">
        <f>2870+2738</f>
        <v>5608</v>
      </c>
      <c r="M12" s="15">
        <f t="shared" si="0"/>
        <v>5608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9"/>
        <v>1</v>
      </c>
      <c r="AE12" s="36">
        <f t="shared" si="7"/>
        <v>0.3289667137144201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5686</v>
      </c>
      <c r="K13" s="15">
        <f>L13+5352+5939</f>
        <v>16977</v>
      </c>
      <c r="L13" s="15">
        <f>2908+2778</f>
        <v>5686</v>
      </c>
      <c r="M13" s="15">
        <f t="shared" si="0"/>
        <v>5686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0.3289667137144201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0.3289667137144201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0.3289667137144201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0.3289667137144201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0.3289667137144201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0.3289667137144201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324</v>
      </c>
      <c r="E19" s="53">
        <v>3107002</v>
      </c>
      <c r="F19" s="30" t="s">
        <v>325</v>
      </c>
      <c r="G19" s="33">
        <v>1</v>
      </c>
      <c r="H19" s="35">
        <v>24</v>
      </c>
      <c r="I19" s="7">
        <v>200</v>
      </c>
      <c r="J19" s="14">
        <v>1373</v>
      </c>
      <c r="K19" s="15">
        <f>L19+1373</f>
        <v>1373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0.3289667137144201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326</v>
      </c>
      <c r="F20" s="30" t="s">
        <v>123</v>
      </c>
      <c r="G20" s="12">
        <v>4</v>
      </c>
      <c r="H20" s="13">
        <v>28</v>
      </c>
      <c r="I20" s="31">
        <v>150000</v>
      </c>
      <c r="J20" s="5">
        <v>18934</v>
      </c>
      <c r="K20" s="15">
        <f>L20+23796+26920+25064+6512+18364+27380+23604</f>
        <v>170574</v>
      </c>
      <c r="L20" s="15">
        <f>2955*2+3256*4</f>
        <v>18934</v>
      </c>
      <c r="M20" s="15">
        <f t="shared" si="0"/>
        <v>18934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0.3289667137144201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33668</v>
      </c>
      <c r="K21" s="15">
        <f>L21+28876+33668</f>
        <v>62544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0.3289667137144201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1410000</v>
      </c>
      <c r="J22" s="19">
        <f t="shared" si="10"/>
        <v>130187</v>
      </c>
      <c r="K22" s="20">
        <f t="shared" si="10"/>
        <v>968299</v>
      </c>
      <c r="L22" s="21">
        <f t="shared" si="10"/>
        <v>61513</v>
      </c>
      <c r="M22" s="20">
        <f t="shared" si="10"/>
        <v>61513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128</v>
      </c>
      <c r="Q22" s="43">
        <f t="shared" si="11"/>
        <v>256</v>
      </c>
      <c r="R22" s="23">
        <f t="shared" si="11"/>
        <v>24</v>
      </c>
      <c r="S22" s="24">
        <f t="shared" si="11"/>
        <v>73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135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0.3633556810162315</v>
      </c>
      <c r="AC22" s="4">
        <f>AVERAGE(AC6:AC21)</f>
        <v>0.33333333333333337</v>
      </c>
      <c r="AD22" s="4">
        <f>AVERAGE(AD6:AD21)</f>
        <v>0.3289667137144201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339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341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76" t="s">
        <v>46</v>
      </c>
      <c r="D51" s="276" t="s">
        <v>47</v>
      </c>
      <c r="E51" s="276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76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275" t="s">
        <v>205</v>
      </c>
      <c r="D52" s="275" t="s">
        <v>131</v>
      </c>
      <c r="E52" s="272" t="s">
        <v>315</v>
      </c>
      <c r="F52" s="488" t="s">
        <v>193</v>
      </c>
      <c r="G52" s="489"/>
      <c r="H52" s="489"/>
      <c r="I52" s="489"/>
      <c r="J52" s="489"/>
      <c r="K52" s="489"/>
      <c r="L52" s="489"/>
      <c r="M52" s="490"/>
      <c r="N52" s="271" t="s">
        <v>119</v>
      </c>
      <c r="O52" s="269" t="s">
        <v>147</v>
      </c>
      <c r="P52" s="502" t="s">
        <v>160</v>
      </c>
      <c r="Q52" s="503"/>
      <c r="R52" s="502" t="s">
        <v>167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120</v>
      </c>
      <c r="B53" s="501"/>
      <c r="C53" s="275" t="s">
        <v>226</v>
      </c>
      <c r="D53" s="275" t="s">
        <v>115</v>
      </c>
      <c r="E53" s="272" t="s">
        <v>326</v>
      </c>
      <c r="F53" s="488" t="s">
        <v>340</v>
      </c>
      <c r="G53" s="489"/>
      <c r="H53" s="489"/>
      <c r="I53" s="489"/>
      <c r="J53" s="489"/>
      <c r="K53" s="489"/>
      <c r="L53" s="489"/>
      <c r="M53" s="490"/>
      <c r="N53" s="271" t="s">
        <v>119</v>
      </c>
      <c r="O53" s="269" t="s">
        <v>205</v>
      </c>
      <c r="P53" s="502" t="s">
        <v>131</v>
      </c>
      <c r="Q53" s="503"/>
      <c r="R53" s="502" t="s">
        <v>342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/>
      <c r="B54" s="487"/>
      <c r="C54" s="272"/>
      <c r="D54" s="272"/>
      <c r="E54" s="272"/>
      <c r="F54" s="488"/>
      <c r="G54" s="489"/>
      <c r="H54" s="489"/>
      <c r="I54" s="489"/>
      <c r="J54" s="489"/>
      <c r="K54" s="489"/>
      <c r="L54" s="489"/>
      <c r="M54" s="490"/>
      <c r="N54" s="271" t="s">
        <v>119</v>
      </c>
      <c r="O54" s="269" t="s">
        <v>226</v>
      </c>
      <c r="P54" s="502" t="s">
        <v>115</v>
      </c>
      <c r="Q54" s="503"/>
      <c r="R54" s="502" t="s">
        <v>343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/>
      <c r="B55" s="487"/>
      <c r="C55" s="272"/>
      <c r="D55" s="272"/>
      <c r="E55" s="272"/>
      <c r="F55" s="488"/>
      <c r="G55" s="489"/>
      <c r="H55" s="489"/>
      <c r="I55" s="489"/>
      <c r="J55" s="489"/>
      <c r="K55" s="489"/>
      <c r="L55" s="489"/>
      <c r="M55" s="490"/>
      <c r="N55" s="271"/>
      <c r="O55" s="269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272"/>
      <c r="D56" s="275"/>
      <c r="E56" s="272"/>
      <c r="F56" s="488"/>
      <c r="G56" s="489"/>
      <c r="H56" s="489"/>
      <c r="I56" s="489"/>
      <c r="J56" s="489"/>
      <c r="K56" s="489"/>
      <c r="L56" s="489"/>
      <c r="M56" s="490"/>
      <c r="N56" s="271"/>
      <c r="O56" s="269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75"/>
      <c r="D57" s="275"/>
      <c r="E57" s="272"/>
      <c r="F57" s="488"/>
      <c r="G57" s="489"/>
      <c r="H57" s="489"/>
      <c r="I57" s="489"/>
      <c r="J57" s="489"/>
      <c r="K57" s="489"/>
      <c r="L57" s="489"/>
      <c r="M57" s="490"/>
      <c r="N57" s="271"/>
      <c r="O57" s="269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75"/>
      <c r="D58" s="275"/>
      <c r="E58" s="272"/>
      <c r="F58" s="488"/>
      <c r="G58" s="489"/>
      <c r="H58" s="489"/>
      <c r="I58" s="489"/>
      <c r="J58" s="489"/>
      <c r="K58" s="489"/>
      <c r="L58" s="489"/>
      <c r="M58" s="490"/>
      <c r="N58" s="271"/>
      <c r="O58" s="269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75"/>
      <c r="D59" s="275"/>
      <c r="E59" s="272"/>
      <c r="F59" s="488"/>
      <c r="G59" s="489"/>
      <c r="H59" s="489"/>
      <c r="I59" s="489"/>
      <c r="J59" s="489"/>
      <c r="K59" s="489"/>
      <c r="L59" s="489"/>
      <c r="M59" s="490"/>
      <c r="N59" s="271"/>
      <c r="O59" s="269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72"/>
      <c r="D60" s="272"/>
      <c r="E60" s="272"/>
      <c r="F60" s="488"/>
      <c r="G60" s="489"/>
      <c r="H60" s="489"/>
      <c r="I60" s="489"/>
      <c r="J60" s="489"/>
      <c r="K60" s="489"/>
      <c r="L60" s="489"/>
      <c r="M60" s="490"/>
      <c r="N60" s="271"/>
      <c r="O60" s="269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73"/>
      <c r="D61" s="274"/>
      <c r="E61" s="274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344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70" t="s">
        <v>2</v>
      </c>
      <c r="D63" s="270" t="s">
        <v>37</v>
      </c>
      <c r="E63" s="270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70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265"/>
      <c r="E64" s="268" t="s">
        <v>345</v>
      </c>
      <c r="F64" s="473" t="s">
        <v>346</v>
      </c>
      <c r="G64" s="474"/>
      <c r="H64" s="474"/>
      <c r="I64" s="474"/>
      <c r="J64" s="475"/>
      <c r="K64" s="461" t="s">
        <v>127</v>
      </c>
      <c r="L64" s="461"/>
      <c r="M64" s="51" t="s">
        <v>246</v>
      </c>
      <c r="N64" s="470" t="s">
        <v>150</v>
      </c>
      <c r="O64" s="470"/>
      <c r="P64" s="471">
        <v>100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112</v>
      </c>
      <c r="D65" s="265"/>
      <c r="E65" s="268" t="s">
        <v>115</v>
      </c>
      <c r="F65" s="473" t="s">
        <v>270</v>
      </c>
      <c r="G65" s="474"/>
      <c r="H65" s="474"/>
      <c r="I65" s="474"/>
      <c r="J65" s="475"/>
      <c r="K65" s="461" t="s">
        <v>347</v>
      </c>
      <c r="L65" s="461"/>
      <c r="M65" s="51" t="s">
        <v>133</v>
      </c>
      <c r="N65" s="470" t="s">
        <v>149</v>
      </c>
      <c r="O65" s="470"/>
      <c r="P65" s="471">
        <v>50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265"/>
      <c r="E66" s="268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65"/>
      <c r="E67" s="268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65"/>
      <c r="E68" s="268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65"/>
      <c r="E69" s="268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65"/>
      <c r="E70" s="268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65"/>
      <c r="E71" s="268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65"/>
      <c r="E72" s="268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65"/>
      <c r="E73" s="268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348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67" t="s">
        <v>2</v>
      </c>
      <c r="D75" s="267" t="s">
        <v>37</v>
      </c>
      <c r="E75" s="267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66" t="s">
        <v>112</v>
      </c>
      <c r="D76" s="266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65"/>
      <c r="D77" s="265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65"/>
      <c r="D78" s="265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65"/>
      <c r="D79" s="265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65"/>
      <c r="D80" s="265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65"/>
      <c r="D81" s="265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65"/>
      <c r="D82" s="265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349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CE1F-8B68-489F-BD41-3867BF253651}">
  <dimension ref="A1:AF87"/>
  <sheetViews>
    <sheetView view="pageBreakPreview" topLeftCell="A40" zoomScale="70" zoomScaleNormal="72" zoomScaleSheetLayoutView="70" workbookViewId="0">
      <selection activeCell="K81" sqref="K81:S8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350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78" t="s">
        <v>17</v>
      </c>
      <c r="L5" s="278" t="s">
        <v>18</v>
      </c>
      <c r="M5" s="278" t="s">
        <v>19</v>
      </c>
      <c r="N5" s="27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0.33072916666666669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3</v>
      </c>
      <c r="H7" s="13">
        <v>24</v>
      </c>
      <c r="I7" s="31">
        <v>200000</v>
      </c>
      <c r="J7" s="14">
        <v>17568</v>
      </c>
      <c r="K7" s="15">
        <f>L7+11840+19918+14488+4292+19516+28064+28556+28800+28308+21300</f>
        <v>222650</v>
      </c>
      <c r="L7" s="15">
        <f>3623*4+769*4</f>
        <v>17568</v>
      </c>
      <c r="M7" s="15">
        <f t="shared" si="0"/>
        <v>17568</v>
      </c>
      <c r="N7" s="15">
        <v>0</v>
      </c>
      <c r="O7" s="58">
        <f t="shared" si="1"/>
        <v>0</v>
      </c>
      <c r="P7" s="39">
        <f t="shared" si="2"/>
        <v>18</v>
      </c>
      <c r="Q7" s="40">
        <f t="shared" si="3"/>
        <v>6</v>
      </c>
      <c r="R7" s="7"/>
      <c r="S7" s="6">
        <v>6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0.75</v>
      </c>
      <c r="AD7" s="10">
        <f t="shared" si="6"/>
        <v>0.75</v>
      </c>
      <c r="AE7" s="36">
        <f t="shared" si="7"/>
        <v>0.33072916666666669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0.33072916666666669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307</v>
      </c>
      <c r="E9" s="53" t="s">
        <v>300</v>
      </c>
      <c r="F9" s="30" t="s">
        <v>140</v>
      </c>
      <c r="G9" s="33">
        <v>1</v>
      </c>
      <c r="H9" s="35">
        <v>24</v>
      </c>
      <c r="I9" s="7">
        <v>5000</v>
      </c>
      <c r="J9" s="14">
        <v>8244</v>
      </c>
      <c r="K9" s="15">
        <f>L9+11784+8244</f>
        <v>20028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0.33072916666666669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119</v>
      </c>
      <c r="D10" s="52" t="s">
        <v>131</v>
      </c>
      <c r="E10" s="53" t="s">
        <v>342</v>
      </c>
      <c r="F10" s="30" t="s">
        <v>239</v>
      </c>
      <c r="G10" s="33">
        <v>1</v>
      </c>
      <c r="H10" s="35">
        <v>24</v>
      </c>
      <c r="I10" s="7">
        <v>17000</v>
      </c>
      <c r="J10" s="5">
        <v>4258</v>
      </c>
      <c r="K10" s="15">
        <f>L10</f>
        <v>4258</v>
      </c>
      <c r="L10" s="15">
        <f>3080+1178</f>
        <v>4258</v>
      </c>
      <c r="M10" s="15">
        <f t="shared" si="0"/>
        <v>4258</v>
      </c>
      <c r="N10" s="15">
        <v>0</v>
      </c>
      <c r="O10" s="58">
        <f t="shared" si="1"/>
        <v>0</v>
      </c>
      <c r="P10" s="39">
        <f t="shared" si="2"/>
        <v>20</v>
      </c>
      <c r="Q10" s="40">
        <f t="shared" si="3"/>
        <v>4</v>
      </c>
      <c r="R10" s="7"/>
      <c r="S10" s="6">
        <v>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0.83333333333333337</v>
      </c>
      <c r="AD10" s="10">
        <f>AC10*AB10*(1-O10)</f>
        <v>0.83333333333333337</v>
      </c>
      <c r="AE10" s="36">
        <f t="shared" si="7"/>
        <v>0.33072916666666669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115</v>
      </c>
      <c r="E11" s="53" t="s">
        <v>234</v>
      </c>
      <c r="F11" s="30" t="s">
        <v>123</v>
      </c>
      <c r="G11" s="33">
        <v>1</v>
      </c>
      <c r="H11" s="35">
        <v>24</v>
      </c>
      <c r="I11" s="7">
        <v>10000</v>
      </c>
      <c r="J11" s="14">
        <v>5373</v>
      </c>
      <c r="K11" s="15">
        <f>L11+4000+5343+5373</f>
        <v>14716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ref="AD11:AD14" si="9">AC11*AB11*(1-O11)</f>
        <v>0</v>
      </c>
      <c r="AE11" s="36">
        <f t="shared" si="7"/>
        <v>0.33072916666666669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</f>
        <v>28496</v>
      </c>
      <c r="L12" s="15">
        <f>1251+2550</f>
        <v>3801</v>
      </c>
      <c r="M12" s="15">
        <f t="shared" si="0"/>
        <v>3801</v>
      </c>
      <c r="N12" s="15">
        <v>0</v>
      </c>
      <c r="O12" s="58">
        <f t="shared" si="1"/>
        <v>0</v>
      </c>
      <c r="P12" s="39">
        <f t="shared" si="2"/>
        <v>20</v>
      </c>
      <c r="Q12" s="40">
        <f t="shared" si="3"/>
        <v>4</v>
      </c>
      <c r="R12" s="7"/>
      <c r="S12" s="6"/>
      <c r="T12" s="16"/>
      <c r="U12" s="16"/>
      <c r="V12" s="17"/>
      <c r="W12" s="5">
        <v>4</v>
      </c>
      <c r="X12" s="16"/>
      <c r="Y12" s="16"/>
      <c r="Z12" s="16"/>
      <c r="AA12" s="18"/>
      <c r="AB12" s="8">
        <f t="shared" si="4"/>
        <v>1</v>
      </c>
      <c r="AC12" s="9">
        <f t="shared" si="5"/>
        <v>0.83333333333333337</v>
      </c>
      <c r="AD12" s="10">
        <f t="shared" si="9"/>
        <v>0.83333333333333337</v>
      </c>
      <c r="AE12" s="36">
        <f t="shared" si="7"/>
        <v>0.33072916666666669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5401</v>
      </c>
      <c r="K13" s="15">
        <f>L13+5352+5939+5686</f>
        <v>22378</v>
      </c>
      <c r="L13" s="15">
        <f>2833+2568</f>
        <v>5401</v>
      </c>
      <c r="M13" s="15">
        <f t="shared" si="0"/>
        <v>5401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0.33072916666666669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0.33072916666666669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0.33072916666666669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0.33072916666666669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0.33072916666666669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0.33072916666666669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18036</v>
      </c>
      <c r="K19" s="15">
        <f>L19+9612+11036+20524+15980+18940+25128+18856+25256+23464+17440+25360+5768</f>
        <v>235400</v>
      </c>
      <c r="L19" s="15">
        <f>2648*4+1861*4</f>
        <v>18036</v>
      </c>
      <c r="M19" s="15">
        <f t="shared" si="0"/>
        <v>18036</v>
      </c>
      <c r="N19" s="15">
        <v>0</v>
      </c>
      <c r="O19" s="58">
        <f t="shared" si="1"/>
        <v>0</v>
      </c>
      <c r="P19" s="39">
        <f t="shared" si="2"/>
        <v>21</v>
      </c>
      <c r="Q19" s="40">
        <f t="shared" si="3"/>
        <v>3</v>
      </c>
      <c r="R19" s="7"/>
      <c r="S19" s="6"/>
      <c r="T19" s="16">
        <v>3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6">
        <f t="shared" si="7"/>
        <v>0.33072916666666669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119</v>
      </c>
      <c r="D20" s="52" t="s">
        <v>115</v>
      </c>
      <c r="E20" s="53" t="s">
        <v>343</v>
      </c>
      <c r="F20" s="30" t="s">
        <v>129</v>
      </c>
      <c r="G20" s="12">
        <v>1</v>
      </c>
      <c r="H20" s="13">
        <v>28</v>
      </c>
      <c r="I20" s="31">
        <v>17000</v>
      </c>
      <c r="J20" s="5">
        <v>2558</v>
      </c>
      <c r="K20" s="15">
        <f>L20</f>
        <v>2558</v>
      </c>
      <c r="L20" s="15">
        <f>1177+1381</f>
        <v>2558</v>
      </c>
      <c r="M20" s="15">
        <f t="shared" si="0"/>
        <v>2558</v>
      </c>
      <c r="N20" s="15">
        <v>0</v>
      </c>
      <c r="O20" s="58">
        <f t="shared" si="1"/>
        <v>0</v>
      </c>
      <c r="P20" s="39">
        <f t="shared" si="2"/>
        <v>14</v>
      </c>
      <c r="Q20" s="40">
        <f t="shared" si="3"/>
        <v>10</v>
      </c>
      <c r="R20" s="7"/>
      <c r="S20" s="6">
        <v>10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0.58333333333333337</v>
      </c>
      <c r="AD20" s="10">
        <f t="shared" si="6"/>
        <v>0.58333333333333337</v>
      </c>
      <c r="AE20" s="36">
        <f t="shared" si="7"/>
        <v>0.33072916666666669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30304</v>
      </c>
      <c r="K21" s="15">
        <f>L21+28876+33668</f>
        <v>92848</v>
      </c>
      <c r="L21" s="15">
        <f>7576*4</f>
        <v>30304</v>
      </c>
      <c r="M21" s="15">
        <f t="shared" si="0"/>
        <v>30304</v>
      </c>
      <c r="N21" s="15">
        <v>0</v>
      </c>
      <c r="O21" s="58">
        <f t="shared" si="1"/>
        <v>0</v>
      </c>
      <c r="P21" s="39">
        <f t="shared" si="2"/>
        <v>10</v>
      </c>
      <c r="Q21" s="40">
        <f t="shared" si="3"/>
        <v>14</v>
      </c>
      <c r="R21" s="7"/>
      <c r="S21" s="6"/>
      <c r="T21" s="16"/>
      <c r="U21" s="16"/>
      <c r="V21" s="17">
        <v>14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0.41666666666666669</v>
      </c>
      <c r="AD21" s="10">
        <f t="shared" si="6"/>
        <v>0.41666666666666669</v>
      </c>
      <c r="AE21" s="36">
        <f t="shared" si="7"/>
        <v>0.33072916666666669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1483800</v>
      </c>
      <c r="J22" s="19">
        <f t="shared" si="10"/>
        <v>119876</v>
      </c>
      <c r="K22" s="20">
        <f t="shared" si="10"/>
        <v>1085362</v>
      </c>
      <c r="L22" s="21">
        <f t="shared" si="10"/>
        <v>81926</v>
      </c>
      <c r="M22" s="20">
        <f t="shared" si="10"/>
        <v>81926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127</v>
      </c>
      <c r="Q22" s="43">
        <f t="shared" si="11"/>
        <v>257</v>
      </c>
      <c r="R22" s="23">
        <f t="shared" si="11"/>
        <v>24</v>
      </c>
      <c r="S22" s="24">
        <f t="shared" si="11"/>
        <v>116</v>
      </c>
      <c r="T22" s="24">
        <f t="shared" si="11"/>
        <v>3</v>
      </c>
      <c r="U22" s="24">
        <f t="shared" si="11"/>
        <v>0</v>
      </c>
      <c r="V22" s="25">
        <f t="shared" si="11"/>
        <v>14</v>
      </c>
      <c r="W22" s="26">
        <f t="shared" si="11"/>
        <v>100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0.4375</v>
      </c>
      <c r="AC22" s="4">
        <f>AVERAGE(AC6:AC21)</f>
        <v>0.33072916666666669</v>
      </c>
      <c r="AD22" s="4">
        <f>AVERAGE(AD6:AD21)</f>
        <v>0.33072916666666669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351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353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79" t="s">
        <v>46</v>
      </c>
      <c r="D51" s="279" t="s">
        <v>47</v>
      </c>
      <c r="E51" s="279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79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280" t="s">
        <v>147</v>
      </c>
      <c r="D52" s="280" t="s">
        <v>160</v>
      </c>
      <c r="E52" s="282" t="s">
        <v>167</v>
      </c>
      <c r="F52" s="488" t="s">
        <v>132</v>
      </c>
      <c r="G52" s="489"/>
      <c r="H52" s="489"/>
      <c r="I52" s="489"/>
      <c r="J52" s="489"/>
      <c r="K52" s="489"/>
      <c r="L52" s="489"/>
      <c r="M52" s="490"/>
      <c r="N52" s="281" t="s">
        <v>162</v>
      </c>
      <c r="O52" s="287" t="s">
        <v>149</v>
      </c>
      <c r="P52" s="502" t="s">
        <v>354</v>
      </c>
      <c r="Q52" s="503"/>
      <c r="R52" s="502" t="s">
        <v>355</v>
      </c>
      <c r="S52" s="504"/>
      <c r="T52" s="504"/>
      <c r="U52" s="503"/>
      <c r="V52" s="472" t="s">
        <v>148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119</v>
      </c>
      <c r="B53" s="501"/>
      <c r="C53" s="280" t="s">
        <v>205</v>
      </c>
      <c r="D53" s="280" t="s">
        <v>131</v>
      </c>
      <c r="E53" s="282" t="s">
        <v>342</v>
      </c>
      <c r="F53" s="488" t="s">
        <v>214</v>
      </c>
      <c r="G53" s="489"/>
      <c r="H53" s="489"/>
      <c r="I53" s="489"/>
      <c r="J53" s="489"/>
      <c r="K53" s="489"/>
      <c r="L53" s="489"/>
      <c r="M53" s="490"/>
      <c r="N53" s="281" t="s">
        <v>119</v>
      </c>
      <c r="O53" s="287" t="s">
        <v>205</v>
      </c>
      <c r="P53" s="502" t="s">
        <v>131</v>
      </c>
      <c r="Q53" s="503"/>
      <c r="R53" s="502" t="s">
        <v>342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119</v>
      </c>
      <c r="B54" s="487"/>
      <c r="C54" s="282" t="s">
        <v>182</v>
      </c>
      <c r="D54" s="282" t="s">
        <v>115</v>
      </c>
      <c r="E54" s="282" t="s">
        <v>157</v>
      </c>
      <c r="F54" s="488" t="s">
        <v>132</v>
      </c>
      <c r="G54" s="489"/>
      <c r="H54" s="489"/>
      <c r="I54" s="489"/>
      <c r="J54" s="489"/>
      <c r="K54" s="489"/>
      <c r="L54" s="489"/>
      <c r="M54" s="490"/>
      <c r="N54" s="281" t="s">
        <v>119</v>
      </c>
      <c r="O54" s="287" t="s">
        <v>226</v>
      </c>
      <c r="P54" s="502" t="s">
        <v>115</v>
      </c>
      <c r="Q54" s="503"/>
      <c r="R54" s="502" t="s">
        <v>343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282" t="s">
        <v>226</v>
      </c>
      <c r="D55" s="282" t="s">
        <v>115</v>
      </c>
      <c r="E55" s="282" t="s">
        <v>343</v>
      </c>
      <c r="F55" s="488" t="s">
        <v>352</v>
      </c>
      <c r="G55" s="489"/>
      <c r="H55" s="489"/>
      <c r="I55" s="489"/>
      <c r="J55" s="489"/>
      <c r="K55" s="489"/>
      <c r="L55" s="489"/>
      <c r="M55" s="490"/>
      <c r="N55" s="281" t="s">
        <v>112</v>
      </c>
      <c r="O55" s="287" t="s">
        <v>149</v>
      </c>
      <c r="P55" s="502" t="s">
        <v>356</v>
      </c>
      <c r="Q55" s="503"/>
      <c r="R55" s="502" t="s">
        <v>270</v>
      </c>
      <c r="S55" s="504"/>
      <c r="T55" s="504"/>
      <c r="U55" s="503"/>
      <c r="V55" s="472" t="s">
        <v>314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282"/>
      <c r="D56" s="280"/>
      <c r="E56" s="282"/>
      <c r="F56" s="488"/>
      <c r="G56" s="489"/>
      <c r="H56" s="489"/>
      <c r="I56" s="489"/>
      <c r="J56" s="489"/>
      <c r="K56" s="489"/>
      <c r="L56" s="489"/>
      <c r="M56" s="490"/>
      <c r="N56" s="281"/>
      <c r="O56" s="287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80"/>
      <c r="D57" s="280"/>
      <c r="E57" s="282"/>
      <c r="F57" s="488"/>
      <c r="G57" s="489"/>
      <c r="H57" s="489"/>
      <c r="I57" s="489"/>
      <c r="J57" s="489"/>
      <c r="K57" s="489"/>
      <c r="L57" s="489"/>
      <c r="M57" s="490"/>
      <c r="N57" s="281"/>
      <c r="O57" s="287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80"/>
      <c r="D58" s="280"/>
      <c r="E58" s="282"/>
      <c r="F58" s="488"/>
      <c r="G58" s="489"/>
      <c r="H58" s="489"/>
      <c r="I58" s="489"/>
      <c r="J58" s="489"/>
      <c r="K58" s="489"/>
      <c r="L58" s="489"/>
      <c r="M58" s="490"/>
      <c r="N58" s="281"/>
      <c r="O58" s="287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80"/>
      <c r="D59" s="280"/>
      <c r="E59" s="282"/>
      <c r="F59" s="488"/>
      <c r="G59" s="489"/>
      <c r="H59" s="489"/>
      <c r="I59" s="489"/>
      <c r="J59" s="489"/>
      <c r="K59" s="489"/>
      <c r="L59" s="489"/>
      <c r="M59" s="490"/>
      <c r="N59" s="281"/>
      <c r="O59" s="287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82"/>
      <c r="D60" s="282"/>
      <c r="E60" s="282"/>
      <c r="F60" s="488"/>
      <c r="G60" s="489"/>
      <c r="H60" s="489"/>
      <c r="I60" s="489"/>
      <c r="J60" s="489"/>
      <c r="K60" s="489"/>
      <c r="L60" s="489"/>
      <c r="M60" s="490"/>
      <c r="N60" s="281"/>
      <c r="O60" s="287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83"/>
      <c r="D61" s="284"/>
      <c r="E61" s="284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357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85" t="s">
        <v>2</v>
      </c>
      <c r="D63" s="285" t="s">
        <v>37</v>
      </c>
      <c r="E63" s="285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85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289"/>
      <c r="E64" s="286" t="s">
        <v>128</v>
      </c>
      <c r="F64" s="473" t="s">
        <v>358</v>
      </c>
      <c r="G64" s="474"/>
      <c r="H64" s="474"/>
      <c r="I64" s="474"/>
      <c r="J64" s="475"/>
      <c r="K64" s="461" t="s">
        <v>359</v>
      </c>
      <c r="L64" s="461"/>
      <c r="M64" s="51" t="s">
        <v>360</v>
      </c>
      <c r="N64" s="470" t="s">
        <v>150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289"/>
      <c r="E65" s="286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289"/>
      <c r="E66" s="286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89"/>
      <c r="E67" s="286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89"/>
      <c r="E68" s="286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89"/>
      <c r="E69" s="286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89"/>
      <c r="E70" s="286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89"/>
      <c r="E71" s="286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89"/>
      <c r="E72" s="286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89"/>
      <c r="E73" s="286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361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88" t="s">
        <v>2</v>
      </c>
      <c r="D75" s="288" t="s">
        <v>37</v>
      </c>
      <c r="E75" s="288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90" t="s">
        <v>112</v>
      </c>
      <c r="D76" s="290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89"/>
      <c r="D77" s="289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89"/>
      <c r="D78" s="289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89"/>
      <c r="D79" s="289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89"/>
      <c r="D80" s="289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89"/>
      <c r="D81" s="289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89"/>
      <c r="D82" s="289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362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0E6E-24C1-404F-A221-E77941E67E84}">
  <dimension ref="A1:AF87"/>
  <sheetViews>
    <sheetView view="pageBreakPreview" topLeftCell="A43" zoomScale="70" zoomScaleNormal="72" zoomScaleSheetLayoutView="70" workbookViewId="0">
      <selection activeCell="A65" sqref="A65:XFD6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363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03" t="s">
        <v>17</v>
      </c>
      <c r="L5" s="303" t="s">
        <v>18</v>
      </c>
      <c r="M5" s="303" t="s">
        <v>19</v>
      </c>
      <c r="N5" s="30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0.29166666666666663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3</v>
      </c>
      <c r="H7" s="13">
        <v>24</v>
      </c>
      <c r="I7" s="31">
        <v>200000</v>
      </c>
      <c r="J7" s="14">
        <v>25040</v>
      </c>
      <c r="K7" s="15">
        <f>L7+11840+19918+14488+4292+19516+28064+28556+28800+28308+21300+17568</f>
        <v>247690</v>
      </c>
      <c r="L7" s="15">
        <f>3411*4+2849*4</f>
        <v>25040</v>
      </c>
      <c r="M7" s="15">
        <f t="shared" si="0"/>
        <v>25040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0.29166666666666663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0.29166666666666663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307</v>
      </c>
      <c r="E9" s="53" t="s">
        <v>300</v>
      </c>
      <c r="F9" s="30" t="s">
        <v>140</v>
      </c>
      <c r="G9" s="33">
        <v>1</v>
      </c>
      <c r="H9" s="35">
        <v>24</v>
      </c>
      <c r="I9" s="7">
        <v>5000</v>
      </c>
      <c r="J9" s="14">
        <v>8244</v>
      </c>
      <c r="K9" s="15">
        <f>L9+11784+8244</f>
        <v>20028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0.29166666666666663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119</v>
      </c>
      <c r="D10" s="52" t="s">
        <v>131</v>
      </c>
      <c r="E10" s="53" t="s">
        <v>342</v>
      </c>
      <c r="F10" s="30" t="s">
        <v>239</v>
      </c>
      <c r="G10" s="33">
        <v>1</v>
      </c>
      <c r="H10" s="35">
        <v>24</v>
      </c>
      <c r="I10" s="7">
        <v>17000</v>
      </c>
      <c r="J10" s="5">
        <v>3309</v>
      </c>
      <c r="K10" s="15">
        <f>L10+4258</f>
        <v>7567</v>
      </c>
      <c r="L10" s="15">
        <f>1705+1604</f>
        <v>3309</v>
      </c>
      <c r="M10" s="15">
        <f t="shared" si="0"/>
        <v>3309</v>
      </c>
      <c r="N10" s="15">
        <v>0</v>
      </c>
      <c r="O10" s="58">
        <f t="shared" si="1"/>
        <v>0</v>
      </c>
      <c r="P10" s="39">
        <f t="shared" si="2"/>
        <v>16</v>
      </c>
      <c r="Q10" s="40">
        <f t="shared" si="3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0.66666666666666663</v>
      </c>
      <c r="AD10" s="10">
        <f>AC10*AB10*(1-O10)</f>
        <v>0.66666666666666663</v>
      </c>
      <c r="AE10" s="36">
        <f t="shared" si="7"/>
        <v>0.29166666666666663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100000</v>
      </c>
      <c r="J11" s="14">
        <v>13264</v>
      </c>
      <c r="K11" s="15">
        <f>L11</f>
        <v>13264</v>
      </c>
      <c r="L11" s="15">
        <f>2756*4+560*4</f>
        <v>13264</v>
      </c>
      <c r="M11" s="15">
        <f t="shared" si="0"/>
        <v>13264</v>
      </c>
      <c r="N11" s="15">
        <v>0</v>
      </c>
      <c r="O11" s="58">
        <f t="shared" si="1"/>
        <v>0</v>
      </c>
      <c r="P11" s="39">
        <f t="shared" si="2"/>
        <v>17</v>
      </c>
      <c r="Q11" s="40">
        <f t="shared" si="3"/>
        <v>7</v>
      </c>
      <c r="R11" s="7"/>
      <c r="S11" s="6">
        <v>7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0.70833333333333337</v>
      </c>
      <c r="AD11" s="10">
        <f t="shared" ref="AD11:AD14" si="9">AC11*AB11*(1-O11)</f>
        <v>0.70833333333333337</v>
      </c>
      <c r="AE11" s="36">
        <f t="shared" si="7"/>
        <v>0.29166666666666663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L12+900+1698+5633+5697+5159+5608+3801</f>
        <v>28496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9"/>
        <v>0</v>
      </c>
      <c r="AE12" s="36">
        <f t="shared" si="7"/>
        <v>0.29166666666666663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1584</v>
      </c>
      <c r="K13" s="15">
        <f>L13+5352+5939+5686+5401</f>
        <v>23962</v>
      </c>
      <c r="L13" s="15">
        <f>1584</f>
        <v>1584</v>
      </c>
      <c r="M13" s="15">
        <f t="shared" si="0"/>
        <v>1584</v>
      </c>
      <c r="N13" s="15">
        <v>0</v>
      </c>
      <c r="O13" s="58">
        <f t="shared" si="1"/>
        <v>0</v>
      </c>
      <c r="P13" s="39">
        <f t="shared" si="2"/>
        <v>10</v>
      </c>
      <c r="Q13" s="40">
        <f t="shared" si="3"/>
        <v>14</v>
      </c>
      <c r="R13" s="7"/>
      <c r="S13" s="6">
        <v>14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0.41666666666666669</v>
      </c>
      <c r="AD13" s="10">
        <f>AC13*AB13*(1-O13)</f>
        <v>0.41666666666666669</v>
      </c>
      <c r="AE13" s="36">
        <f t="shared" si="7"/>
        <v>0.29166666666666663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0.29166666666666663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364</v>
      </c>
      <c r="E15" s="53" t="s">
        <v>365</v>
      </c>
      <c r="F15" s="12" t="s">
        <v>366</v>
      </c>
      <c r="G15" s="12">
        <v>3</v>
      </c>
      <c r="H15" s="13">
        <v>24</v>
      </c>
      <c r="I15" s="31">
        <v>40000</v>
      </c>
      <c r="J15" s="14">
        <v>9150</v>
      </c>
      <c r="K15" s="15">
        <f>L15</f>
        <v>9150</v>
      </c>
      <c r="L15" s="15">
        <f>3050*3</f>
        <v>9150</v>
      </c>
      <c r="M15" s="15">
        <f t="shared" si="0"/>
        <v>9150</v>
      </c>
      <c r="N15" s="15">
        <v>0</v>
      </c>
      <c r="O15" s="58">
        <f t="shared" si="1"/>
        <v>0</v>
      </c>
      <c r="P15" s="39">
        <f t="shared" si="2"/>
        <v>17</v>
      </c>
      <c r="Q15" s="40">
        <f t="shared" si="3"/>
        <v>7</v>
      </c>
      <c r="R15" s="7"/>
      <c r="S15" s="6"/>
      <c r="T15" s="16">
        <v>7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0.70833333333333337</v>
      </c>
      <c r="AD15" s="10">
        <f t="shared" si="6"/>
        <v>0.70833333333333337</v>
      </c>
      <c r="AE15" s="36">
        <f t="shared" si="7"/>
        <v>0.29166666666666663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0.29166666666666663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0.29166666666666663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0.29166666666666663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162</v>
      </c>
      <c r="D19" s="52" t="s">
        <v>354</v>
      </c>
      <c r="E19" s="53" t="s">
        <v>355</v>
      </c>
      <c r="F19" s="30" t="s">
        <v>367</v>
      </c>
      <c r="G19" s="33">
        <v>1</v>
      </c>
      <c r="H19" s="35">
        <v>24</v>
      </c>
      <c r="I19" s="7">
        <v>1000</v>
      </c>
      <c r="J19" s="14">
        <v>18036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0.29166666666666663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119</v>
      </c>
      <c r="D20" s="52" t="s">
        <v>115</v>
      </c>
      <c r="E20" s="53" t="s">
        <v>343</v>
      </c>
      <c r="F20" s="30" t="s">
        <v>129</v>
      </c>
      <c r="G20" s="12">
        <v>1</v>
      </c>
      <c r="H20" s="13">
        <v>28</v>
      </c>
      <c r="I20" s="31">
        <v>17000</v>
      </c>
      <c r="J20" s="5">
        <v>557</v>
      </c>
      <c r="K20" s="15">
        <f>L20+2558</f>
        <v>3115</v>
      </c>
      <c r="L20" s="15">
        <f>334+223</f>
        <v>557</v>
      </c>
      <c r="M20" s="15">
        <f t="shared" si="0"/>
        <v>557</v>
      </c>
      <c r="N20" s="15">
        <v>0</v>
      </c>
      <c r="O20" s="58">
        <f t="shared" si="1"/>
        <v>0</v>
      </c>
      <c r="P20" s="39">
        <f t="shared" si="2"/>
        <v>4</v>
      </c>
      <c r="Q20" s="40">
        <f t="shared" si="3"/>
        <v>20</v>
      </c>
      <c r="R20" s="7"/>
      <c r="S20" s="6">
        <v>20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0.16666666666666666</v>
      </c>
      <c r="AD20" s="10">
        <f t="shared" si="6"/>
        <v>0.16666666666666666</v>
      </c>
      <c r="AE20" s="36">
        <f t="shared" si="7"/>
        <v>0.29166666666666663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72816</v>
      </c>
      <c r="K21" s="15">
        <f>L21+28876+33668+30304</f>
        <v>165664</v>
      </c>
      <c r="L21" s="15">
        <f>9059*4+9145*4</f>
        <v>72816</v>
      </c>
      <c r="M21" s="15">
        <f t="shared" si="0"/>
        <v>72816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0.29166666666666663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1403800</v>
      </c>
      <c r="J22" s="19">
        <f t="shared" si="10"/>
        <v>174377</v>
      </c>
      <c r="K22" s="20">
        <f t="shared" si="10"/>
        <v>946114</v>
      </c>
      <c r="L22" s="21">
        <f t="shared" si="10"/>
        <v>125720</v>
      </c>
      <c r="M22" s="20">
        <f t="shared" si="10"/>
        <v>125720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112</v>
      </c>
      <c r="Q22" s="43">
        <f t="shared" si="11"/>
        <v>272</v>
      </c>
      <c r="R22" s="23">
        <f t="shared" si="11"/>
        <v>24</v>
      </c>
      <c r="S22" s="24">
        <f t="shared" si="11"/>
        <v>145</v>
      </c>
      <c r="T22" s="24">
        <f t="shared" si="11"/>
        <v>7</v>
      </c>
      <c r="U22" s="24">
        <f t="shared" si="11"/>
        <v>0</v>
      </c>
      <c r="V22" s="25">
        <f t="shared" si="11"/>
        <v>0</v>
      </c>
      <c r="W22" s="26">
        <f t="shared" si="11"/>
        <v>72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0.4375</v>
      </c>
      <c r="AC22" s="4">
        <f>AVERAGE(AC6:AC21)</f>
        <v>0.29166666666666663</v>
      </c>
      <c r="AD22" s="4">
        <f>AVERAGE(AD6:AD21)</f>
        <v>0.29166666666666663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368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371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02" t="s">
        <v>46</v>
      </c>
      <c r="D51" s="302" t="s">
        <v>47</v>
      </c>
      <c r="E51" s="302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02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301" t="s">
        <v>205</v>
      </c>
      <c r="D52" s="301" t="s">
        <v>131</v>
      </c>
      <c r="E52" s="298" t="s">
        <v>342</v>
      </c>
      <c r="F52" s="488" t="s">
        <v>369</v>
      </c>
      <c r="G52" s="489"/>
      <c r="H52" s="489"/>
      <c r="I52" s="489"/>
      <c r="J52" s="489"/>
      <c r="K52" s="489"/>
      <c r="L52" s="489"/>
      <c r="M52" s="490"/>
      <c r="N52" s="297" t="s">
        <v>119</v>
      </c>
      <c r="O52" s="295" t="s">
        <v>226</v>
      </c>
      <c r="P52" s="502" t="s">
        <v>115</v>
      </c>
      <c r="Q52" s="503"/>
      <c r="R52" s="502" t="s">
        <v>343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298" t="s">
        <v>226</v>
      </c>
      <c r="D53" s="298" t="s">
        <v>115</v>
      </c>
      <c r="E53" s="298" t="s">
        <v>343</v>
      </c>
      <c r="F53" s="488" t="s">
        <v>370</v>
      </c>
      <c r="G53" s="489"/>
      <c r="H53" s="489"/>
      <c r="I53" s="489"/>
      <c r="J53" s="489"/>
      <c r="K53" s="489"/>
      <c r="L53" s="489"/>
      <c r="M53" s="490"/>
      <c r="N53" s="297" t="s">
        <v>119</v>
      </c>
      <c r="O53" s="295" t="s">
        <v>205</v>
      </c>
      <c r="P53" s="502" t="s">
        <v>131</v>
      </c>
      <c r="Q53" s="503"/>
      <c r="R53" s="502" t="s">
        <v>342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120</v>
      </c>
      <c r="B54" s="487"/>
      <c r="C54" s="298" t="s">
        <v>195</v>
      </c>
      <c r="D54" s="298" t="s">
        <v>131</v>
      </c>
      <c r="E54" s="298" t="s">
        <v>273</v>
      </c>
      <c r="F54" s="488" t="s">
        <v>329</v>
      </c>
      <c r="G54" s="489"/>
      <c r="H54" s="489"/>
      <c r="I54" s="489"/>
      <c r="J54" s="489"/>
      <c r="K54" s="489"/>
      <c r="L54" s="489"/>
      <c r="M54" s="490"/>
      <c r="N54" s="297"/>
      <c r="O54" s="295"/>
      <c r="P54" s="502"/>
      <c r="Q54" s="503"/>
      <c r="R54" s="502"/>
      <c r="S54" s="504"/>
      <c r="T54" s="504"/>
      <c r="U54" s="503"/>
      <c r="V54" s="472"/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162</v>
      </c>
      <c r="B55" s="487"/>
      <c r="C55" s="298" t="s">
        <v>182</v>
      </c>
      <c r="D55" s="298" t="s">
        <v>354</v>
      </c>
      <c r="E55" s="298" t="s">
        <v>355</v>
      </c>
      <c r="F55" s="488" t="s">
        <v>214</v>
      </c>
      <c r="G55" s="489"/>
      <c r="H55" s="489"/>
      <c r="I55" s="489"/>
      <c r="J55" s="489"/>
      <c r="K55" s="489"/>
      <c r="L55" s="489"/>
      <c r="M55" s="490"/>
      <c r="N55" s="297"/>
      <c r="O55" s="295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162</v>
      </c>
      <c r="B56" s="487"/>
      <c r="C56" s="298" t="s">
        <v>202</v>
      </c>
      <c r="D56" s="301" t="s">
        <v>364</v>
      </c>
      <c r="E56" s="298" t="s">
        <v>365</v>
      </c>
      <c r="F56" s="488" t="s">
        <v>148</v>
      </c>
      <c r="G56" s="489"/>
      <c r="H56" s="489"/>
      <c r="I56" s="489"/>
      <c r="J56" s="489"/>
      <c r="K56" s="489"/>
      <c r="L56" s="489"/>
      <c r="M56" s="490"/>
      <c r="N56" s="297"/>
      <c r="O56" s="295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301"/>
      <c r="D57" s="301"/>
      <c r="E57" s="298"/>
      <c r="F57" s="488"/>
      <c r="G57" s="489"/>
      <c r="H57" s="489"/>
      <c r="I57" s="489"/>
      <c r="J57" s="489"/>
      <c r="K57" s="489"/>
      <c r="L57" s="489"/>
      <c r="M57" s="490"/>
      <c r="N57" s="297"/>
      <c r="O57" s="295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01"/>
      <c r="D58" s="301"/>
      <c r="E58" s="298"/>
      <c r="F58" s="488"/>
      <c r="G58" s="489"/>
      <c r="H58" s="489"/>
      <c r="I58" s="489"/>
      <c r="J58" s="489"/>
      <c r="K58" s="489"/>
      <c r="L58" s="489"/>
      <c r="M58" s="490"/>
      <c r="N58" s="297"/>
      <c r="O58" s="295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01"/>
      <c r="D59" s="301"/>
      <c r="E59" s="298"/>
      <c r="F59" s="488"/>
      <c r="G59" s="489"/>
      <c r="H59" s="489"/>
      <c r="I59" s="489"/>
      <c r="J59" s="489"/>
      <c r="K59" s="489"/>
      <c r="L59" s="489"/>
      <c r="M59" s="490"/>
      <c r="N59" s="297"/>
      <c r="O59" s="295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98"/>
      <c r="D60" s="298"/>
      <c r="E60" s="298"/>
      <c r="F60" s="488"/>
      <c r="G60" s="489"/>
      <c r="H60" s="489"/>
      <c r="I60" s="489"/>
      <c r="J60" s="489"/>
      <c r="K60" s="489"/>
      <c r="L60" s="489"/>
      <c r="M60" s="490"/>
      <c r="N60" s="297"/>
      <c r="O60" s="295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99"/>
      <c r="D61" s="300"/>
      <c r="E61" s="300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372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96" t="s">
        <v>2</v>
      </c>
      <c r="D63" s="296" t="s">
        <v>37</v>
      </c>
      <c r="E63" s="296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96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291"/>
      <c r="E64" s="294" t="s">
        <v>115</v>
      </c>
      <c r="F64" s="473" t="s">
        <v>376</v>
      </c>
      <c r="G64" s="474"/>
      <c r="H64" s="474"/>
      <c r="I64" s="474"/>
      <c r="J64" s="475"/>
      <c r="K64" s="461" t="s">
        <v>123</v>
      </c>
      <c r="L64" s="461"/>
      <c r="M64" s="51" t="s">
        <v>377</v>
      </c>
      <c r="N64" s="470" t="s">
        <v>141</v>
      </c>
      <c r="O64" s="470"/>
      <c r="P64" s="471"/>
      <c r="Q64" s="471"/>
      <c r="R64" s="472" t="s">
        <v>378</v>
      </c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120</v>
      </c>
      <c r="D65" s="291"/>
      <c r="E65" s="294" t="s">
        <v>160</v>
      </c>
      <c r="F65" s="473" t="s">
        <v>375</v>
      </c>
      <c r="G65" s="474"/>
      <c r="H65" s="474"/>
      <c r="I65" s="474"/>
      <c r="J65" s="475"/>
      <c r="K65" s="461" t="s">
        <v>161</v>
      </c>
      <c r="L65" s="461"/>
      <c r="M65" s="51" t="s">
        <v>377</v>
      </c>
      <c r="N65" s="470" t="s">
        <v>202</v>
      </c>
      <c r="O65" s="470"/>
      <c r="P65" s="471"/>
      <c r="Q65" s="471"/>
      <c r="R65" s="472" t="s">
        <v>378</v>
      </c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120</v>
      </c>
      <c r="D66" s="291"/>
      <c r="E66" s="294" t="s">
        <v>131</v>
      </c>
      <c r="F66" s="473" t="s">
        <v>374</v>
      </c>
      <c r="G66" s="474"/>
      <c r="H66" s="474"/>
      <c r="I66" s="474"/>
      <c r="J66" s="475"/>
      <c r="K66" s="461" t="s">
        <v>123</v>
      </c>
      <c r="L66" s="461"/>
      <c r="M66" s="51" t="s">
        <v>377</v>
      </c>
      <c r="N66" s="470" t="s">
        <v>141</v>
      </c>
      <c r="O66" s="470"/>
      <c r="P66" s="471">
        <v>200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 t="s">
        <v>120</v>
      </c>
      <c r="D67" s="291"/>
      <c r="E67" s="294" t="s">
        <v>130</v>
      </c>
      <c r="F67" s="473" t="s">
        <v>373</v>
      </c>
      <c r="G67" s="474"/>
      <c r="H67" s="474"/>
      <c r="I67" s="474"/>
      <c r="J67" s="475"/>
      <c r="K67" s="461" t="s">
        <v>123</v>
      </c>
      <c r="L67" s="461"/>
      <c r="M67" s="51" t="s">
        <v>377</v>
      </c>
      <c r="N67" s="470" t="s">
        <v>141</v>
      </c>
      <c r="O67" s="470"/>
      <c r="P67" s="471">
        <v>200</v>
      </c>
      <c r="Q67" s="471"/>
      <c r="R67" s="472" t="s">
        <v>379</v>
      </c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91"/>
      <c r="E68" s="294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91"/>
      <c r="E69" s="294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91"/>
      <c r="E70" s="294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91"/>
      <c r="E71" s="294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91"/>
      <c r="E72" s="294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91"/>
      <c r="E73" s="294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380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93" t="s">
        <v>2</v>
      </c>
      <c r="D75" s="293" t="s">
        <v>37</v>
      </c>
      <c r="E75" s="293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92" t="s">
        <v>112</v>
      </c>
      <c r="D76" s="292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91"/>
      <c r="D77" s="291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91"/>
      <c r="D78" s="291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91"/>
      <c r="D79" s="291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91"/>
      <c r="D80" s="291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91"/>
      <c r="D81" s="291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91"/>
      <c r="D82" s="291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381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5A00-F690-4DE0-B268-56DF9354139C}">
  <dimension ref="A1:AF87"/>
  <sheetViews>
    <sheetView view="pageBreakPreview" zoomScale="70" zoomScaleNormal="72" zoomScaleSheetLayoutView="70" workbookViewId="0">
      <selection activeCell="F61" sqref="F61:M6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382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04" t="s">
        <v>17</v>
      </c>
      <c r="L5" s="304" t="s">
        <v>18</v>
      </c>
      <c r="M5" s="304" t="s">
        <v>19</v>
      </c>
      <c r="N5" s="30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0.29166666666666663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3</v>
      </c>
      <c r="H7" s="13">
        <v>24</v>
      </c>
      <c r="I7" s="31">
        <v>200000</v>
      </c>
      <c r="J7" s="14">
        <v>25040</v>
      </c>
      <c r="K7" s="15">
        <f>L7+11840+19918+14488+4292+19516+28064+28556+28800+28308+21300+17568+25040</f>
        <v>247690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/>
      <c r="X7" s="16"/>
      <c r="Y7" s="16"/>
      <c r="Z7" s="16"/>
      <c r="AA7" s="18">
        <v>24</v>
      </c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0.29166666666666663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0.29166666666666663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131</v>
      </c>
      <c r="E9" s="53" t="s">
        <v>342</v>
      </c>
      <c r="F9" s="30" t="s">
        <v>239</v>
      </c>
      <c r="G9" s="33">
        <v>1</v>
      </c>
      <c r="H9" s="35">
        <v>24</v>
      </c>
      <c r="I9" s="7">
        <v>17000</v>
      </c>
      <c r="J9" s="5">
        <v>3260</v>
      </c>
      <c r="K9" s="15">
        <f>L9+4258+3309</f>
        <v>10827</v>
      </c>
      <c r="L9" s="15">
        <f>1068+2192</f>
        <v>3260</v>
      </c>
      <c r="M9" s="15">
        <f t="shared" ref="M9" si="9">L9-N9</f>
        <v>3260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19</v>
      </c>
      <c r="Q9" s="40">
        <f t="shared" ref="Q9" si="12">SUM(R9:AA9)</f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0.79166666666666663</v>
      </c>
      <c r="AD9" s="10">
        <f>AC9*AB9*(1-O9)</f>
        <v>0.79166666666666663</v>
      </c>
      <c r="AE9" s="36">
        <f t="shared" si="7"/>
        <v>0.29166666666666663</v>
      </c>
      <c r="AF9" s="84">
        <f t="shared" ref="AF9" si="15">A9</f>
        <v>4</v>
      </c>
    </row>
    <row r="10" spans="1:32" ht="27" customHeight="1">
      <c r="A10" s="96">
        <v>5</v>
      </c>
      <c r="B10" s="11" t="s">
        <v>57</v>
      </c>
      <c r="C10" s="34" t="s">
        <v>119</v>
      </c>
      <c r="D10" s="52" t="s">
        <v>131</v>
      </c>
      <c r="E10" s="53" t="s">
        <v>342</v>
      </c>
      <c r="F10" s="30" t="s">
        <v>239</v>
      </c>
      <c r="G10" s="33">
        <v>1</v>
      </c>
      <c r="H10" s="35">
        <v>24</v>
      </c>
      <c r="I10" s="7">
        <v>17000</v>
      </c>
      <c r="J10" s="5">
        <v>3309</v>
      </c>
      <c r="K10" s="15">
        <f>L10+4258+3309</f>
        <v>7567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0.29166666666666663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100000</v>
      </c>
      <c r="J11" s="14">
        <v>24332</v>
      </c>
      <c r="K11" s="15">
        <f>L11+13264</f>
        <v>37596</v>
      </c>
      <c r="L11" s="15">
        <f>2963*4+3120*4</f>
        <v>24332</v>
      </c>
      <c r="M11" s="15">
        <f t="shared" si="0"/>
        <v>24332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16">AC11*AB11*(1-O11)</f>
        <v>1</v>
      </c>
      <c r="AE11" s="36">
        <f t="shared" si="7"/>
        <v>0.29166666666666663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L12+900+1698+5633+5697+5159+5608+3801</f>
        <v>28496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16"/>
        <v>0</v>
      </c>
      <c r="AE12" s="36">
        <f t="shared" si="7"/>
        <v>0.29166666666666663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1584</v>
      </c>
      <c r="K13" s="15">
        <f>L13+5352+5939+5686+5401+1584</f>
        <v>23962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>
        <v>24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>AC13*AB13*(1-O13)</f>
        <v>0</v>
      </c>
      <c r="AE13" s="36">
        <f t="shared" si="7"/>
        <v>0.29166666666666663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16"/>
        <v>0</v>
      </c>
      <c r="AE14" s="36">
        <f t="shared" si="7"/>
        <v>0.29166666666666663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364</v>
      </c>
      <c r="E15" s="53" t="s">
        <v>365</v>
      </c>
      <c r="F15" s="12" t="s">
        <v>366</v>
      </c>
      <c r="G15" s="12">
        <v>3</v>
      </c>
      <c r="H15" s="13">
        <v>24</v>
      </c>
      <c r="I15" s="31">
        <v>40000</v>
      </c>
      <c r="J15" s="14">
        <v>17829</v>
      </c>
      <c r="K15" s="15">
        <f>L15+9150</f>
        <v>26979</v>
      </c>
      <c r="L15" s="15">
        <f>2878*3+3065*3</f>
        <v>17829</v>
      </c>
      <c r="M15" s="15">
        <f t="shared" si="0"/>
        <v>17829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0.29166666666666663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0.29166666666666663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0.29166666666666663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0.29166666666666663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162</v>
      </c>
      <c r="D19" s="52" t="s">
        <v>354</v>
      </c>
      <c r="E19" s="53" t="s">
        <v>355</v>
      </c>
      <c r="F19" s="30" t="s">
        <v>367</v>
      </c>
      <c r="G19" s="33">
        <v>1</v>
      </c>
      <c r="H19" s="35">
        <v>24</v>
      </c>
      <c r="I19" s="7">
        <v>1000</v>
      </c>
      <c r="J19" s="14">
        <v>18036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0.29166666666666663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119</v>
      </c>
      <c r="D20" s="52" t="s">
        <v>115</v>
      </c>
      <c r="E20" s="53" t="s">
        <v>343</v>
      </c>
      <c r="F20" s="30" t="s">
        <v>129</v>
      </c>
      <c r="G20" s="12">
        <v>1</v>
      </c>
      <c r="H20" s="13">
        <v>28</v>
      </c>
      <c r="I20" s="31">
        <v>17000</v>
      </c>
      <c r="J20" s="5">
        <v>4094</v>
      </c>
      <c r="K20" s="15">
        <f>L20+2558+557</f>
        <v>7209</v>
      </c>
      <c r="L20" s="15">
        <f>1322+2772</f>
        <v>4094</v>
      </c>
      <c r="M20" s="15">
        <f t="shared" si="0"/>
        <v>4094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0.875</v>
      </c>
      <c r="AD20" s="10">
        <f t="shared" si="6"/>
        <v>0.875</v>
      </c>
      <c r="AE20" s="36">
        <f t="shared" si="7"/>
        <v>0.29166666666666663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70472</v>
      </c>
      <c r="K21" s="15">
        <f>L21+28876+33668+30304+72816</f>
        <v>236136</v>
      </c>
      <c r="L21" s="15">
        <f>8479*4+9139*4</f>
        <v>70472</v>
      </c>
      <c r="M21" s="15">
        <f t="shared" si="0"/>
        <v>70472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0.29166666666666663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7">SUM(I6:I21)</f>
        <v>1415800</v>
      </c>
      <c r="J22" s="19">
        <f t="shared" si="17"/>
        <v>190333</v>
      </c>
      <c r="K22" s="20">
        <f t="shared" si="17"/>
        <v>1053640</v>
      </c>
      <c r="L22" s="21">
        <f t="shared" si="17"/>
        <v>119987</v>
      </c>
      <c r="M22" s="20">
        <f t="shared" si="17"/>
        <v>119987</v>
      </c>
      <c r="N22" s="21">
        <f t="shared" si="17"/>
        <v>0</v>
      </c>
      <c r="O22" s="41">
        <f t="shared" si="1"/>
        <v>0</v>
      </c>
      <c r="P22" s="42">
        <f t="shared" ref="P22:AA22" si="18">SUM(P6:P21)</f>
        <v>112</v>
      </c>
      <c r="Q22" s="43">
        <f t="shared" si="18"/>
        <v>272</v>
      </c>
      <c r="R22" s="23">
        <f t="shared" si="18"/>
        <v>24</v>
      </c>
      <c r="S22" s="24">
        <f t="shared" si="18"/>
        <v>128</v>
      </c>
      <c r="T22" s="24">
        <f t="shared" si="18"/>
        <v>0</v>
      </c>
      <c r="U22" s="24">
        <f t="shared" si="18"/>
        <v>0</v>
      </c>
      <c r="V22" s="25">
        <f t="shared" si="18"/>
        <v>0</v>
      </c>
      <c r="W22" s="26">
        <f t="shared" si="18"/>
        <v>72</v>
      </c>
      <c r="X22" s="27">
        <f t="shared" si="18"/>
        <v>0</v>
      </c>
      <c r="Y22" s="27">
        <f t="shared" si="18"/>
        <v>0</v>
      </c>
      <c r="Z22" s="27">
        <f t="shared" si="18"/>
        <v>0</v>
      </c>
      <c r="AA22" s="27">
        <f t="shared" si="18"/>
        <v>48</v>
      </c>
      <c r="AB22" s="28">
        <f>AVERAGE(AB6:AB21)</f>
        <v>0.3125</v>
      </c>
      <c r="AC22" s="4">
        <f>AVERAGE(AC6:AC21)</f>
        <v>0.29166666666666663</v>
      </c>
      <c r="AD22" s="4">
        <f>AVERAGE(AD6:AD21)</f>
        <v>0.29166666666666663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383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386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05" t="s">
        <v>46</v>
      </c>
      <c r="D51" s="305" t="s">
        <v>47</v>
      </c>
      <c r="E51" s="305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05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306" t="s">
        <v>208</v>
      </c>
      <c r="D52" s="306" t="s">
        <v>131</v>
      </c>
      <c r="E52" s="308" t="s">
        <v>342</v>
      </c>
      <c r="F52" s="488" t="s">
        <v>384</v>
      </c>
      <c r="G52" s="489"/>
      <c r="H52" s="489"/>
      <c r="I52" s="489"/>
      <c r="J52" s="489"/>
      <c r="K52" s="489"/>
      <c r="L52" s="489"/>
      <c r="M52" s="490"/>
      <c r="N52" s="307" t="s">
        <v>122</v>
      </c>
      <c r="O52" s="313" t="s">
        <v>196</v>
      </c>
      <c r="P52" s="502" t="s">
        <v>115</v>
      </c>
      <c r="Q52" s="503"/>
      <c r="R52" s="502" t="s">
        <v>302</v>
      </c>
      <c r="S52" s="504"/>
      <c r="T52" s="504"/>
      <c r="U52" s="503"/>
      <c r="V52" s="472" t="s">
        <v>200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308" t="s">
        <v>226</v>
      </c>
      <c r="D53" s="308" t="s">
        <v>115</v>
      </c>
      <c r="E53" s="308" t="s">
        <v>343</v>
      </c>
      <c r="F53" s="488" t="s">
        <v>385</v>
      </c>
      <c r="G53" s="489"/>
      <c r="H53" s="489"/>
      <c r="I53" s="489"/>
      <c r="J53" s="489"/>
      <c r="K53" s="489"/>
      <c r="L53" s="489"/>
      <c r="M53" s="490"/>
      <c r="N53" s="307" t="s">
        <v>119</v>
      </c>
      <c r="O53" s="313" t="s">
        <v>205</v>
      </c>
      <c r="P53" s="502" t="s">
        <v>138</v>
      </c>
      <c r="Q53" s="503"/>
      <c r="R53" s="502" t="s">
        <v>387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/>
      <c r="B54" s="487"/>
      <c r="C54" s="308"/>
      <c r="D54" s="308"/>
      <c r="E54" s="308"/>
      <c r="F54" s="488"/>
      <c r="G54" s="489"/>
      <c r="H54" s="489"/>
      <c r="I54" s="489"/>
      <c r="J54" s="489"/>
      <c r="K54" s="489"/>
      <c r="L54" s="489"/>
      <c r="M54" s="490"/>
      <c r="N54" s="307" t="s">
        <v>119</v>
      </c>
      <c r="O54" s="313" t="s">
        <v>182</v>
      </c>
      <c r="P54" s="502" t="s">
        <v>115</v>
      </c>
      <c r="Q54" s="503"/>
      <c r="R54" s="502" t="s">
        <v>388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/>
      <c r="B55" s="487"/>
      <c r="C55" s="308"/>
      <c r="D55" s="308"/>
      <c r="E55" s="308"/>
      <c r="F55" s="488"/>
      <c r="G55" s="489"/>
      <c r="H55" s="489"/>
      <c r="I55" s="489"/>
      <c r="J55" s="489"/>
      <c r="K55" s="489"/>
      <c r="L55" s="489"/>
      <c r="M55" s="490"/>
      <c r="N55" s="307" t="s">
        <v>120</v>
      </c>
      <c r="O55" s="313" t="s">
        <v>150</v>
      </c>
      <c r="P55" s="502" t="s">
        <v>160</v>
      </c>
      <c r="Q55" s="503"/>
      <c r="R55" s="502" t="s">
        <v>248</v>
      </c>
      <c r="S55" s="504"/>
      <c r="T55" s="504"/>
      <c r="U55" s="503"/>
      <c r="V55" s="472" t="s">
        <v>206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308"/>
      <c r="D56" s="306"/>
      <c r="E56" s="308"/>
      <c r="F56" s="488"/>
      <c r="G56" s="489"/>
      <c r="H56" s="489"/>
      <c r="I56" s="489"/>
      <c r="J56" s="489"/>
      <c r="K56" s="489"/>
      <c r="L56" s="489"/>
      <c r="M56" s="490"/>
      <c r="N56" s="307"/>
      <c r="O56" s="313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306"/>
      <c r="D57" s="306"/>
      <c r="E57" s="308"/>
      <c r="F57" s="488"/>
      <c r="G57" s="489"/>
      <c r="H57" s="489"/>
      <c r="I57" s="489"/>
      <c r="J57" s="489"/>
      <c r="K57" s="489"/>
      <c r="L57" s="489"/>
      <c r="M57" s="490"/>
      <c r="N57" s="307"/>
      <c r="O57" s="313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06"/>
      <c r="D58" s="306"/>
      <c r="E58" s="308"/>
      <c r="F58" s="488"/>
      <c r="G58" s="489"/>
      <c r="H58" s="489"/>
      <c r="I58" s="489"/>
      <c r="J58" s="489"/>
      <c r="K58" s="489"/>
      <c r="L58" s="489"/>
      <c r="M58" s="490"/>
      <c r="N58" s="307"/>
      <c r="O58" s="313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06"/>
      <c r="D59" s="306"/>
      <c r="E59" s="308"/>
      <c r="F59" s="488"/>
      <c r="G59" s="489"/>
      <c r="H59" s="489"/>
      <c r="I59" s="489"/>
      <c r="J59" s="489"/>
      <c r="K59" s="489"/>
      <c r="L59" s="489"/>
      <c r="M59" s="490"/>
      <c r="N59" s="307"/>
      <c r="O59" s="313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308"/>
      <c r="D60" s="308"/>
      <c r="E60" s="308"/>
      <c r="F60" s="488"/>
      <c r="G60" s="489"/>
      <c r="H60" s="489"/>
      <c r="I60" s="489"/>
      <c r="J60" s="489"/>
      <c r="K60" s="489"/>
      <c r="L60" s="489"/>
      <c r="M60" s="490"/>
      <c r="N60" s="307"/>
      <c r="O60" s="313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309"/>
      <c r="D61" s="310"/>
      <c r="E61" s="310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389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311" t="s">
        <v>2</v>
      </c>
      <c r="D63" s="311" t="s">
        <v>37</v>
      </c>
      <c r="E63" s="311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311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315"/>
      <c r="E64" s="312" t="s">
        <v>160</v>
      </c>
      <c r="F64" s="473" t="s">
        <v>375</v>
      </c>
      <c r="G64" s="474"/>
      <c r="H64" s="474"/>
      <c r="I64" s="474"/>
      <c r="J64" s="475"/>
      <c r="K64" s="461" t="s">
        <v>161</v>
      </c>
      <c r="L64" s="461"/>
      <c r="M64" s="51" t="s">
        <v>377</v>
      </c>
      <c r="N64" s="470" t="s">
        <v>147</v>
      </c>
      <c r="O64" s="470"/>
      <c r="P64" s="471">
        <v>200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 t="s">
        <v>112</v>
      </c>
      <c r="D65" s="315"/>
      <c r="E65" s="312" t="s">
        <v>115</v>
      </c>
      <c r="F65" s="473" t="s">
        <v>270</v>
      </c>
      <c r="G65" s="474"/>
      <c r="H65" s="474"/>
      <c r="I65" s="474"/>
      <c r="J65" s="475"/>
      <c r="K65" s="461" t="s">
        <v>347</v>
      </c>
      <c r="L65" s="461"/>
      <c r="M65" s="51" t="s">
        <v>133</v>
      </c>
      <c r="N65" s="470" t="s">
        <v>149</v>
      </c>
      <c r="O65" s="470"/>
      <c r="P65" s="471">
        <v>30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315"/>
      <c r="E66" s="312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315"/>
      <c r="E67" s="312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15"/>
      <c r="E68" s="312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15"/>
      <c r="E69" s="312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15"/>
      <c r="E70" s="312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15"/>
      <c r="E71" s="312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15"/>
      <c r="E72" s="312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15"/>
      <c r="E73" s="312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390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14" t="s">
        <v>2</v>
      </c>
      <c r="D75" s="314" t="s">
        <v>37</v>
      </c>
      <c r="E75" s="314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16" t="s">
        <v>112</v>
      </c>
      <c r="D76" s="316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15"/>
      <c r="D77" s="315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9">A77+1</f>
        <v>3</v>
      </c>
      <c r="B78" s="429"/>
      <c r="C78" s="315"/>
      <c r="D78" s="315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9"/>
        <v>4</v>
      </c>
      <c r="B79" s="429"/>
      <c r="C79" s="315"/>
      <c r="D79" s="315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9"/>
        <v>5</v>
      </c>
      <c r="B80" s="429"/>
      <c r="C80" s="315"/>
      <c r="D80" s="315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9"/>
        <v>6</v>
      </c>
      <c r="B81" s="429"/>
      <c r="C81" s="315"/>
      <c r="D81" s="315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9"/>
        <v>7</v>
      </c>
      <c r="B82" s="429"/>
      <c r="C82" s="315"/>
      <c r="D82" s="315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391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579C-A436-46B0-BDF9-593C316E8364}">
  <dimension ref="A1:AF87"/>
  <sheetViews>
    <sheetView view="pageBreakPreview" zoomScale="70" zoomScaleNormal="72" zoomScaleSheetLayoutView="70" workbookViewId="0">
      <selection activeCell="G107" sqref="G10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392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29" t="s">
        <v>17</v>
      </c>
      <c r="L5" s="329" t="s">
        <v>18</v>
      </c>
      <c r="M5" s="329" t="s">
        <v>19</v>
      </c>
      <c r="N5" s="32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0.42708333333333331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2506</v>
      </c>
      <c r="K7" s="15">
        <f>L7</f>
        <v>2506</v>
      </c>
      <c r="L7" s="15">
        <f>2506</f>
        <v>2506</v>
      </c>
      <c r="M7" s="15">
        <f t="shared" si="0"/>
        <v>2506</v>
      </c>
      <c r="N7" s="15">
        <v>0</v>
      </c>
      <c r="O7" s="58">
        <f t="shared" si="1"/>
        <v>0</v>
      </c>
      <c r="P7" s="39">
        <f t="shared" si="2"/>
        <v>14</v>
      </c>
      <c r="Q7" s="40">
        <f t="shared" si="3"/>
        <v>10</v>
      </c>
      <c r="R7" s="7"/>
      <c r="S7" s="6"/>
      <c r="T7" s="16"/>
      <c r="U7" s="16"/>
      <c r="V7" s="17"/>
      <c r="W7" s="5"/>
      <c r="X7" s="16"/>
      <c r="Y7" s="16"/>
      <c r="Z7" s="16"/>
      <c r="AA7" s="18">
        <v>10</v>
      </c>
      <c r="AB7" s="8">
        <f t="shared" si="4"/>
        <v>1</v>
      </c>
      <c r="AC7" s="9">
        <f t="shared" si="5"/>
        <v>0.58333333333333337</v>
      </c>
      <c r="AD7" s="10">
        <f t="shared" si="6"/>
        <v>0.58333333333333337</v>
      </c>
      <c r="AE7" s="36">
        <f t="shared" si="7"/>
        <v>0.42708333333333331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0.42708333333333331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131</v>
      </c>
      <c r="E9" s="53" t="s">
        <v>342</v>
      </c>
      <c r="F9" s="30" t="s">
        <v>239</v>
      </c>
      <c r="G9" s="33">
        <v>1</v>
      </c>
      <c r="H9" s="35">
        <v>24</v>
      </c>
      <c r="I9" s="7">
        <v>17000</v>
      </c>
      <c r="J9" s="5">
        <v>4494</v>
      </c>
      <c r="K9" s="15">
        <f>L9+4258+3309+3260</f>
        <v>15321</v>
      </c>
      <c r="L9" s="15">
        <f>2472+2022</f>
        <v>4494</v>
      </c>
      <c r="M9" s="15">
        <f t="shared" si="0"/>
        <v>4494</v>
      </c>
      <c r="N9" s="15">
        <v>0</v>
      </c>
      <c r="O9" s="58">
        <f t="shared" si="1"/>
        <v>0</v>
      </c>
      <c r="P9" s="39">
        <f t="shared" si="2"/>
        <v>21</v>
      </c>
      <c r="Q9" s="40">
        <f t="shared" si="3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0.875</v>
      </c>
      <c r="AD9" s="10">
        <f>AC9*AB9*(1-O9)</f>
        <v>0.875</v>
      </c>
      <c r="AE9" s="36">
        <f t="shared" si="7"/>
        <v>0.42708333333333331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119</v>
      </c>
      <c r="D10" s="52" t="s">
        <v>138</v>
      </c>
      <c r="E10" s="53" t="s">
        <v>387</v>
      </c>
      <c r="F10" s="30" t="s">
        <v>325</v>
      </c>
      <c r="G10" s="33">
        <v>1</v>
      </c>
      <c r="H10" s="35">
        <v>24</v>
      </c>
      <c r="I10" s="7">
        <v>1000</v>
      </c>
      <c r="J10" s="5">
        <v>2571</v>
      </c>
      <c r="K10" s="15">
        <f>L10</f>
        <v>2571</v>
      </c>
      <c r="L10" s="15">
        <f>1901+670</f>
        <v>2571</v>
      </c>
      <c r="M10" s="15">
        <f t="shared" si="0"/>
        <v>2571</v>
      </c>
      <c r="N10" s="15">
        <v>0</v>
      </c>
      <c r="O10" s="58">
        <f t="shared" si="1"/>
        <v>0</v>
      </c>
      <c r="P10" s="39">
        <f t="shared" si="2"/>
        <v>17</v>
      </c>
      <c r="Q10" s="40">
        <f t="shared" si="3"/>
        <v>7</v>
      </c>
      <c r="R10" s="7"/>
      <c r="S10" s="6"/>
      <c r="T10" s="16">
        <v>7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0.70833333333333337</v>
      </c>
      <c r="AD10" s="10">
        <f>AC10*AB10*(1-O10)</f>
        <v>0.70833333333333337</v>
      </c>
      <c r="AE10" s="36">
        <f t="shared" si="7"/>
        <v>0.42708333333333331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25248</v>
      </c>
      <c r="K11" s="15">
        <f>L11</f>
        <v>25248</v>
      </c>
      <c r="L11" s="15">
        <f>3039*4+3273*4</f>
        <v>25248</v>
      </c>
      <c r="M11" s="15">
        <f t="shared" si="0"/>
        <v>25248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9">AC11*AB11*(1-O11)</f>
        <v>1</v>
      </c>
      <c r="AE11" s="36">
        <f t="shared" si="7"/>
        <v>0.42708333333333331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L12+900+1698+5633+5697+5159+5608+3801</f>
        <v>28496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9"/>
        <v>0</v>
      </c>
      <c r="AE12" s="36">
        <f t="shared" si="7"/>
        <v>0.42708333333333331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3790</v>
      </c>
      <c r="K13" s="15">
        <f>L13+5352+5939+5686+5401+1584</f>
        <v>27752</v>
      </c>
      <c r="L13" s="15">
        <f>1228+2562</f>
        <v>3790</v>
      </c>
      <c r="M13" s="15">
        <f t="shared" si="0"/>
        <v>3790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/>
      <c r="T13" s="16"/>
      <c r="U13" s="16"/>
      <c r="V13" s="17">
        <v>4</v>
      </c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>AC13*AB13*(1-O13)</f>
        <v>0.83333333333333337</v>
      </c>
      <c r="AE13" s="36">
        <f t="shared" si="7"/>
        <v>0.42708333333333331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</f>
        <v>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0.42708333333333331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364</v>
      </c>
      <c r="E15" s="53" t="s">
        <v>365</v>
      </c>
      <c r="F15" s="12" t="s">
        <v>366</v>
      </c>
      <c r="G15" s="12">
        <v>3</v>
      </c>
      <c r="H15" s="13">
        <v>24</v>
      </c>
      <c r="I15" s="31">
        <v>40000</v>
      </c>
      <c r="J15" s="14">
        <v>18261</v>
      </c>
      <c r="K15" s="15">
        <f>L15+9150+17829</f>
        <v>45240</v>
      </c>
      <c r="L15" s="15">
        <f>2927*3+3160*3</f>
        <v>18261</v>
      </c>
      <c r="M15" s="15">
        <f t="shared" si="0"/>
        <v>18261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0.42708333333333331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0.42708333333333331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0.42708333333333331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0.42708333333333331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388</v>
      </c>
      <c r="F19" s="30" t="s">
        <v>129</v>
      </c>
      <c r="G19" s="33">
        <v>1</v>
      </c>
      <c r="H19" s="35">
        <v>24</v>
      </c>
      <c r="I19" s="7">
        <v>1000</v>
      </c>
      <c r="J19" s="14">
        <v>2447</v>
      </c>
      <c r="K19" s="15">
        <f>L19</f>
        <v>2447</v>
      </c>
      <c r="L19" s="15">
        <f>1806+641</f>
        <v>2447</v>
      </c>
      <c r="M19" s="15">
        <f t="shared" si="0"/>
        <v>2447</v>
      </c>
      <c r="N19" s="15">
        <v>0</v>
      </c>
      <c r="O19" s="58">
        <f t="shared" si="1"/>
        <v>0</v>
      </c>
      <c r="P19" s="39">
        <f t="shared" si="2"/>
        <v>17</v>
      </c>
      <c r="Q19" s="40">
        <f t="shared" si="3"/>
        <v>7</v>
      </c>
      <c r="R19" s="7"/>
      <c r="S19" s="6"/>
      <c r="T19" s="16">
        <v>7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0.70833333333333337</v>
      </c>
      <c r="AD19" s="10">
        <f t="shared" si="6"/>
        <v>0.70833333333333337</v>
      </c>
      <c r="AE19" s="36">
        <f t="shared" si="7"/>
        <v>0.42708333333333331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119</v>
      </c>
      <c r="D20" s="52" t="s">
        <v>115</v>
      </c>
      <c r="E20" s="53" t="s">
        <v>343</v>
      </c>
      <c r="F20" s="30" t="s">
        <v>129</v>
      </c>
      <c r="G20" s="12">
        <v>1</v>
      </c>
      <c r="H20" s="13">
        <v>28</v>
      </c>
      <c r="I20" s="31">
        <v>17000</v>
      </c>
      <c r="J20" s="5">
        <v>3345</v>
      </c>
      <c r="K20" s="15">
        <f>L20+2558+557+4094</f>
        <v>10554</v>
      </c>
      <c r="L20" s="15">
        <f>2704+641</f>
        <v>3345</v>
      </c>
      <c r="M20" s="15">
        <f t="shared" si="0"/>
        <v>3345</v>
      </c>
      <c r="N20" s="15">
        <v>0</v>
      </c>
      <c r="O20" s="58">
        <f t="shared" si="1"/>
        <v>0</v>
      </c>
      <c r="P20" s="39">
        <f t="shared" si="2"/>
        <v>17</v>
      </c>
      <c r="Q20" s="40">
        <f t="shared" si="3"/>
        <v>7</v>
      </c>
      <c r="R20" s="7"/>
      <c r="S20" s="6">
        <v>7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0.70833333333333337</v>
      </c>
      <c r="AD20" s="10">
        <f t="shared" si="6"/>
        <v>0.70833333333333337</v>
      </c>
      <c r="AE20" s="36">
        <f t="shared" si="7"/>
        <v>0.42708333333333331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27788</v>
      </c>
      <c r="K21" s="15">
        <f>L21+28876+33668+30304+72816+70472</f>
        <v>263924</v>
      </c>
      <c r="L21" s="15">
        <f>6947*4</f>
        <v>27788</v>
      </c>
      <c r="M21" s="15">
        <f t="shared" si="0"/>
        <v>27788</v>
      </c>
      <c r="N21" s="15">
        <v>0</v>
      </c>
      <c r="O21" s="58">
        <f t="shared" si="1"/>
        <v>0</v>
      </c>
      <c r="P21" s="39">
        <f t="shared" si="2"/>
        <v>10</v>
      </c>
      <c r="Q21" s="40">
        <f t="shared" si="3"/>
        <v>14</v>
      </c>
      <c r="R21" s="7"/>
      <c r="S21" s="6">
        <v>14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0.41666666666666669</v>
      </c>
      <c r="AD21" s="10">
        <f t="shared" si="6"/>
        <v>0.41666666666666669</v>
      </c>
      <c r="AE21" s="36">
        <f t="shared" si="7"/>
        <v>0.42708333333333331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1309800</v>
      </c>
      <c r="J22" s="19">
        <f t="shared" si="10"/>
        <v>112827</v>
      </c>
      <c r="K22" s="20">
        <f t="shared" si="10"/>
        <v>851087</v>
      </c>
      <c r="L22" s="21">
        <f t="shared" si="10"/>
        <v>90450</v>
      </c>
      <c r="M22" s="20">
        <f t="shared" si="10"/>
        <v>90450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164</v>
      </c>
      <c r="Q22" s="43">
        <f t="shared" si="11"/>
        <v>220</v>
      </c>
      <c r="R22" s="23">
        <f t="shared" si="11"/>
        <v>24</v>
      </c>
      <c r="S22" s="24">
        <f t="shared" si="11"/>
        <v>96</v>
      </c>
      <c r="T22" s="24">
        <f t="shared" si="11"/>
        <v>14</v>
      </c>
      <c r="U22" s="24">
        <f t="shared" si="11"/>
        <v>0</v>
      </c>
      <c r="V22" s="25">
        <f t="shared" si="11"/>
        <v>4</v>
      </c>
      <c r="W22" s="26">
        <f t="shared" si="11"/>
        <v>48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34</v>
      </c>
      <c r="AB22" s="28">
        <f>AVERAGE(AB6:AB21)</f>
        <v>0.5625</v>
      </c>
      <c r="AC22" s="4">
        <f>AVERAGE(AC6:AC21)</f>
        <v>0.42708333333333331</v>
      </c>
      <c r="AD22" s="4">
        <f>AVERAGE(AD6:AD21)</f>
        <v>0.42708333333333331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394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397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28" t="s">
        <v>46</v>
      </c>
      <c r="D51" s="328" t="s">
        <v>47</v>
      </c>
      <c r="E51" s="328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28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327" t="s">
        <v>208</v>
      </c>
      <c r="D52" s="327" t="s">
        <v>131</v>
      </c>
      <c r="E52" s="324" t="s">
        <v>342</v>
      </c>
      <c r="F52" s="488" t="s">
        <v>384</v>
      </c>
      <c r="G52" s="489"/>
      <c r="H52" s="489"/>
      <c r="I52" s="489"/>
      <c r="J52" s="489"/>
      <c r="K52" s="489"/>
      <c r="L52" s="489"/>
      <c r="M52" s="490"/>
      <c r="N52" s="323" t="s">
        <v>122</v>
      </c>
      <c r="O52" s="321" t="s">
        <v>196</v>
      </c>
      <c r="P52" s="502" t="s">
        <v>115</v>
      </c>
      <c r="Q52" s="503"/>
      <c r="R52" s="502" t="s">
        <v>302</v>
      </c>
      <c r="S52" s="504"/>
      <c r="T52" s="504"/>
      <c r="U52" s="503"/>
      <c r="V52" s="472" t="s">
        <v>398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324" t="s">
        <v>226</v>
      </c>
      <c r="D53" s="324" t="s">
        <v>115</v>
      </c>
      <c r="E53" s="324" t="s">
        <v>343</v>
      </c>
      <c r="F53" s="488" t="s">
        <v>395</v>
      </c>
      <c r="G53" s="489"/>
      <c r="H53" s="489"/>
      <c r="I53" s="489"/>
      <c r="J53" s="489"/>
      <c r="K53" s="489"/>
      <c r="L53" s="489"/>
      <c r="M53" s="490"/>
      <c r="N53" s="323" t="s">
        <v>119</v>
      </c>
      <c r="O53" s="321" t="s">
        <v>205</v>
      </c>
      <c r="P53" s="502" t="s">
        <v>138</v>
      </c>
      <c r="Q53" s="503"/>
      <c r="R53" s="502" t="s">
        <v>399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119</v>
      </c>
      <c r="B54" s="487"/>
      <c r="C54" s="324" t="s">
        <v>205</v>
      </c>
      <c r="D54" s="324" t="s">
        <v>138</v>
      </c>
      <c r="E54" s="324" t="s">
        <v>387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323" t="s">
        <v>112</v>
      </c>
      <c r="O54" s="321" t="s">
        <v>151</v>
      </c>
      <c r="P54" s="502" t="s">
        <v>115</v>
      </c>
      <c r="Q54" s="503"/>
      <c r="R54" s="502" t="s">
        <v>393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112</v>
      </c>
      <c r="B55" s="487"/>
      <c r="C55" s="324" t="s">
        <v>151</v>
      </c>
      <c r="D55" s="324" t="s">
        <v>115</v>
      </c>
      <c r="E55" s="324" t="s">
        <v>393</v>
      </c>
      <c r="F55" s="488" t="s">
        <v>352</v>
      </c>
      <c r="G55" s="489"/>
      <c r="H55" s="489"/>
      <c r="I55" s="489"/>
      <c r="J55" s="489"/>
      <c r="K55" s="489"/>
      <c r="L55" s="489"/>
      <c r="M55" s="490"/>
      <c r="N55" s="323"/>
      <c r="O55" s="321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119</v>
      </c>
      <c r="B56" s="487"/>
      <c r="C56" s="324" t="s">
        <v>182</v>
      </c>
      <c r="D56" s="327" t="s">
        <v>115</v>
      </c>
      <c r="E56" s="324" t="s">
        <v>388</v>
      </c>
      <c r="F56" s="488" t="s">
        <v>148</v>
      </c>
      <c r="G56" s="489"/>
      <c r="H56" s="489"/>
      <c r="I56" s="489"/>
      <c r="J56" s="489"/>
      <c r="K56" s="489"/>
      <c r="L56" s="489"/>
      <c r="M56" s="490"/>
      <c r="N56" s="323"/>
      <c r="O56" s="321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120</v>
      </c>
      <c r="B57" s="501"/>
      <c r="C57" s="327" t="s">
        <v>147</v>
      </c>
      <c r="D57" s="327" t="s">
        <v>160</v>
      </c>
      <c r="E57" s="324" t="s">
        <v>248</v>
      </c>
      <c r="F57" s="488" t="s">
        <v>396</v>
      </c>
      <c r="G57" s="489"/>
      <c r="H57" s="489"/>
      <c r="I57" s="489"/>
      <c r="J57" s="489"/>
      <c r="K57" s="489"/>
      <c r="L57" s="489"/>
      <c r="M57" s="490"/>
      <c r="N57" s="323"/>
      <c r="O57" s="321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27"/>
      <c r="D58" s="327"/>
      <c r="E58" s="324"/>
      <c r="F58" s="488"/>
      <c r="G58" s="489"/>
      <c r="H58" s="489"/>
      <c r="I58" s="489"/>
      <c r="J58" s="489"/>
      <c r="K58" s="489"/>
      <c r="L58" s="489"/>
      <c r="M58" s="490"/>
      <c r="N58" s="323"/>
      <c r="O58" s="321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27"/>
      <c r="D59" s="327"/>
      <c r="E59" s="324"/>
      <c r="F59" s="488"/>
      <c r="G59" s="489"/>
      <c r="H59" s="489"/>
      <c r="I59" s="489"/>
      <c r="J59" s="489"/>
      <c r="K59" s="489"/>
      <c r="L59" s="489"/>
      <c r="M59" s="490"/>
      <c r="N59" s="323"/>
      <c r="O59" s="321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324"/>
      <c r="D60" s="324"/>
      <c r="E60" s="324"/>
      <c r="F60" s="488"/>
      <c r="G60" s="489"/>
      <c r="H60" s="489"/>
      <c r="I60" s="489"/>
      <c r="J60" s="489"/>
      <c r="K60" s="489"/>
      <c r="L60" s="489"/>
      <c r="M60" s="490"/>
      <c r="N60" s="323"/>
      <c r="O60" s="321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325"/>
      <c r="D61" s="326"/>
      <c r="E61" s="326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400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322" t="s">
        <v>2</v>
      </c>
      <c r="D63" s="322" t="s">
        <v>37</v>
      </c>
      <c r="E63" s="322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322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317"/>
      <c r="E64" s="320" t="s">
        <v>160</v>
      </c>
      <c r="F64" s="473" t="s">
        <v>248</v>
      </c>
      <c r="G64" s="474"/>
      <c r="H64" s="474"/>
      <c r="I64" s="474"/>
      <c r="J64" s="475"/>
      <c r="K64" s="461" t="s">
        <v>169</v>
      </c>
      <c r="L64" s="461"/>
      <c r="M64" s="51" t="s">
        <v>133</v>
      </c>
      <c r="N64" s="470" t="s">
        <v>147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/>
      <c r="D65" s="317"/>
      <c r="E65" s="320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317"/>
      <c r="E66" s="320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317"/>
      <c r="E67" s="320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17"/>
      <c r="E68" s="320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17"/>
      <c r="E69" s="320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17"/>
      <c r="E70" s="320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17"/>
      <c r="E71" s="320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17"/>
      <c r="E72" s="320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17"/>
      <c r="E73" s="320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401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19" t="s">
        <v>2</v>
      </c>
      <c r="D75" s="319" t="s">
        <v>37</v>
      </c>
      <c r="E75" s="319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18" t="s">
        <v>112</v>
      </c>
      <c r="D76" s="318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17"/>
      <c r="D77" s="317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317"/>
      <c r="D78" s="317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317"/>
      <c r="D79" s="317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317"/>
      <c r="D80" s="317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317"/>
      <c r="D81" s="317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317"/>
      <c r="D82" s="317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402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EBED-A057-47BB-9937-61B983BD819E}">
  <dimension ref="A1:AF87"/>
  <sheetViews>
    <sheetView view="pageBreakPreview" zoomScale="70" zoomScaleNormal="72" zoomScaleSheetLayoutView="70" workbookViewId="0">
      <selection activeCell="F80" sqref="F80:J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403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30" t="s">
        <v>17</v>
      </c>
      <c r="L5" s="330" t="s">
        <v>18</v>
      </c>
      <c r="M5" s="330" t="s">
        <v>19</v>
      </c>
      <c r="N5" s="33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0.35677083333333331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3518</v>
      </c>
      <c r="K7" s="15">
        <f>L7+2506</f>
        <v>6024</v>
      </c>
      <c r="L7" s="15">
        <f>3184+334</f>
        <v>3518</v>
      </c>
      <c r="M7" s="15">
        <f t="shared" si="0"/>
        <v>3518</v>
      </c>
      <c r="N7" s="15">
        <v>0</v>
      </c>
      <c r="O7" s="58">
        <f t="shared" si="1"/>
        <v>0</v>
      </c>
      <c r="P7" s="39">
        <f t="shared" si="2"/>
        <v>17</v>
      </c>
      <c r="Q7" s="40">
        <f t="shared" si="3"/>
        <v>7</v>
      </c>
      <c r="R7" s="7"/>
      <c r="S7" s="6">
        <v>7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0.70833333333333337</v>
      </c>
      <c r="AD7" s="10">
        <f t="shared" si="6"/>
        <v>0.70833333333333337</v>
      </c>
      <c r="AE7" s="36">
        <f t="shared" si="7"/>
        <v>0.35677083333333331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0.35677083333333331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131</v>
      </c>
      <c r="E9" s="53" t="s">
        <v>342</v>
      </c>
      <c r="F9" s="30" t="s">
        <v>239</v>
      </c>
      <c r="G9" s="33">
        <v>1</v>
      </c>
      <c r="H9" s="35">
        <v>24</v>
      </c>
      <c r="I9" s="7">
        <v>17000</v>
      </c>
      <c r="J9" s="5">
        <v>1745</v>
      </c>
      <c r="K9" s="15">
        <f>L9+4258+3309+3260+4494</f>
        <v>17066</v>
      </c>
      <c r="L9" s="15">
        <f>1410+335</f>
        <v>1745</v>
      </c>
      <c r="M9" s="15">
        <f t="shared" si="0"/>
        <v>1745</v>
      </c>
      <c r="N9" s="15">
        <v>0</v>
      </c>
      <c r="O9" s="58">
        <f t="shared" si="1"/>
        <v>0</v>
      </c>
      <c r="P9" s="39">
        <f t="shared" si="2"/>
        <v>10</v>
      </c>
      <c r="Q9" s="40">
        <f t="shared" si="3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0.41666666666666669</v>
      </c>
      <c r="AD9" s="10">
        <f>AC9*AB9*(1-O9)</f>
        <v>0.41666666666666669</v>
      </c>
      <c r="AE9" s="36">
        <f t="shared" si="7"/>
        <v>0.35677083333333331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119</v>
      </c>
      <c r="D10" s="52" t="s">
        <v>138</v>
      </c>
      <c r="E10" s="53" t="s">
        <v>399</v>
      </c>
      <c r="F10" s="30" t="s">
        <v>325</v>
      </c>
      <c r="G10" s="33">
        <v>1</v>
      </c>
      <c r="H10" s="35">
        <v>24</v>
      </c>
      <c r="I10" s="7">
        <v>3000</v>
      </c>
      <c r="J10" s="5">
        <v>3158</v>
      </c>
      <c r="K10" s="15">
        <f>L10</f>
        <v>3158</v>
      </c>
      <c r="L10" s="15">
        <f>485+2673</f>
        <v>3158</v>
      </c>
      <c r="M10" s="15">
        <f t="shared" si="0"/>
        <v>3158</v>
      </c>
      <c r="N10" s="15">
        <v>0</v>
      </c>
      <c r="O10" s="58">
        <f t="shared" si="1"/>
        <v>0</v>
      </c>
      <c r="P10" s="39">
        <f t="shared" si="2"/>
        <v>17</v>
      </c>
      <c r="Q10" s="40">
        <f t="shared" si="3"/>
        <v>7</v>
      </c>
      <c r="R10" s="7"/>
      <c r="S10" s="6">
        <v>7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0.70833333333333337</v>
      </c>
      <c r="AD10" s="10">
        <f>AC10*AB10*(1-O10)</f>
        <v>0.70833333333333337</v>
      </c>
      <c r="AE10" s="36">
        <f t="shared" si="7"/>
        <v>0.35677083333333331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</f>
        <v>39471</v>
      </c>
      <c r="L11" s="15">
        <f>2087*3+2654*3</f>
        <v>14223</v>
      </c>
      <c r="M11" s="15">
        <f t="shared" si="0"/>
        <v>14223</v>
      </c>
      <c r="N11" s="15">
        <v>0</v>
      </c>
      <c r="O11" s="58">
        <f t="shared" si="1"/>
        <v>0</v>
      </c>
      <c r="P11" s="39">
        <f t="shared" si="2"/>
        <v>22</v>
      </c>
      <c r="Q11" s="40">
        <f t="shared" si="3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0.91666666666666663</v>
      </c>
      <c r="AD11" s="10">
        <f t="shared" ref="AD11:AD14" si="9">AC11*AB11*(1-O11)</f>
        <v>0.91666666666666663</v>
      </c>
      <c r="AE11" s="36">
        <f t="shared" si="7"/>
        <v>0.35677083333333331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L12+900+1698+5633+5697+5159+5608+3801</f>
        <v>28496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9"/>
        <v>0</v>
      </c>
      <c r="AE12" s="36">
        <f t="shared" si="7"/>
        <v>0.35677083333333331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3671</v>
      </c>
      <c r="K13" s="15">
        <f>L13+5352+5939+5686+5401+1584+3790</f>
        <v>31423</v>
      </c>
      <c r="L13" s="15">
        <f>1113+2558</f>
        <v>3671</v>
      </c>
      <c r="M13" s="15">
        <f t="shared" si="0"/>
        <v>3671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/>
      <c r="T13" s="16"/>
      <c r="U13" s="16"/>
      <c r="V13" s="17">
        <v>4</v>
      </c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>AC13*AB13*(1-O13)</f>
        <v>0.83333333333333337</v>
      </c>
      <c r="AE13" s="36">
        <f t="shared" si="7"/>
        <v>0.35677083333333331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</f>
        <v>112</v>
      </c>
      <c r="L14" s="15">
        <v>112</v>
      </c>
      <c r="M14" s="15">
        <f t="shared" si="0"/>
        <v>112</v>
      </c>
      <c r="N14" s="15">
        <v>0</v>
      </c>
      <c r="O14" s="58">
        <f t="shared" si="1"/>
        <v>0</v>
      </c>
      <c r="P14" s="39">
        <f t="shared" si="2"/>
        <v>3</v>
      </c>
      <c r="Q14" s="40">
        <f t="shared" si="3"/>
        <v>21</v>
      </c>
      <c r="R14" s="7"/>
      <c r="S14" s="6">
        <v>21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0.125</v>
      </c>
      <c r="AD14" s="10">
        <f t="shared" si="9"/>
        <v>0.125</v>
      </c>
      <c r="AE14" s="36">
        <f t="shared" si="7"/>
        <v>0.35677083333333331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364</v>
      </c>
      <c r="E15" s="53" t="s">
        <v>365</v>
      </c>
      <c r="F15" s="12" t="s">
        <v>366</v>
      </c>
      <c r="G15" s="12">
        <v>3</v>
      </c>
      <c r="H15" s="13">
        <v>24</v>
      </c>
      <c r="I15" s="31">
        <v>40000</v>
      </c>
      <c r="J15" s="14">
        <v>6600</v>
      </c>
      <c r="K15" s="15">
        <f>L15+9150+17829+18261</f>
        <v>51840</v>
      </c>
      <c r="L15" s="15">
        <f>2200*3</f>
        <v>6600</v>
      </c>
      <c r="M15" s="15">
        <f t="shared" si="0"/>
        <v>6600</v>
      </c>
      <c r="N15" s="15">
        <v>0</v>
      </c>
      <c r="O15" s="58">
        <f t="shared" si="1"/>
        <v>0</v>
      </c>
      <c r="P15" s="39">
        <f t="shared" si="2"/>
        <v>10</v>
      </c>
      <c r="Q15" s="40">
        <f t="shared" si="3"/>
        <v>14</v>
      </c>
      <c r="R15" s="7"/>
      <c r="S15" s="6"/>
      <c r="T15" s="16"/>
      <c r="U15" s="16"/>
      <c r="V15" s="17"/>
      <c r="W15" s="5">
        <v>14</v>
      </c>
      <c r="X15" s="16"/>
      <c r="Y15" s="16"/>
      <c r="Z15" s="16"/>
      <c r="AA15" s="18"/>
      <c r="AB15" s="8">
        <f t="shared" si="4"/>
        <v>1</v>
      </c>
      <c r="AC15" s="9">
        <f t="shared" si="5"/>
        <v>0.41666666666666669</v>
      </c>
      <c r="AD15" s="10">
        <f t="shared" si="6"/>
        <v>0.41666666666666669</v>
      </c>
      <c r="AE15" s="36">
        <f t="shared" si="7"/>
        <v>0.35677083333333331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0.35677083333333331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0.35677083333333331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0.35677083333333331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162</v>
      </c>
      <c r="D19" s="52" t="s">
        <v>354</v>
      </c>
      <c r="E19" s="53" t="s">
        <v>355</v>
      </c>
      <c r="F19" s="30" t="s">
        <v>367</v>
      </c>
      <c r="G19" s="33">
        <v>1</v>
      </c>
      <c r="H19" s="35">
        <v>24</v>
      </c>
      <c r="I19" s="7">
        <v>1000</v>
      </c>
      <c r="J19" s="14">
        <v>2329</v>
      </c>
      <c r="K19" s="15">
        <f>L19</f>
        <v>2329</v>
      </c>
      <c r="L19" s="15">
        <f>2329</f>
        <v>2329</v>
      </c>
      <c r="M19" s="15">
        <f t="shared" si="0"/>
        <v>2329</v>
      </c>
      <c r="N19" s="15">
        <v>0</v>
      </c>
      <c r="O19" s="58">
        <f t="shared" si="1"/>
        <v>0</v>
      </c>
      <c r="P19" s="39">
        <f t="shared" si="2"/>
        <v>14</v>
      </c>
      <c r="Q19" s="40">
        <f t="shared" si="3"/>
        <v>10</v>
      </c>
      <c r="R19" s="7"/>
      <c r="S19" s="6">
        <v>10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0.58333333333333337</v>
      </c>
      <c r="AD19" s="10">
        <f t="shared" si="6"/>
        <v>0.58333333333333337</v>
      </c>
      <c r="AE19" s="36">
        <f t="shared" si="7"/>
        <v>0.35677083333333331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119</v>
      </c>
      <c r="D20" s="52" t="s">
        <v>115</v>
      </c>
      <c r="E20" s="53" t="s">
        <v>343</v>
      </c>
      <c r="F20" s="30" t="s">
        <v>129</v>
      </c>
      <c r="G20" s="12">
        <v>1</v>
      </c>
      <c r="H20" s="13">
        <v>28</v>
      </c>
      <c r="I20" s="31">
        <v>17000</v>
      </c>
      <c r="J20" s="5">
        <v>5194</v>
      </c>
      <c r="K20" s="15">
        <f>L20+2558+557+4094+3345</f>
        <v>15748</v>
      </c>
      <c r="L20" s="15">
        <f>2667+2527</f>
        <v>5194</v>
      </c>
      <c r="M20" s="15">
        <f t="shared" si="0"/>
        <v>5194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0.35677083333333331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27788</v>
      </c>
      <c r="K21" s="15">
        <f>L21+28876+33668+30304+72816+70472+27788</f>
        <v>263924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14</v>
      </c>
      <c r="R21" s="7"/>
      <c r="S21" s="6">
        <v>14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0.35677083333333331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1311800</v>
      </c>
      <c r="J22" s="19">
        <f t="shared" si="10"/>
        <v>90565</v>
      </c>
      <c r="K22" s="20">
        <f t="shared" si="10"/>
        <v>886619</v>
      </c>
      <c r="L22" s="21">
        <f t="shared" si="10"/>
        <v>40550</v>
      </c>
      <c r="M22" s="20">
        <f t="shared" si="10"/>
        <v>40550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137</v>
      </c>
      <c r="Q22" s="43">
        <f t="shared" si="11"/>
        <v>237</v>
      </c>
      <c r="R22" s="23">
        <f t="shared" si="11"/>
        <v>24</v>
      </c>
      <c r="S22" s="24">
        <f t="shared" si="11"/>
        <v>123</v>
      </c>
      <c r="T22" s="24">
        <f t="shared" si="11"/>
        <v>0</v>
      </c>
      <c r="U22" s="24">
        <f t="shared" si="11"/>
        <v>0</v>
      </c>
      <c r="V22" s="25">
        <f t="shared" si="11"/>
        <v>4</v>
      </c>
      <c r="W22" s="26">
        <f t="shared" si="11"/>
        <v>62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0.5625</v>
      </c>
      <c r="AC22" s="4">
        <f>AVERAGE(AC6:AC21)</f>
        <v>0.35677083333333331</v>
      </c>
      <c r="AD22" s="4">
        <f>AVERAGE(AD6:AD21)</f>
        <v>0.35677083333333331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404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407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31" t="s">
        <v>46</v>
      </c>
      <c r="D51" s="331" t="s">
        <v>47</v>
      </c>
      <c r="E51" s="331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31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332" t="s">
        <v>208</v>
      </c>
      <c r="D52" s="332" t="s">
        <v>131</v>
      </c>
      <c r="E52" s="334" t="s">
        <v>342</v>
      </c>
      <c r="F52" s="488" t="s">
        <v>369</v>
      </c>
      <c r="G52" s="489"/>
      <c r="H52" s="489"/>
      <c r="I52" s="489"/>
      <c r="J52" s="489"/>
      <c r="K52" s="489"/>
      <c r="L52" s="489"/>
      <c r="M52" s="490"/>
      <c r="N52" s="333" t="s">
        <v>120</v>
      </c>
      <c r="O52" s="339" t="s">
        <v>147</v>
      </c>
      <c r="P52" s="502" t="s">
        <v>160</v>
      </c>
      <c r="Q52" s="503"/>
      <c r="R52" s="502" t="s">
        <v>248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334" t="s">
        <v>205</v>
      </c>
      <c r="D53" s="334" t="s">
        <v>138</v>
      </c>
      <c r="E53" s="334" t="s">
        <v>399</v>
      </c>
      <c r="F53" s="488" t="s">
        <v>148</v>
      </c>
      <c r="G53" s="489"/>
      <c r="H53" s="489"/>
      <c r="I53" s="489"/>
      <c r="J53" s="489"/>
      <c r="K53" s="489"/>
      <c r="L53" s="489"/>
      <c r="M53" s="490"/>
      <c r="N53" s="333" t="s">
        <v>119</v>
      </c>
      <c r="O53" s="339" t="s">
        <v>150</v>
      </c>
      <c r="P53" s="502" t="s">
        <v>128</v>
      </c>
      <c r="Q53" s="503"/>
      <c r="R53" s="502" t="s">
        <v>358</v>
      </c>
      <c r="S53" s="504"/>
      <c r="T53" s="504"/>
      <c r="U53" s="503"/>
      <c r="V53" s="472" t="s">
        <v>314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120</v>
      </c>
      <c r="B54" s="501"/>
      <c r="C54" s="332" t="s">
        <v>147</v>
      </c>
      <c r="D54" s="332" t="s">
        <v>160</v>
      </c>
      <c r="E54" s="334" t="s">
        <v>248</v>
      </c>
      <c r="F54" s="488" t="s">
        <v>405</v>
      </c>
      <c r="G54" s="489"/>
      <c r="H54" s="489"/>
      <c r="I54" s="489"/>
      <c r="J54" s="489"/>
      <c r="K54" s="489"/>
      <c r="L54" s="489"/>
      <c r="M54" s="490"/>
      <c r="N54" s="333" t="s">
        <v>119</v>
      </c>
      <c r="O54" s="339" t="s">
        <v>409</v>
      </c>
      <c r="P54" s="502" t="s">
        <v>138</v>
      </c>
      <c r="Q54" s="503"/>
      <c r="R54" s="502" t="s">
        <v>408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112</v>
      </c>
      <c r="B55" s="487"/>
      <c r="C55" s="334" t="s">
        <v>151</v>
      </c>
      <c r="D55" s="334" t="s">
        <v>115</v>
      </c>
      <c r="E55" s="334" t="s">
        <v>393</v>
      </c>
      <c r="F55" s="488" t="s">
        <v>406</v>
      </c>
      <c r="G55" s="489"/>
      <c r="H55" s="489"/>
      <c r="I55" s="489"/>
      <c r="J55" s="489"/>
      <c r="K55" s="489"/>
      <c r="L55" s="489"/>
      <c r="M55" s="490"/>
      <c r="N55" s="333" t="s">
        <v>120</v>
      </c>
      <c r="O55" s="339" t="s">
        <v>226</v>
      </c>
      <c r="P55" s="502" t="s">
        <v>115</v>
      </c>
      <c r="Q55" s="503"/>
      <c r="R55" s="502" t="s">
        <v>199</v>
      </c>
      <c r="S55" s="504"/>
      <c r="T55" s="504"/>
      <c r="U55" s="503"/>
      <c r="V55" s="472" t="s">
        <v>148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162</v>
      </c>
      <c r="B56" s="487"/>
      <c r="C56" s="334" t="s">
        <v>182</v>
      </c>
      <c r="D56" s="332" t="s">
        <v>354</v>
      </c>
      <c r="E56" s="334" t="s">
        <v>355</v>
      </c>
      <c r="F56" s="488" t="s">
        <v>132</v>
      </c>
      <c r="G56" s="489"/>
      <c r="H56" s="489"/>
      <c r="I56" s="489"/>
      <c r="J56" s="489"/>
      <c r="K56" s="489"/>
      <c r="L56" s="489"/>
      <c r="M56" s="490"/>
      <c r="N56" s="333"/>
      <c r="O56" s="339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332"/>
      <c r="D57" s="332"/>
      <c r="E57" s="334"/>
      <c r="F57" s="488"/>
      <c r="G57" s="489"/>
      <c r="H57" s="489"/>
      <c r="I57" s="489"/>
      <c r="J57" s="489"/>
      <c r="K57" s="489"/>
      <c r="L57" s="489"/>
      <c r="M57" s="490"/>
      <c r="N57" s="333"/>
      <c r="O57" s="339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32"/>
      <c r="D58" s="332"/>
      <c r="E58" s="334"/>
      <c r="F58" s="488"/>
      <c r="G58" s="489"/>
      <c r="H58" s="489"/>
      <c r="I58" s="489"/>
      <c r="J58" s="489"/>
      <c r="K58" s="489"/>
      <c r="L58" s="489"/>
      <c r="M58" s="490"/>
      <c r="N58" s="333"/>
      <c r="O58" s="339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32"/>
      <c r="D59" s="332"/>
      <c r="E59" s="334"/>
      <c r="F59" s="488"/>
      <c r="G59" s="489"/>
      <c r="H59" s="489"/>
      <c r="I59" s="489"/>
      <c r="J59" s="489"/>
      <c r="K59" s="489"/>
      <c r="L59" s="489"/>
      <c r="M59" s="490"/>
      <c r="N59" s="333"/>
      <c r="O59" s="339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334"/>
      <c r="D60" s="334"/>
      <c r="E60" s="334"/>
      <c r="F60" s="488"/>
      <c r="G60" s="489"/>
      <c r="H60" s="489"/>
      <c r="I60" s="489"/>
      <c r="J60" s="489"/>
      <c r="K60" s="489"/>
      <c r="L60" s="489"/>
      <c r="M60" s="490"/>
      <c r="N60" s="333"/>
      <c r="O60" s="339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335"/>
      <c r="D61" s="336"/>
      <c r="E61" s="336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410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337" t="s">
        <v>2</v>
      </c>
      <c r="D63" s="337" t="s">
        <v>37</v>
      </c>
      <c r="E63" s="337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337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341"/>
      <c r="E64" s="338" t="s">
        <v>131</v>
      </c>
      <c r="F64" s="473" t="s">
        <v>174</v>
      </c>
      <c r="G64" s="474"/>
      <c r="H64" s="474"/>
      <c r="I64" s="474"/>
      <c r="J64" s="475"/>
      <c r="K64" s="461" t="s">
        <v>123</v>
      </c>
      <c r="L64" s="461"/>
      <c r="M64" s="51" t="s">
        <v>133</v>
      </c>
      <c r="N64" s="470" t="s">
        <v>141</v>
      </c>
      <c r="O64" s="470"/>
      <c r="P64" s="471">
        <v>100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 t="s">
        <v>120</v>
      </c>
      <c r="D65" s="341"/>
      <c r="E65" s="338" t="s">
        <v>131</v>
      </c>
      <c r="F65" s="473" t="s">
        <v>411</v>
      </c>
      <c r="G65" s="474"/>
      <c r="H65" s="474"/>
      <c r="I65" s="474"/>
      <c r="J65" s="475"/>
      <c r="K65" s="461" t="s">
        <v>123</v>
      </c>
      <c r="L65" s="461"/>
      <c r="M65" s="51" t="s">
        <v>133</v>
      </c>
      <c r="N65" s="470" t="s">
        <v>141</v>
      </c>
      <c r="O65" s="470"/>
      <c r="P65" s="471">
        <v>100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119</v>
      </c>
      <c r="D66" s="341"/>
      <c r="E66" s="338" t="s">
        <v>128</v>
      </c>
      <c r="F66" s="473" t="s">
        <v>319</v>
      </c>
      <c r="G66" s="474"/>
      <c r="H66" s="474"/>
      <c r="I66" s="474"/>
      <c r="J66" s="475"/>
      <c r="K66" s="461" t="s">
        <v>320</v>
      </c>
      <c r="L66" s="461"/>
      <c r="M66" s="51" t="s">
        <v>133</v>
      </c>
      <c r="N66" s="470" t="s">
        <v>202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341"/>
      <c r="E67" s="338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41"/>
      <c r="E68" s="338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41"/>
      <c r="E69" s="338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41"/>
      <c r="E70" s="338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41"/>
      <c r="E71" s="338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41"/>
      <c r="E72" s="338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41"/>
      <c r="E73" s="338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412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40" t="s">
        <v>2</v>
      </c>
      <c r="D75" s="340" t="s">
        <v>37</v>
      </c>
      <c r="E75" s="340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42" t="s">
        <v>112</v>
      </c>
      <c r="D76" s="342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41"/>
      <c r="D77" s="341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341"/>
      <c r="D78" s="341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341"/>
      <c r="D79" s="341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341"/>
      <c r="D80" s="341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341"/>
      <c r="D81" s="341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341"/>
      <c r="D82" s="341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413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25F4-A0F3-4CFE-B343-A22C829F69EB}">
  <dimension ref="A1:AF89"/>
  <sheetViews>
    <sheetView view="pageBreakPreview" zoomScale="70" zoomScaleNormal="72" zoomScaleSheetLayoutView="70" workbookViewId="0">
      <selection activeCell="A86" sqref="A86:B8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414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55" t="s">
        <v>17</v>
      </c>
      <c r="L5" s="355" t="s">
        <v>18</v>
      </c>
      <c r="M5" s="355" t="s">
        <v>19</v>
      </c>
      <c r="N5" s="35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415</v>
      </c>
      <c r="F6" s="12" t="s">
        <v>359</v>
      </c>
      <c r="G6" s="12">
        <v>1</v>
      </c>
      <c r="H6" s="13">
        <v>24</v>
      </c>
      <c r="I6" s="31">
        <v>850</v>
      </c>
      <c r="J6" s="14">
        <v>1354</v>
      </c>
      <c r="K6" s="15">
        <f>L6</f>
        <v>1354</v>
      </c>
      <c r="L6" s="15">
        <v>1354</v>
      </c>
      <c r="M6" s="15">
        <f t="shared" ref="M6:M23" si="0">L6-N6</f>
        <v>1354</v>
      </c>
      <c r="N6" s="15">
        <v>0</v>
      </c>
      <c r="O6" s="58">
        <f t="shared" ref="O6:O24" si="1">IF(L6=0,"0",N6/L6)</f>
        <v>0</v>
      </c>
      <c r="P6" s="39">
        <f t="shared" ref="P6:P23" si="2">IF(L6=0,"0",(24-Q6))</f>
        <v>8</v>
      </c>
      <c r="Q6" s="40">
        <f t="shared" ref="Q6:Q23" si="3">SUM(R6:AA6)</f>
        <v>16</v>
      </c>
      <c r="R6" s="7"/>
      <c r="S6" s="6"/>
      <c r="T6" s="16"/>
      <c r="U6" s="16"/>
      <c r="V6" s="17"/>
      <c r="W6" s="5">
        <v>16</v>
      </c>
      <c r="X6" s="16"/>
      <c r="Y6" s="16"/>
      <c r="Z6" s="16"/>
      <c r="AA6" s="18"/>
      <c r="AB6" s="8">
        <f t="shared" ref="AB6:AB23" si="4">IF(J6=0,"0",(L6/J6))</f>
        <v>1</v>
      </c>
      <c r="AC6" s="9">
        <f t="shared" ref="AC6:AC23" si="5">IF(P6=0,"0",(P6/24))</f>
        <v>0.33333333333333331</v>
      </c>
      <c r="AD6" s="10">
        <f t="shared" ref="AD6:AD23" si="6">AC6*AB6*(1-O6)</f>
        <v>0.33333333333333331</v>
      </c>
      <c r="AE6" s="36">
        <f t="shared" ref="AE6:AE23" si="7">$AD$24</f>
        <v>0.32870370370370372</v>
      </c>
      <c r="AF6" s="84">
        <f t="shared" ref="AF6:AF23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2903</v>
      </c>
      <c r="K7" s="15">
        <f>L7+2506+3518</f>
        <v>8927</v>
      </c>
      <c r="L7" s="15">
        <f>2903</f>
        <v>2903</v>
      </c>
      <c r="M7" s="15">
        <f t="shared" si="0"/>
        <v>2903</v>
      </c>
      <c r="N7" s="15">
        <v>0</v>
      </c>
      <c r="O7" s="58">
        <f t="shared" si="1"/>
        <v>0</v>
      </c>
      <c r="P7" s="39">
        <f t="shared" si="2"/>
        <v>14</v>
      </c>
      <c r="Q7" s="40">
        <f t="shared" si="3"/>
        <v>10</v>
      </c>
      <c r="R7" s="7"/>
      <c r="S7" s="6">
        <v>10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0.58333333333333337</v>
      </c>
      <c r="AD7" s="10">
        <f t="shared" si="6"/>
        <v>0.58333333333333337</v>
      </c>
      <c r="AE7" s="36">
        <f t="shared" si="7"/>
        <v>0.32870370370370372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9848</v>
      </c>
      <c r="K8" s="15">
        <f>L8</f>
        <v>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0.32870370370370372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231</v>
      </c>
      <c r="E9" s="53" t="s">
        <v>230</v>
      </c>
      <c r="F9" s="30" t="s">
        <v>140</v>
      </c>
      <c r="G9" s="33">
        <v>2</v>
      </c>
      <c r="H9" s="35">
        <v>24</v>
      </c>
      <c r="I9" s="7">
        <v>2000</v>
      </c>
      <c r="J9" s="5">
        <v>6124</v>
      </c>
      <c r="K9" s="15">
        <f>L9</f>
        <v>6124</v>
      </c>
      <c r="L9" s="15">
        <f>1705*2+1357*2</f>
        <v>6124</v>
      </c>
      <c r="M9" s="15">
        <f t="shared" si="0"/>
        <v>6124</v>
      </c>
      <c r="N9" s="15">
        <v>0</v>
      </c>
      <c r="O9" s="58">
        <f t="shared" si="1"/>
        <v>0</v>
      </c>
      <c r="P9" s="39">
        <f t="shared" si="2"/>
        <v>14</v>
      </c>
      <c r="Q9" s="40">
        <f t="shared" si="3"/>
        <v>10</v>
      </c>
      <c r="R9" s="7"/>
      <c r="S9" s="6"/>
      <c r="T9" s="16"/>
      <c r="U9" s="16"/>
      <c r="V9" s="17"/>
      <c r="W9" s="5">
        <v>10</v>
      </c>
      <c r="X9" s="16"/>
      <c r="Y9" s="16"/>
      <c r="Z9" s="16"/>
      <c r="AA9" s="18"/>
      <c r="AB9" s="8">
        <f t="shared" si="4"/>
        <v>1</v>
      </c>
      <c r="AC9" s="9">
        <f t="shared" si="5"/>
        <v>0.58333333333333337</v>
      </c>
      <c r="AD9" s="10">
        <f>AC9*AB9*(1-O9)</f>
        <v>0.58333333333333337</v>
      </c>
      <c r="AE9" s="36">
        <f t="shared" si="7"/>
        <v>0.32870370370370372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200000</v>
      </c>
      <c r="J10" s="14">
        <v>20808</v>
      </c>
      <c r="K10" s="15">
        <f>L10+25248+14223</f>
        <v>60279</v>
      </c>
      <c r="L10" s="15">
        <f>3039*4+2163*4</f>
        <v>20808</v>
      </c>
      <c r="M10" s="15">
        <f t="shared" ref="M10" si="9">L10-N10</f>
        <v>20808</v>
      </c>
      <c r="N10" s="15">
        <v>0</v>
      </c>
      <c r="O10" s="58">
        <f t="shared" ref="O10" si="10">IF(L10=0,"0",N10/L10)</f>
        <v>0</v>
      </c>
      <c r="P10" s="39">
        <f t="shared" ref="P10" si="11">IF(L10=0,"0",(24-Q10))</f>
        <v>24</v>
      </c>
      <c r="Q10" s="40">
        <f t="shared" ref="Q10" si="12">SUM(R10:AA10)</f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ref="AB10" si="13">IF(J10=0,"0",(L10/J10))</f>
        <v>1</v>
      </c>
      <c r="AC10" s="9">
        <f t="shared" ref="AC10" si="14">IF(P10=0,"0",(P10/24))</f>
        <v>1</v>
      </c>
      <c r="AD10" s="10">
        <f t="shared" ref="AD10" si="15">AC10*AB10*(1-O10)</f>
        <v>1</v>
      </c>
      <c r="AE10" s="36">
        <f t="shared" si="7"/>
        <v>0.32870370370370372</v>
      </c>
      <c r="AF10" s="84">
        <f t="shared" ref="AF10" si="16">A10</f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ref="AD11:AD14" si="17">AC11*AB11*(1-O11)</f>
        <v>0</v>
      </c>
      <c r="AE11" s="36">
        <f t="shared" si="7"/>
        <v>0.32870370370370372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3801</v>
      </c>
      <c r="K12" s="15">
        <f>L12+900+1698+5633+5697+5159+5608+3801</f>
        <v>28496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17"/>
        <v>0</v>
      </c>
      <c r="AE12" s="36">
        <f t="shared" si="7"/>
        <v>0.32870370370370372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5242</v>
      </c>
      <c r="K13" s="15">
        <f>L13+5352+5939+5686+5401+1584+3790+3671</f>
        <v>36665</v>
      </c>
      <c r="L13" s="15">
        <f>2759+2483</f>
        <v>5242</v>
      </c>
      <c r="M13" s="15">
        <f t="shared" si="0"/>
        <v>5242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0.32870370370370372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21</v>
      </c>
      <c r="R14" s="7"/>
      <c r="S14" s="6">
        <v>21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17"/>
        <v>0</v>
      </c>
      <c r="AE14" s="36">
        <f t="shared" si="7"/>
        <v>0.32870370370370372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3277</v>
      </c>
      <c r="K15" s="15">
        <f>L15</f>
        <v>3277</v>
      </c>
      <c r="L15" s="15">
        <f>509+2768</f>
        <v>3277</v>
      </c>
      <c r="M15" s="15">
        <f t="shared" si="0"/>
        <v>3277</v>
      </c>
      <c r="N15" s="15">
        <v>0</v>
      </c>
      <c r="O15" s="58">
        <f t="shared" si="1"/>
        <v>0</v>
      </c>
      <c r="P15" s="39">
        <f t="shared" si="2"/>
        <v>17</v>
      </c>
      <c r="Q15" s="40">
        <f t="shared" si="3"/>
        <v>7</v>
      </c>
      <c r="R15" s="7"/>
      <c r="S15" s="6"/>
      <c r="T15" s="16">
        <v>7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0.70833333333333337</v>
      </c>
      <c r="AD15" s="10">
        <f t="shared" si="6"/>
        <v>0.70833333333333337</v>
      </c>
      <c r="AE15" s="36">
        <f t="shared" si="7"/>
        <v>0.32870370370370372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0.32870370370370372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0.32870370370370372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0.32870370370370372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162</v>
      </c>
      <c r="D19" s="52" t="s">
        <v>354</v>
      </c>
      <c r="E19" s="53" t="s">
        <v>355</v>
      </c>
      <c r="F19" s="30" t="s">
        <v>367</v>
      </c>
      <c r="G19" s="33">
        <v>1</v>
      </c>
      <c r="H19" s="35">
        <v>24</v>
      </c>
      <c r="I19" s="7">
        <v>1000</v>
      </c>
      <c r="J19" s="14">
        <v>1068</v>
      </c>
      <c r="K19" s="15">
        <f>L19+2329</f>
        <v>3397</v>
      </c>
      <c r="L19" s="15">
        <v>1068</v>
      </c>
      <c r="M19" s="15">
        <f t="shared" ref="M19:M20" si="18">L19-N19</f>
        <v>1068</v>
      </c>
      <c r="N19" s="15">
        <v>0</v>
      </c>
      <c r="O19" s="58">
        <f t="shared" ref="O19:O20" si="19">IF(L19=0,"0",N19/L19)</f>
        <v>0</v>
      </c>
      <c r="P19" s="39">
        <f t="shared" ref="P19:P20" si="20">IF(L19=0,"0",(24-Q19))</f>
        <v>8</v>
      </c>
      <c r="Q19" s="40">
        <f t="shared" ref="Q19:Q20" si="21">SUM(R19:AA19)</f>
        <v>16</v>
      </c>
      <c r="R19" s="7"/>
      <c r="S19" s="6">
        <v>16</v>
      </c>
      <c r="T19" s="16"/>
      <c r="U19" s="16"/>
      <c r="V19" s="17"/>
      <c r="W19" s="5"/>
      <c r="X19" s="16"/>
      <c r="Y19" s="16"/>
      <c r="Z19" s="16"/>
      <c r="AA19" s="18"/>
      <c r="AB19" s="8">
        <f t="shared" ref="AB19:AB20" si="22">IF(J19=0,"0",(L19/J19))</f>
        <v>1</v>
      </c>
      <c r="AC19" s="9">
        <f t="shared" ref="AC19:AC20" si="23">IF(P19=0,"0",(P19/24))</f>
        <v>0.33333333333333331</v>
      </c>
      <c r="AD19" s="10">
        <f t="shared" ref="AD19:AD20" si="24">AC19*AB19*(1-O19)</f>
        <v>0.33333333333333331</v>
      </c>
      <c r="AE19" s="36">
        <f t="shared" si="7"/>
        <v>0.32870370370370372</v>
      </c>
      <c r="AF19" s="84">
        <f t="shared" ref="AF19:AF20" si="25">A19</f>
        <v>14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115</v>
      </c>
      <c r="E20" s="53" t="s">
        <v>416</v>
      </c>
      <c r="F20" s="30" t="s">
        <v>127</v>
      </c>
      <c r="G20" s="33">
        <v>1</v>
      </c>
      <c r="H20" s="35">
        <v>24</v>
      </c>
      <c r="I20" s="7">
        <v>50</v>
      </c>
      <c r="J20" s="14">
        <v>134</v>
      </c>
      <c r="K20" s="15">
        <f>L20</f>
        <v>134</v>
      </c>
      <c r="L20" s="15">
        <v>134</v>
      </c>
      <c r="M20" s="15">
        <f t="shared" si="18"/>
        <v>134</v>
      </c>
      <c r="N20" s="15">
        <v>0</v>
      </c>
      <c r="O20" s="58">
        <f t="shared" si="19"/>
        <v>0</v>
      </c>
      <c r="P20" s="39">
        <f t="shared" si="20"/>
        <v>4</v>
      </c>
      <c r="Q20" s="40">
        <f t="shared" si="21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22"/>
        <v>1</v>
      </c>
      <c r="AC20" s="9">
        <f t="shared" si="23"/>
        <v>0.16666666666666666</v>
      </c>
      <c r="AD20" s="10">
        <f t="shared" si="24"/>
        <v>0.16666666666666666</v>
      </c>
      <c r="AE20" s="36">
        <f t="shared" si="7"/>
        <v>0.32870370370370372</v>
      </c>
      <c r="AF20" s="84">
        <f t="shared" si="25"/>
        <v>14</v>
      </c>
    </row>
    <row r="21" spans="1:32" ht="27" customHeight="1">
      <c r="A21" s="96">
        <v>14</v>
      </c>
      <c r="B21" s="11" t="s">
        <v>57</v>
      </c>
      <c r="C21" s="11" t="s">
        <v>119</v>
      </c>
      <c r="D21" s="52" t="s">
        <v>115</v>
      </c>
      <c r="E21" s="53" t="s">
        <v>417</v>
      </c>
      <c r="F21" s="30" t="s">
        <v>241</v>
      </c>
      <c r="G21" s="33">
        <v>1</v>
      </c>
      <c r="H21" s="35">
        <v>24</v>
      </c>
      <c r="I21" s="7">
        <v>28000</v>
      </c>
      <c r="J21" s="14">
        <v>134</v>
      </c>
      <c r="K21" s="15">
        <f>L21</f>
        <v>0</v>
      </c>
      <c r="L21" s="15">
        <v>0</v>
      </c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0.32870370370370372</v>
      </c>
      <c r="AF21" s="84">
        <f t="shared" si="8"/>
        <v>14</v>
      </c>
    </row>
    <row r="22" spans="1:32" ht="27" customHeight="1">
      <c r="A22" s="113">
        <v>15</v>
      </c>
      <c r="B22" s="11" t="s">
        <v>57</v>
      </c>
      <c r="C22" s="34" t="s">
        <v>120</v>
      </c>
      <c r="D22" s="52" t="s">
        <v>115</v>
      </c>
      <c r="E22" s="53" t="s">
        <v>199</v>
      </c>
      <c r="F22" s="30" t="s">
        <v>123</v>
      </c>
      <c r="G22" s="12">
        <v>4</v>
      </c>
      <c r="H22" s="13">
        <v>28</v>
      </c>
      <c r="I22" s="31">
        <v>200000</v>
      </c>
      <c r="J22" s="5">
        <v>17832</v>
      </c>
      <c r="K22" s="15">
        <f>L22</f>
        <v>17832</v>
      </c>
      <c r="L22" s="15">
        <f>1159*4+3299*4</f>
        <v>17832</v>
      </c>
      <c r="M22" s="15">
        <f t="shared" si="0"/>
        <v>17832</v>
      </c>
      <c r="N22" s="15">
        <v>0</v>
      </c>
      <c r="O22" s="58">
        <f t="shared" si="1"/>
        <v>0</v>
      </c>
      <c r="P22" s="39">
        <f t="shared" si="2"/>
        <v>19</v>
      </c>
      <c r="Q22" s="40">
        <f t="shared" si="3"/>
        <v>5</v>
      </c>
      <c r="R22" s="7"/>
      <c r="S22" s="6">
        <v>5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0.79166666666666663</v>
      </c>
      <c r="AD22" s="10">
        <f t="shared" si="6"/>
        <v>0.79166666666666663</v>
      </c>
      <c r="AE22" s="36">
        <f t="shared" si="7"/>
        <v>0.32870370370370372</v>
      </c>
      <c r="AF22" s="84">
        <f t="shared" si="8"/>
        <v>15</v>
      </c>
    </row>
    <row r="23" spans="1:32" ht="27" customHeight="1" thickBot="1">
      <c r="A23" s="96">
        <v>16</v>
      </c>
      <c r="B23" s="11" t="s">
        <v>57</v>
      </c>
      <c r="C23" s="11" t="s">
        <v>113</v>
      </c>
      <c r="D23" s="52"/>
      <c r="E23" s="53" t="s">
        <v>267</v>
      </c>
      <c r="F23" s="12" t="s">
        <v>114</v>
      </c>
      <c r="G23" s="12">
        <v>4</v>
      </c>
      <c r="H23" s="35">
        <v>20</v>
      </c>
      <c r="I23" s="7">
        <v>300000</v>
      </c>
      <c r="J23" s="14">
        <v>28704</v>
      </c>
      <c r="K23" s="15">
        <f>L23+28876+33668+30304+72816+70472+27788</f>
        <v>292628</v>
      </c>
      <c r="L23" s="15">
        <f>7176*4</f>
        <v>28704</v>
      </c>
      <c r="M23" s="15">
        <f t="shared" si="0"/>
        <v>28704</v>
      </c>
      <c r="N23" s="15">
        <v>0</v>
      </c>
      <c r="O23" s="58">
        <f t="shared" si="1"/>
        <v>0</v>
      </c>
      <c r="P23" s="39">
        <f t="shared" si="2"/>
        <v>10</v>
      </c>
      <c r="Q23" s="40">
        <f t="shared" si="3"/>
        <v>14</v>
      </c>
      <c r="R23" s="7"/>
      <c r="S23" s="6"/>
      <c r="T23" s="16"/>
      <c r="U23" s="16"/>
      <c r="V23" s="17">
        <v>14</v>
      </c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0.41666666666666669</v>
      </c>
      <c r="AD23" s="10">
        <f t="shared" si="6"/>
        <v>0.41666666666666669</v>
      </c>
      <c r="AE23" s="36">
        <f t="shared" si="7"/>
        <v>0.32870370370370372</v>
      </c>
      <c r="AF23" s="84">
        <f t="shared" si="8"/>
        <v>16</v>
      </c>
    </row>
    <row r="24" spans="1:32" ht="31.5" customHeight="1" thickBot="1">
      <c r="A24" s="507" t="s">
        <v>34</v>
      </c>
      <c r="B24" s="508"/>
      <c r="C24" s="508"/>
      <c r="D24" s="508"/>
      <c r="E24" s="508"/>
      <c r="F24" s="508"/>
      <c r="G24" s="508"/>
      <c r="H24" s="509"/>
      <c r="I24" s="22">
        <f t="shared" ref="I24:N24" si="26">SUM(I6:I23)</f>
        <v>1093700</v>
      </c>
      <c r="J24" s="19">
        <f t="shared" si="26"/>
        <v>123505</v>
      </c>
      <c r="K24" s="20">
        <f t="shared" si="26"/>
        <v>555708</v>
      </c>
      <c r="L24" s="21">
        <f t="shared" si="26"/>
        <v>87446</v>
      </c>
      <c r="M24" s="20">
        <f t="shared" si="26"/>
        <v>87446</v>
      </c>
      <c r="N24" s="21">
        <f t="shared" si="26"/>
        <v>0</v>
      </c>
      <c r="O24" s="41">
        <f t="shared" si="1"/>
        <v>0</v>
      </c>
      <c r="P24" s="42">
        <f t="shared" ref="P24:AA24" si="27">SUM(P6:P23)</f>
        <v>142</v>
      </c>
      <c r="Q24" s="43">
        <f t="shared" si="27"/>
        <v>265</v>
      </c>
      <c r="R24" s="23">
        <f t="shared" si="27"/>
        <v>24</v>
      </c>
      <c r="S24" s="24">
        <f t="shared" si="27"/>
        <v>126</v>
      </c>
      <c r="T24" s="24">
        <f t="shared" si="27"/>
        <v>7</v>
      </c>
      <c r="U24" s="24">
        <f t="shared" si="27"/>
        <v>0</v>
      </c>
      <c r="V24" s="25">
        <f t="shared" si="27"/>
        <v>14</v>
      </c>
      <c r="W24" s="26">
        <f t="shared" si="27"/>
        <v>70</v>
      </c>
      <c r="X24" s="27">
        <f t="shared" si="27"/>
        <v>0</v>
      </c>
      <c r="Y24" s="27">
        <f t="shared" si="27"/>
        <v>0</v>
      </c>
      <c r="Z24" s="27">
        <f t="shared" si="27"/>
        <v>0</v>
      </c>
      <c r="AA24" s="27">
        <f t="shared" si="27"/>
        <v>24</v>
      </c>
      <c r="AB24" s="28">
        <f>AVERAGE(AB6:AB23)</f>
        <v>0.55555555555555558</v>
      </c>
      <c r="AC24" s="4">
        <f>AVERAGE(AC6:AC23)</f>
        <v>0.32870370370370372</v>
      </c>
      <c r="AD24" s="4">
        <f>AVERAGE(AD6:AD23)</f>
        <v>0.32870370370370372</v>
      </c>
      <c r="AE24" s="29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1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85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27">
      <c r="A41" s="59"/>
      <c r="B41" s="59"/>
      <c r="C41" s="59"/>
      <c r="D41" s="59"/>
      <c r="E41" s="59"/>
      <c r="F41" s="37"/>
      <c r="G41" s="37"/>
      <c r="H41" s="38"/>
      <c r="I41" s="3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F41" s="50"/>
    </row>
    <row r="42" spans="1:32" ht="29.25" customHeight="1">
      <c r="A42" s="60"/>
      <c r="B42" s="60"/>
      <c r="C42" s="61"/>
      <c r="D42" s="61"/>
      <c r="E42" s="61"/>
      <c r="F42" s="60"/>
      <c r="G42" s="60"/>
      <c r="H42" s="60"/>
      <c r="I42" s="60"/>
      <c r="J42" s="60"/>
      <c r="K42" s="60"/>
      <c r="L42" s="60"/>
      <c r="M42" s="6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36" thickBot="1">
      <c r="A51" s="510" t="s">
        <v>45</v>
      </c>
      <c r="B51" s="510"/>
      <c r="C51" s="510"/>
      <c r="D51" s="510"/>
      <c r="E51" s="510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F51" s="50"/>
    </row>
    <row r="52" spans="1:32" ht="26.25" thickBot="1">
      <c r="A52" s="511" t="s">
        <v>418</v>
      </c>
      <c r="B52" s="512"/>
      <c r="C52" s="512"/>
      <c r="D52" s="512"/>
      <c r="E52" s="512"/>
      <c r="F52" s="512"/>
      <c r="G52" s="512"/>
      <c r="H52" s="512"/>
      <c r="I52" s="512"/>
      <c r="J52" s="512"/>
      <c r="K52" s="512"/>
      <c r="L52" s="512"/>
      <c r="M52" s="513"/>
      <c r="N52" s="514" t="s">
        <v>421</v>
      </c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5"/>
      <c r="AB52" s="515"/>
      <c r="AC52" s="515"/>
      <c r="AD52" s="516"/>
    </row>
    <row r="53" spans="1:32" ht="27" customHeight="1">
      <c r="A53" s="517" t="s">
        <v>2</v>
      </c>
      <c r="B53" s="518"/>
      <c r="C53" s="354" t="s">
        <v>46</v>
      </c>
      <c r="D53" s="354" t="s">
        <v>47</v>
      </c>
      <c r="E53" s="354" t="s">
        <v>107</v>
      </c>
      <c r="F53" s="519" t="s">
        <v>106</v>
      </c>
      <c r="G53" s="520"/>
      <c r="H53" s="520"/>
      <c r="I53" s="520"/>
      <c r="J53" s="520"/>
      <c r="K53" s="520"/>
      <c r="L53" s="520"/>
      <c r="M53" s="521"/>
      <c r="N53" s="67" t="s">
        <v>110</v>
      </c>
      <c r="O53" s="354" t="s">
        <v>46</v>
      </c>
      <c r="P53" s="519" t="s">
        <v>47</v>
      </c>
      <c r="Q53" s="522"/>
      <c r="R53" s="519" t="s">
        <v>38</v>
      </c>
      <c r="S53" s="520"/>
      <c r="T53" s="520"/>
      <c r="U53" s="522"/>
      <c r="V53" s="519" t="s">
        <v>48</v>
      </c>
      <c r="W53" s="520"/>
      <c r="X53" s="520"/>
      <c r="Y53" s="520"/>
      <c r="Z53" s="520"/>
      <c r="AA53" s="520"/>
      <c r="AB53" s="520"/>
      <c r="AC53" s="520"/>
      <c r="AD53" s="521"/>
    </row>
    <row r="54" spans="1:32" ht="27" customHeight="1">
      <c r="A54" s="500" t="s">
        <v>119</v>
      </c>
      <c r="B54" s="501"/>
      <c r="C54" s="353" t="s">
        <v>150</v>
      </c>
      <c r="D54" s="353" t="s">
        <v>128</v>
      </c>
      <c r="E54" s="350" t="s">
        <v>415</v>
      </c>
      <c r="F54" s="488" t="s">
        <v>314</v>
      </c>
      <c r="G54" s="489"/>
      <c r="H54" s="489"/>
      <c r="I54" s="489"/>
      <c r="J54" s="489"/>
      <c r="K54" s="489"/>
      <c r="L54" s="489"/>
      <c r="M54" s="490"/>
      <c r="N54" s="349" t="s">
        <v>119</v>
      </c>
      <c r="O54" s="347" t="s">
        <v>409</v>
      </c>
      <c r="P54" s="502" t="s">
        <v>138</v>
      </c>
      <c r="Q54" s="503"/>
      <c r="R54" s="502" t="s">
        <v>408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350" t="s">
        <v>409</v>
      </c>
      <c r="D55" s="350" t="s">
        <v>138</v>
      </c>
      <c r="E55" s="350" t="s">
        <v>408</v>
      </c>
      <c r="F55" s="488" t="s">
        <v>419</v>
      </c>
      <c r="G55" s="489"/>
      <c r="H55" s="489"/>
      <c r="I55" s="489"/>
      <c r="J55" s="489"/>
      <c r="K55" s="489"/>
      <c r="L55" s="489"/>
      <c r="M55" s="490"/>
      <c r="N55" s="349" t="s">
        <v>119</v>
      </c>
      <c r="O55" s="347" t="s">
        <v>182</v>
      </c>
      <c r="P55" s="502" t="s">
        <v>115</v>
      </c>
      <c r="Q55" s="503"/>
      <c r="R55" s="502" t="s">
        <v>422</v>
      </c>
      <c r="S55" s="504"/>
      <c r="T55" s="504"/>
      <c r="U55" s="503"/>
      <c r="V55" s="472" t="s">
        <v>132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 t="s">
        <v>120</v>
      </c>
      <c r="B56" s="501"/>
      <c r="C56" s="353" t="s">
        <v>147</v>
      </c>
      <c r="D56" s="353" t="s">
        <v>160</v>
      </c>
      <c r="E56" s="350" t="s">
        <v>248</v>
      </c>
      <c r="F56" s="488" t="s">
        <v>132</v>
      </c>
      <c r="G56" s="489"/>
      <c r="H56" s="489"/>
      <c r="I56" s="489"/>
      <c r="J56" s="489"/>
      <c r="K56" s="489"/>
      <c r="L56" s="489"/>
      <c r="M56" s="490"/>
      <c r="N56" s="349" t="s">
        <v>119</v>
      </c>
      <c r="O56" s="347" t="s">
        <v>141</v>
      </c>
      <c r="P56" s="502" t="s">
        <v>423</v>
      </c>
      <c r="Q56" s="503"/>
      <c r="R56" s="502" t="s">
        <v>424</v>
      </c>
      <c r="S56" s="504"/>
      <c r="T56" s="504"/>
      <c r="U56" s="503"/>
      <c r="V56" s="472" t="s">
        <v>148</v>
      </c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486" t="s">
        <v>112</v>
      </c>
      <c r="B57" s="487"/>
      <c r="C57" s="350" t="s">
        <v>182</v>
      </c>
      <c r="D57" s="350" t="s">
        <v>115</v>
      </c>
      <c r="E57" s="350" t="s">
        <v>416</v>
      </c>
      <c r="F57" s="488" t="s">
        <v>148</v>
      </c>
      <c r="G57" s="489"/>
      <c r="H57" s="489"/>
      <c r="I57" s="489"/>
      <c r="J57" s="489"/>
      <c r="K57" s="489"/>
      <c r="L57" s="489"/>
      <c r="M57" s="490"/>
      <c r="N57" s="349"/>
      <c r="O57" s="347"/>
      <c r="P57" s="502"/>
      <c r="Q57" s="503"/>
      <c r="R57" s="502"/>
      <c r="S57" s="504"/>
      <c r="T57" s="504"/>
      <c r="U57" s="503"/>
      <c r="V57" s="472"/>
      <c r="W57" s="472"/>
      <c r="X57" s="472"/>
      <c r="Y57" s="472"/>
      <c r="Z57" s="472"/>
      <c r="AA57" s="472"/>
      <c r="AB57" s="472"/>
      <c r="AC57" s="472"/>
      <c r="AD57" s="491"/>
    </row>
    <row r="58" spans="1:32" ht="27" customHeight="1">
      <c r="A58" s="486" t="s">
        <v>120</v>
      </c>
      <c r="B58" s="487"/>
      <c r="C58" s="350" t="s">
        <v>226</v>
      </c>
      <c r="D58" s="353" t="s">
        <v>115</v>
      </c>
      <c r="E58" s="350" t="s">
        <v>199</v>
      </c>
      <c r="F58" s="488" t="s">
        <v>420</v>
      </c>
      <c r="G58" s="489"/>
      <c r="H58" s="489"/>
      <c r="I58" s="489"/>
      <c r="J58" s="489"/>
      <c r="K58" s="489"/>
      <c r="L58" s="489"/>
      <c r="M58" s="490"/>
      <c r="N58" s="349"/>
      <c r="O58" s="347"/>
      <c r="P58" s="502"/>
      <c r="Q58" s="503"/>
      <c r="R58" s="502"/>
      <c r="S58" s="504"/>
      <c r="T58" s="504"/>
      <c r="U58" s="503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 t="s">
        <v>122</v>
      </c>
      <c r="B59" s="501"/>
      <c r="C59" s="353" t="s">
        <v>202</v>
      </c>
      <c r="D59" s="353"/>
      <c r="E59" s="350" t="s">
        <v>203</v>
      </c>
      <c r="F59" s="488" t="s">
        <v>148</v>
      </c>
      <c r="G59" s="489"/>
      <c r="H59" s="489"/>
      <c r="I59" s="489"/>
      <c r="J59" s="489"/>
      <c r="K59" s="489"/>
      <c r="L59" s="489"/>
      <c r="M59" s="490"/>
      <c r="N59" s="349"/>
      <c r="O59" s="347"/>
      <c r="P59" s="502"/>
      <c r="Q59" s="503"/>
      <c r="R59" s="502"/>
      <c r="S59" s="504"/>
      <c r="T59" s="504"/>
      <c r="U59" s="503"/>
      <c r="V59" s="488"/>
      <c r="W59" s="489"/>
      <c r="X59" s="489"/>
      <c r="Y59" s="489"/>
      <c r="Z59" s="489"/>
      <c r="AA59" s="489"/>
      <c r="AB59" s="489"/>
      <c r="AC59" s="489"/>
      <c r="AD59" s="490"/>
    </row>
    <row r="60" spans="1:32" ht="27" customHeight="1">
      <c r="A60" s="500" t="s">
        <v>119</v>
      </c>
      <c r="B60" s="501"/>
      <c r="C60" s="353" t="s">
        <v>208</v>
      </c>
      <c r="D60" s="353" t="s">
        <v>231</v>
      </c>
      <c r="E60" s="350" t="s">
        <v>230</v>
      </c>
      <c r="F60" s="488" t="s">
        <v>148</v>
      </c>
      <c r="G60" s="489"/>
      <c r="H60" s="489"/>
      <c r="I60" s="489"/>
      <c r="J60" s="489"/>
      <c r="K60" s="489"/>
      <c r="L60" s="489"/>
      <c r="M60" s="490"/>
      <c r="N60" s="349"/>
      <c r="O60" s="347"/>
      <c r="P60" s="502"/>
      <c r="Q60" s="503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</row>
    <row r="61" spans="1:32" ht="27" customHeight="1">
      <c r="A61" s="500" t="s">
        <v>119</v>
      </c>
      <c r="B61" s="501"/>
      <c r="C61" s="353" t="s">
        <v>182</v>
      </c>
      <c r="D61" s="353" t="s">
        <v>115</v>
      </c>
      <c r="E61" s="350" t="s">
        <v>422</v>
      </c>
      <c r="F61" s="488" t="s">
        <v>214</v>
      </c>
      <c r="G61" s="489"/>
      <c r="H61" s="489"/>
      <c r="I61" s="489"/>
      <c r="J61" s="489"/>
      <c r="K61" s="489"/>
      <c r="L61" s="489"/>
      <c r="M61" s="490"/>
      <c r="N61" s="349"/>
      <c r="O61" s="347"/>
      <c r="P61" s="502"/>
      <c r="Q61" s="503"/>
      <c r="R61" s="487"/>
      <c r="S61" s="487"/>
      <c r="T61" s="487"/>
      <c r="U61" s="487"/>
      <c r="V61" s="472"/>
      <c r="W61" s="472"/>
      <c r="X61" s="472"/>
      <c r="Y61" s="472"/>
      <c r="Z61" s="472"/>
      <c r="AA61" s="472"/>
      <c r="AB61" s="472"/>
      <c r="AC61" s="472"/>
      <c r="AD61" s="491"/>
    </row>
    <row r="62" spans="1:32" ht="27" customHeight="1">
      <c r="A62" s="486"/>
      <c r="B62" s="487"/>
      <c r="C62" s="350"/>
      <c r="D62" s="350"/>
      <c r="E62" s="350"/>
      <c r="F62" s="488"/>
      <c r="G62" s="489"/>
      <c r="H62" s="489"/>
      <c r="I62" s="489"/>
      <c r="J62" s="489"/>
      <c r="K62" s="489"/>
      <c r="L62" s="489"/>
      <c r="M62" s="490"/>
      <c r="N62" s="349"/>
      <c r="O62" s="347"/>
      <c r="P62" s="487"/>
      <c r="Q62" s="487"/>
      <c r="R62" s="487"/>
      <c r="S62" s="487"/>
      <c r="T62" s="487"/>
      <c r="U62" s="487"/>
      <c r="V62" s="472"/>
      <c r="W62" s="472"/>
      <c r="X62" s="472"/>
      <c r="Y62" s="472"/>
      <c r="Z62" s="472"/>
      <c r="AA62" s="472"/>
      <c r="AB62" s="472"/>
      <c r="AC62" s="472"/>
      <c r="AD62" s="491"/>
      <c r="AF62" s="84">
        <f>8*3000</f>
        <v>24000</v>
      </c>
    </row>
    <row r="63" spans="1:32" ht="27" customHeight="1" thickBot="1">
      <c r="A63" s="492"/>
      <c r="B63" s="493"/>
      <c r="C63" s="351"/>
      <c r="D63" s="352"/>
      <c r="E63" s="352"/>
      <c r="F63" s="494"/>
      <c r="G63" s="495"/>
      <c r="H63" s="495"/>
      <c r="I63" s="495"/>
      <c r="J63" s="495"/>
      <c r="K63" s="495"/>
      <c r="L63" s="495"/>
      <c r="M63" s="496"/>
      <c r="N63" s="112"/>
      <c r="O63" s="103"/>
      <c r="P63" s="497"/>
      <c r="Q63" s="497"/>
      <c r="R63" s="497"/>
      <c r="S63" s="497"/>
      <c r="T63" s="497"/>
      <c r="U63" s="497"/>
      <c r="V63" s="498"/>
      <c r="W63" s="498"/>
      <c r="X63" s="498"/>
      <c r="Y63" s="498"/>
      <c r="Z63" s="498"/>
      <c r="AA63" s="498"/>
      <c r="AB63" s="498"/>
      <c r="AC63" s="498"/>
      <c r="AD63" s="499"/>
      <c r="AF63" s="84">
        <f>16*3000</f>
        <v>48000</v>
      </c>
    </row>
    <row r="64" spans="1:32" ht="27.75" thickBot="1">
      <c r="A64" s="484" t="s">
        <v>425</v>
      </c>
      <c r="B64" s="484"/>
      <c r="C64" s="484"/>
      <c r="D64" s="484"/>
      <c r="E64" s="484"/>
      <c r="F64" s="37"/>
      <c r="G64" s="37"/>
      <c r="H64" s="38"/>
      <c r="I64" s="38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F64" s="84">
        <v>24000</v>
      </c>
    </row>
    <row r="65" spans="1:32" ht="29.25" customHeight="1" thickBot="1">
      <c r="A65" s="485" t="s">
        <v>111</v>
      </c>
      <c r="B65" s="479"/>
      <c r="C65" s="348" t="s">
        <v>2</v>
      </c>
      <c r="D65" s="348" t="s">
        <v>37</v>
      </c>
      <c r="E65" s="348" t="s">
        <v>3</v>
      </c>
      <c r="F65" s="479" t="s">
        <v>109</v>
      </c>
      <c r="G65" s="479"/>
      <c r="H65" s="479"/>
      <c r="I65" s="479"/>
      <c r="J65" s="479"/>
      <c r="K65" s="479" t="s">
        <v>39</v>
      </c>
      <c r="L65" s="479"/>
      <c r="M65" s="348" t="s">
        <v>40</v>
      </c>
      <c r="N65" s="479" t="s">
        <v>41</v>
      </c>
      <c r="O65" s="479"/>
      <c r="P65" s="476" t="s">
        <v>42</v>
      </c>
      <c r="Q65" s="478"/>
      <c r="R65" s="476" t="s">
        <v>43</v>
      </c>
      <c r="S65" s="477"/>
      <c r="T65" s="477"/>
      <c r="U65" s="477"/>
      <c r="V65" s="477"/>
      <c r="W65" s="477"/>
      <c r="X65" s="477"/>
      <c r="Y65" s="477"/>
      <c r="Z65" s="477"/>
      <c r="AA65" s="478"/>
      <c r="AB65" s="479" t="s">
        <v>44</v>
      </c>
      <c r="AC65" s="479"/>
      <c r="AD65" s="480"/>
      <c r="AF65" s="84">
        <f>SUM(AF62:AF64)</f>
        <v>96000</v>
      </c>
    </row>
    <row r="66" spans="1:32" ht="25.5" customHeight="1">
      <c r="A66" s="467">
        <v>1</v>
      </c>
      <c r="B66" s="468"/>
      <c r="C66" s="105" t="s">
        <v>112</v>
      </c>
      <c r="D66" s="343"/>
      <c r="E66" s="346" t="s">
        <v>426</v>
      </c>
      <c r="F66" s="473" t="s">
        <v>427</v>
      </c>
      <c r="G66" s="474"/>
      <c r="H66" s="474"/>
      <c r="I66" s="474"/>
      <c r="J66" s="475"/>
      <c r="K66" s="461" t="s">
        <v>241</v>
      </c>
      <c r="L66" s="461"/>
      <c r="M66" s="51" t="s">
        <v>360</v>
      </c>
      <c r="N66" s="470" t="s">
        <v>141</v>
      </c>
      <c r="O66" s="470"/>
      <c r="P66" s="471">
        <v>100</v>
      </c>
      <c r="Q66" s="471"/>
      <c r="R66" s="472" t="s">
        <v>428</v>
      </c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2</v>
      </c>
      <c r="B67" s="468"/>
      <c r="C67" s="105"/>
      <c r="D67" s="343"/>
      <c r="E67" s="346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3</v>
      </c>
      <c r="B68" s="468"/>
      <c r="C68" s="105"/>
      <c r="D68" s="343"/>
      <c r="E68" s="346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4</v>
      </c>
      <c r="B69" s="468"/>
      <c r="C69" s="105"/>
      <c r="D69" s="343"/>
      <c r="E69" s="346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5</v>
      </c>
      <c r="B70" s="468"/>
      <c r="C70" s="105"/>
      <c r="D70" s="343"/>
      <c r="E70" s="346"/>
      <c r="F70" s="473"/>
      <c r="G70" s="474"/>
      <c r="H70" s="474"/>
      <c r="I70" s="474"/>
      <c r="J70" s="475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6</v>
      </c>
      <c r="B71" s="468"/>
      <c r="C71" s="105"/>
      <c r="D71" s="343"/>
      <c r="E71" s="346"/>
      <c r="F71" s="473"/>
      <c r="G71" s="474"/>
      <c r="H71" s="474"/>
      <c r="I71" s="474"/>
      <c r="J71" s="475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7</v>
      </c>
      <c r="B72" s="468"/>
      <c r="C72" s="105"/>
      <c r="D72" s="343"/>
      <c r="E72" s="346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8</v>
      </c>
      <c r="B73" s="468"/>
      <c r="C73" s="105"/>
      <c r="D73" s="343"/>
      <c r="E73" s="346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5.5" customHeight="1">
      <c r="A74" s="467">
        <v>9</v>
      </c>
      <c r="B74" s="468"/>
      <c r="C74" s="105"/>
      <c r="D74" s="343"/>
      <c r="E74" s="346"/>
      <c r="F74" s="469"/>
      <c r="G74" s="461"/>
      <c r="H74" s="461"/>
      <c r="I74" s="461"/>
      <c r="J74" s="461"/>
      <c r="K74" s="461"/>
      <c r="L74" s="461"/>
      <c r="M74" s="51"/>
      <c r="N74" s="470"/>
      <c r="O74" s="470"/>
      <c r="P74" s="471"/>
      <c r="Q74" s="471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61"/>
      <c r="AC74" s="461"/>
      <c r="AD74" s="462"/>
      <c r="AF74" s="50"/>
    </row>
    <row r="75" spans="1:32" ht="25.5" customHeight="1">
      <c r="A75" s="467">
        <v>10</v>
      </c>
      <c r="B75" s="468"/>
      <c r="C75" s="105"/>
      <c r="D75" s="343"/>
      <c r="E75" s="346"/>
      <c r="F75" s="469"/>
      <c r="G75" s="461"/>
      <c r="H75" s="461"/>
      <c r="I75" s="461"/>
      <c r="J75" s="461"/>
      <c r="K75" s="461"/>
      <c r="L75" s="461"/>
      <c r="M75" s="51"/>
      <c r="N75" s="470"/>
      <c r="O75" s="470"/>
      <c r="P75" s="471"/>
      <c r="Q75" s="471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61"/>
      <c r="AC75" s="461"/>
      <c r="AD75" s="462"/>
      <c r="AF75" s="50"/>
    </row>
    <row r="76" spans="1:32" ht="26.25" customHeight="1" thickBot="1">
      <c r="A76" s="441" t="s">
        <v>429</v>
      </c>
      <c r="B76" s="441"/>
      <c r="C76" s="441"/>
      <c r="D76" s="441"/>
      <c r="E76" s="441"/>
      <c r="F76" s="37"/>
      <c r="G76" s="37"/>
      <c r="H76" s="38"/>
      <c r="I76" s="38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F76" s="50"/>
    </row>
    <row r="77" spans="1:32" ht="23.25" thickBot="1">
      <c r="A77" s="442" t="s">
        <v>175</v>
      </c>
      <c r="B77" s="443"/>
      <c r="C77" s="345" t="s">
        <v>2</v>
      </c>
      <c r="D77" s="345" t="s">
        <v>37</v>
      </c>
      <c r="E77" s="345" t="s">
        <v>142</v>
      </c>
      <c r="F77" s="443" t="s">
        <v>38</v>
      </c>
      <c r="G77" s="443"/>
      <c r="H77" s="443"/>
      <c r="I77" s="443"/>
      <c r="J77" s="443"/>
      <c r="K77" s="463" t="s">
        <v>58</v>
      </c>
      <c r="L77" s="464"/>
      <c r="M77" s="464"/>
      <c r="N77" s="464"/>
      <c r="O77" s="464"/>
      <c r="P77" s="464"/>
      <c r="Q77" s="464"/>
      <c r="R77" s="464"/>
      <c r="S77" s="465"/>
      <c r="T77" s="443" t="s">
        <v>49</v>
      </c>
      <c r="U77" s="443"/>
      <c r="V77" s="463" t="s">
        <v>50</v>
      </c>
      <c r="W77" s="465"/>
      <c r="X77" s="464" t="s">
        <v>51</v>
      </c>
      <c r="Y77" s="464"/>
      <c r="Z77" s="464"/>
      <c r="AA77" s="464"/>
      <c r="AB77" s="464"/>
      <c r="AC77" s="464"/>
      <c r="AD77" s="466"/>
      <c r="AF77" s="50"/>
    </row>
    <row r="78" spans="1:32" ht="33.75" customHeight="1">
      <c r="A78" s="435">
        <v>1</v>
      </c>
      <c r="B78" s="436"/>
      <c r="C78" s="344" t="s">
        <v>112</v>
      </c>
      <c r="D78" s="344"/>
      <c r="E78" s="65" t="s">
        <v>117</v>
      </c>
      <c r="F78" s="450" t="s">
        <v>116</v>
      </c>
      <c r="G78" s="451"/>
      <c r="H78" s="451"/>
      <c r="I78" s="451"/>
      <c r="J78" s="452"/>
      <c r="K78" s="453" t="s">
        <v>121</v>
      </c>
      <c r="L78" s="454"/>
      <c r="M78" s="454"/>
      <c r="N78" s="454"/>
      <c r="O78" s="454"/>
      <c r="P78" s="454"/>
      <c r="Q78" s="454"/>
      <c r="R78" s="454"/>
      <c r="S78" s="455"/>
      <c r="T78" s="456">
        <v>43675</v>
      </c>
      <c r="U78" s="457"/>
      <c r="V78" s="458"/>
      <c r="W78" s="458"/>
      <c r="X78" s="459"/>
      <c r="Y78" s="459"/>
      <c r="Z78" s="459"/>
      <c r="AA78" s="459"/>
      <c r="AB78" s="459"/>
      <c r="AC78" s="459"/>
      <c r="AD78" s="460"/>
      <c r="AF78" s="50"/>
    </row>
    <row r="79" spans="1:32" ht="30" customHeight="1">
      <c r="A79" s="428">
        <f>A78+1</f>
        <v>2</v>
      </c>
      <c r="B79" s="429"/>
      <c r="C79" s="343"/>
      <c r="D79" s="343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ref="A80:A84" si="28">A79+1</f>
        <v>3</v>
      </c>
      <c r="B80" s="429"/>
      <c r="C80" s="343"/>
      <c r="D80" s="343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28"/>
        <v>4</v>
      </c>
      <c r="B81" s="429"/>
      <c r="C81" s="343"/>
      <c r="D81" s="343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28"/>
        <v>5</v>
      </c>
      <c r="B82" s="429"/>
      <c r="C82" s="343"/>
      <c r="D82" s="343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0" customHeight="1">
      <c r="A83" s="428">
        <f t="shared" si="28"/>
        <v>6</v>
      </c>
      <c r="B83" s="429"/>
      <c r="C83" s="343"/>
      <c r="D83" s="343"/>
      <c r="E83" s="32"/>
      <c r="F83" s="429"/>
      <c r="G83" s="429"/>
      <c r="H83" s="429"/>
      <c r="I83" s="429"/>
      <c r="J83" s="429"/>
      <c r="K83" s="444"/>
      <c r="L83" s="445"/>
      <c r="M83" s="445"/>
      <c r="N83" s="445"/>
      <c r="O83" s="445"/>
      <c r="P83" s="445"/>
      <c r="Q83" s="445"/>
      <c r="R83" s="445"/>
      <c r="S83" s="446"/>
      <c r="T83" s="447"/>
      <c r="U83" s="447"/>
      <c r="V83" s="447"/>
      <c r="W83" s="447"/>
      <c r="X83" s="448"/>
      <c r="Y83" s="448"/>
      <c r="Z83" s="448"/>
      <c r="AA83" s="448"/>
      <c r="AB83" s="448"/>
      <c r="AC83" s="448"/>
      <c r="AD83" s="449"/>
      <c r="AF83" s="50"/>
    </row>
    <row r="84" spans="1:32" ht="30" customHeight="1">
      <c r="A84" s="428">
        <f t="shared" si="28"/>
        <v>7</v>
      </c>
      <c r="B84" s="429"/>
      <c r="C84" s="343"/>
      <c r="D84" s="343"/>
      <c r="E84" s="32"/>
      <c r="F84" s="429"/>
      <c r="G84" s="429"/>
      <c r="H84" s="429"/>
      <c r="I84" s="429"/>
      <c r="J84" s="429"/>
      <c r="K84" s="444"/>
      <c r="L84" s="445"/>
      <c r="M84" s="445"/>
      <c r="N84" s="445"/>
      <c r="O84" s="445"/>
      <c r="P84" s="445"/>
      <c r="Q84" s="445"/>
      <c r="R84" s="445"/>
      <c r="S84" s="446"/>
      <c r="T84" s="447"/>
      <c r="U84" s="447"/>
      <c r="V84" s="447"/>
      <c r="W84" s="447"/>
      <c r="X84" s="448"/>
      <c r="Y84" s="448"/>
      <c r="Z84" s="448"/>
      <c r="AA84" s="448"/>
      <c r="AB84" s="448"/>
      <c r="AC84" s="448"/>
      <c r="AD84" s="449"/>
      <c r="AF84" s="50"/>
    </row>
    <row r="85" spans="1:32" ht="36" thickBot="1">
      <c r="A85" s="441" t="s">
        <v>430</v>
      </c>
      <c r="B85" s="441"/>
      <c r="C85" s="441"/>
      <c r="D85" s="441"/>
      <c r="E85" s="441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30.75" customHeight="1" thickBot="1">
      <c r="A86" s="442" t="s">
        <v>111</v>
      </c>
      <c r="B86" s="443"/>
      <c r="C86" s="433" t="s">
        <v>52</v>
      </c>
      <c r="D86" s="433"/>
      <c r="E86" s="433" t="s">
        <v>53</v>
      </c>
      <c r="F86" s="433"/>
      <c r="G86" s="433"/>
      <c r="H86" s="433"/>
      <c r="I86" s="433"/>
      <c r="J86" s="433"/>
      <c r="K86" s="433" t="s">
        <v>54</v>
      </c>
      <c r="L86" s="433"/>
      <c r="M86" s="433"/>
      <c r="N86" s="433"/>
      <c r="O86" s="433"/>
      <c r="P86" s="433"/>
      <c r="Q86" s="433"/>
      <c r="R86" s="433"/>
      <c r="S86" s="433"/>
      <c r="T86" s="433" t="s">
        <v>55</v>
      </c>
      <c r="U86" s="433"/>
      <c r="V86" s="433" t="s">
        <v>56</v>
      </c>
      <c r="W86" s="433"/>
      <c r="X86" s="433"/>
      <c r="Y86" s="433" t="s">
        <v>51</v>
      </c>
      <c r="Z86" s="433"/>
      <c r="AA86" s="433"/>
      <c r="AB86" s="433"/>
      <c r="AC86" s="433"/>
      <c r="AD86" s="434"/>
      <c r="AF86" s="50"/>
    </row>
    <row r="87" spans="1:32" ht="30.75" customHeight="1">
      <c r="A87" s="435">
        <v>1</v>
      </c>
      <c r="B87" s="436"/>
      <c r="C87" s="437">
        <v>11</v>
      </c>
      <c r="D87" s="437"/>
      <c r="E87" s="437" t="s">
        <v>143</v>
      </c>
      <c r="F87" s="437"/>
      <c r="G87" s="437"/>
      <c r="H87" s="437"/>
      <c r="I87" s="437"/>
      <c r="J87" s="437"/>
      <c r="K87" s="437" t="s">
        <v>145</v>
      </c>
      <c r="L87" s="437"/>
      <c r="M87" s="437"/>
      <c r="N87" s="437"/>
      <c r="O87" s="437"/>
      <c r="P87" s="437"/>
      <c r="Q87" s="437"/>
      <c r="R87" s="437"/>
      <c r="S87" s="437"/>
      <c r="T87" s="437" t="s">
        <v>144</v>
      </c>
      <c r="U87" s="437"/>
      <c r="V87" s="438"/>
      <c r="W87" s="438"/>
      <c r="X87" s="438"/>
      <c r="Y87" s="439" t="s">
        <v>146</v>
      </c>
      <c r="Z87" s="439"/>
      <c r="AA87" s="439"/>
      <c r="AB87" s="439"/>
      <c r="AC87" s="439"/>
      <c r="AD87" s="440"/>
      <c r="AF87" s="50"/>
    </row>
    <row r="88" spans="1:32" ht="30.75" customHeight="1">
      <c r="A88" s="428">
        <v>2</v>
      </c>
      <c r="B88" s="429"/>
      <c r="C88" s="430"/>
      <c r="D88" s="430"/>
      <c r="E88" s="430"/>
      <c r="F88" s="430"/>
      <c r="G88" s="430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  <c r="T88" s="431"/>
      <c r="U88" s="431"/>
      <c r="V88" s="432"/>
      <c r="W88" s="432"/>
      <c r="X88" s="432"/>
      <c r="Y88" s="421"/>
      <c r="Z88" s="421"/>
      <c r="AA88" s="421"/>
      <c r="AB88" s="421"/>
      <c r="AC88" s="421"/>
      <c r="AD88" s="422"/>
      <c r="AF88" s="50"/>
    </row>
    <row r="89" spans="1:32" ht="30.75" customHeight="1" thickBot="1">
      <c r="A89" s="423">
        <v>3</v>
      </c>
      <c r="B89" s="424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6"/>
      <c r="Z89" s="426"/>
      <c r="AA89" s="426"/>
      <c r="AB89" s="426"/>
      <c r="AC89" s="426"/>
      <c r="AD89" s="427"/>
      <c r="AF89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E76"/>
    <mergeCell ref="A77:B77"/>
    <mergeCell ref="F77:J77"/>
    <mergeCell ref="K77:S77"/>
    <mergeCell ref="T77:U77"/>
    <mergeCell ref="V77:W77"/>
    <mergeCell ref="X77:AD77"/>
    <mergeCell ref="A75:B75"/>
    <mergeCell ref="F75:J75"/>
    <mergeCell ref="K75:L75"/>
    <mergeCell ref="N75:O75"/>
    <mergeCell ref="P75:Q75"/>
    <mergeCell ref="R75:AA75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9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226-6C85-43BD-B74A-95D3352E9BF7}">
  <dimension ref="A1:AF87"/>
  <sheetViews>
    <sheetView view="pageBreakPreview" zoomScale="70" zoomScaleNormal="72" zoomScaleSheetLayoutView="70" workbookViewId="0">
      <selection activeCell="U11" sqref="U1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431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56" t="s">
        <v>17</v>
      </c>
      <c r="L5" s="356" t="s">
        <v>18</v>
      </c>
      <c r="M5" s="356" t="s">
        <v>19</v>
      </c>
      <c r="N5" s="35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415</v>
      </c>
      <c r="F6" s="12" t="s">
        <v>359</v>
      </c>
      <c r="G6" s="12">
        <v>1</v>
      </c>
      <c r="H6" s="13">
        <v>24</v>
      </c>
      <c r="I6" s="31">
        <v>850</v>
      </c>
      <c r="J6" s="14">
        <v>1354</v>
      </c>
      <c r="K6" s="15">
        <f>L6+1354</f>
        <v>1354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16</v>
      </c>
      <c r="R6" s="7"/>
      <c r="S6" s="6"/>
      <c r="T6" s="16"/>
      <c r="U6" s="16"/>
      <c r="V6" s="17"/>
      <c r="W6" s="5">
        <v>16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0.40625000000000006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5754</v>
      </c>
      <c r="K7" s="15">
        <f>L7+2506+3518+2903</f>
        <v>14681</v>
      </c>
      <c r="L7" s="15">
        <f>2979+2775</f>
        <v>5754</v>
      </c>
      <c r="M7" s="15">
        <f t="shared" si="0"/>
        <v>5754</v>
      </c>
      <c r="N7" s="15">
        <v>0</v>
      </c>
      <c r="O7" s="58">
        <f t="shared" si="1"/>
        <v>0</v>
      </c>
      <c r="P7" s="39">
        <f t="shared" si="2"/>
        <v>23</v>
      </c>
      <c r="Q7" s="40">
        <f t="shared" si="3"/>
        <v>1</v>
      </c>
      <c r="R7" s="7"/>
      <c r="S7" s="6">
        <v>1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0.95833333333333337</v>
      </c>
      <c r="AD7" s="10">
        <f t="shared" si="6"/>
        <v>0.95833333333333337</v>
      </c>
      <c r="AE7" s="36">
        <f t="shared" si="7"/>
        <v>0.40625000000000006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9848</v>
      </c>
      <c r="K8" s="15">
        <f>L8</f>
        <v>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0.40625000000000006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231</v>
      </c>
      <c r="E9" s="53" t="s">
        <v>230</v>
      </c>
      <c r="F9" s="30" t="s">
        <v>140</v>
      </c>
      <c r="G9" s="33">
        <v>2</v>
      </c>
      <c r="H9" s="35">
        <v>24</v>
      </c>
      <c r="I9" s="7">
        <v>2000</v>
      </c>
      <c r="J9" s="5">
        <v>6124</v>
      </c>
      <c r="K9" s="15">
        <f>L9+6124</f>
        <v>6124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>AC9*AB9*(1-O9)</f>
        <v>0</v>
      </c>
      <c r="AE9" s="36">
        <f t="shared" si="7"/>
        <v>0.40625000000000006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200000</v>
      </c>
      <c r="J10" s="14">
        <v>23988</v>
      </c>
      <c r="K10" s="15">
        <f>L10+25248+14223+20808</f>
        <v>84267</v>
      </c>
      <c r="L10" s="15">
        <f>2942*4+3055*4</f>
        <v>23988</v>
      </c>
      <c r="M10" s="15">
        <f t="shared" si="0"/>
        <v>23988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ref="AD10:AD14" si="9">AC10*AB10*(1-O10)</f>
        <v>1</v>
      </c>
      <c r="AE10" s="36">
        <f t="shared" si="7"/>
        <v>0.40625000000000006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9"/>
        <v>0</v>
      </c>
      <c r="AE11" s="36">
        <f t="shared" si="7"/>
        <v>0.40625000000000006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119</v>
      </c>
      <c r="D12" s="52" t="s">
        <v>423</v>
      </c>
      <c r="E12" s="53" t="s">
        <v>424</v>
      </c>
      <c r="F12" s="30" t="s">
        <v>325</v>
      </c>
      <c r="G12" s="12" t="s">
        <v>432</v>
      </c>
      <c r="H12" s="13">
        <v>20</v>
      </c>
      <c r="I12" s="31">
        <v>6000</v>
      </c>
      <c r="J12" s="5">
        <v>9910</v>
      </c>
      <c r="K12" s="15">
        <f>L12</f>
        <v>9910</v>
      </c>
      <c r="L12" s="15">
        <f>2286*2+2669*2</f>
        <v>9910</v>
      </c>
      <c r="M12" s="15">
        <f t="shared" si="0"/>
        <v>9910</v>
      </c>
      <c r="N12" s="15">
        <v>0</v>
      </c>
      <c r="O12" s="58">
        <f t="shared" si="1"/>
        <v>0</v>
      </c>
      <c r="P12" s="39">
        <f t="shared" si="2"/>
        <v>23</v>
      </c>
      <c r="Q12" s="40">
        <f t="shared" si="3"/>
        <v>1</v>
      </c>
      <c r="R12" s="7"/>
      <c r="S12" s="6"/>
      <c r="T12" s="16">
        <v>1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0.95833333333333337</v>
      </c>
      <c r="AD12" s="10">
        <f t="shared" si="9"/>
        <v>0.95833333333333337</v>
      </c>
      <c r="AE12" s="36">
        <f t="shared" si="7"/>
        <v>0.40625000000000006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750</v>
      </c>
      <c r="K13" s="15">
        <f>L13+5352+5939+5686+5401+1584+3790+3671+5242</f>
        <v>37415</v>
      </c>
      <c r="L13" s="15">
        <v>750</v>
      </c>
      <c r="M13" s="15">
        <f t="shared" si="0"/>
        <v>750</v>
      </c>
      <c r="N13" s="15">
        <v>0</v>
      </c>
      <c r="O13" s="58">
        <f t="shared" si="1"/>
        <v>0</v>
      </c>
      <c r="P13" s="39">
        <f t="shared" si="2"/>
        <v>5</v>
      </c>
      <c r="Q13" s="40">
        <f t="shared" si="3"/>
        <v>19</v>
      </c>
      <c r="R13" s="7"/>
      <c r="S13" s="6">
        <v>19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0.20833333333333334</v>
      </c>
      <c r="AD13" s="10">
        <f>AC13*AB13*(1-O13)</f>
        <v>0.20833333333333334</v>
      </c>
      <c r="AE13" s="36">
        <f t="shared" si="7"/>
        <v>0.40625000000000006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0.40625000000000006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4927</v>
      </c>
      <c r="K15" s="15">
        <f>L15+3277</f>
        <v>8204</v>
      </c>
      <c r="L15" s="15">
        <f>2746+2181</f>
        <v>4927</v>
      </c>
      <c r="M15" s="15">
        <f t="shared" si="0"/>
        <v>4927</v>
      </c>
      <c r="N15" s="15">
        <v>0</v>
      </c>
      <c r="O15" s="58">
        <f t="shared" si="1"/>
        <v>0</v>
      </c>
      <c r="P15" s="39">
        <f t="shared" si="2"/>
        <v>22</v>
      </c>
      <c r="Q15" s="40">
        <f t="shared" si="3"/>
        <v>2</v>
      </c>
      <c r="R15" s="7"/>
      <c r="S15" s="6">
        <v>2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0.91666666666666663</v>
      </c>
      <c r="AD15" s="10">
        <f t="shared" si="6"/>
        <v>0.91666666666666663</v>
      </c>
      <c r="AE15" s="36">
        <f t="shared" si="7"/>
        <v>0.40625000000000006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0.40625000000000006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0.40625000000000006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0.40625000000000006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417</v>
      </c>
      <c r="F19" s="30" t="s">
        <v>241</v>
      </c>
      <c r="G19" s="33">
        <v>1</v>
      </c>
      <c r="H19" s="35">
        <v>24</v>
      </c>
      <c r="I19" s="7">
        <v>28000</v>
      </c>
      <c r="J19" s="14">
        <v>4594</v>
      </c>
      <c r="K19" s="15">
        <f>L19</f>
        <v>4594</v>
      </c>
      <c r="L19" s="15">
        <f>1861+2733</f>
        <v>4594</v>
      </c>
      <c r="M19" s="15">
        <f t="shared" si="0"/>
        <v>4594</v>
      </c>
      <c r="N19" s="15">
        <v>0</v>
      </c>
      <c r="O19" s="58">
        <f t="shared" si="1"/>
        <v>0</v>
      </c>
      <c r="P19" s="39">
        <f t="shared" si="2"/>
        <v>22</v>
      </c>
      <c r="Q19" s="40">
        <f t="shared" si="3"/>
        <v>2</v>
      </c>
      <c r="R19" s="7"/>
      <c r="S19" s="6">
        <v>2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0.91666666666666663</v>
      </c>
      <c r="AD19" s="10">
        <f t="shared" si="6"/>
        <v>0.91666666666666663</v>
      </c>
      <c r="AE19" s="36">
        <f t="shared" si="7"/>
        <v>0.40625000000000006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199</v>
      </c>
      <c r="F20" s="30" t="s">
        <v>123</v>
      </c>
      <c r="G20" s="12">
        <v>4</v>
      </c>
      <c r="H20" s="13">
        <v>28</v>
      </c>
      <c r="I20" s="31">
        <v>200000</v>
      </c>
      <c r="J20" s="5">
        <v>26640</v>
      </c>
      <c r="K20" s="15">
        <f>L20+17832</f>
        <v>44472</v>
      </c>
      <c r="L20" s="15">
        <f>3342*4+3318*4</f>
        <v>26640</v>
      </c>
      <c r="M20" s="15">
        <f t="shared" si="0"/>
        <v>26640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0.40625000000000006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500000</v>
      </c>
      <c r="J21" s="14">
        <v>35272</v>
      </c>
      <c r="K21" s="15">
        <f>L21+28876+33668+30304+72816+70472+27788+28704</f>
        <v>327900</v>
      </c>
      <c r="L21" s="15">
        <f>8818*4</f>
        <v>35272</v>
      </c>
      <c r="M21" s="15">
        <f t="shared" si="0"/>
        <v>35272</v>
      </c>
      <c r="N21" s="15">
        <v>0</v>
      </c>
      <c r="O21" s="58">
        <f t="shared" si="1"/>
        <v>0</v>
      </c>
      <c r="P21" s="39">
        <f t="shared" si="2"/>
        <v>13</v>
      </c>
      <c r="Q21" s="40">
        <f t="shared" si="3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0.54166666666666663</v>
      </c>
      <c r="AD21" s="10">
        <f t="shared" si="6"/>
        <v>0.54166666666666663</v>
      </c>
      <c r="AE21" s="36">
        <f t="shared" si="7"/>
        <v>0.40625000000000006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1275650</v>
      </c>
      <c r="J22" s="19">
        <f t="shared" si="10"/>
        <v>151437</v>
      </c>
      <c r="K22" s="20">
        <f t="shared" si="10"/>
        <v>635516</v>
      </c>
      <c r="L22" s="21">
        <f t="shared" si="10"/>
        <v>111835</v>
      </c>
      <c r="M22" s="20">
        <f t="shared" si="10"/>
        <v>111835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156</v>
      </c>
      <c r="Q22" s="43">
        <f t="shared" si="11"/>
        <v>220</v>
      </c>
      <c r="R22" s="23">
        <f t="shared" si="11"/>
        <v>24</v>
      </c>
      <c r="S22" s="24">
        <f t="shared" si="11"/>
        <v>96</v>
      </c>
      <c r="T22" s="24">
        <f t="shared" si="11"/>
        <v>1</v>
      </c>
      <c r="U22" s="24">
        <f t="shared" si="11"/>
        <v>0</v>
      </c>
      <c r="V22" s="25">
        <f t="shared" si="11"/>
        <v>11</v>
      </c>
      <c r="W22" s="26">
        <f t="shared" si="11"/>
        <v>88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0.5</v>
      </c>
      <c r="AC22" s="4">
        <f>AVERAGE(AC6:AC21)</f>
        <v>0.40625000000000006</v>
      </c>
      <c r="AD22" s="4">
        <f>AVERAGE(AD6:AD21)</f>
        <v>0.40625000000000006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433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439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57" t="s">
        <v>46</v>
      </c>
      <c r="D51" s="357" t="s">
        <v>47</v>
      </c>
      <c r="E51" s="357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57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486" t="s">
        <v>119</v>
      </c>
      <c r="B52" s="487"/>
      <c r="C52" s="360" t="s">
        <v>409</v>
      </c>
      <c r="D52" s="360" t="s">
        <v>138</v>
      </c>
      <c r="E52" s="360" t="s">
        <v>408</v>
      </c>
      <c r="F52" s="488" t="s">
        <v>434</v>
      </c>
      <c r="G52" s="489"/>
      <c r="H52" s="489"/>
      <c r="I52" s="489"/>
      <c r="J52" s="489"/>
      <c r="K52" s="489"/>
      <c r="L52" s="489"/>
      <c r="M52" s="490"/>
      <c r="N52" s="359" t="s">
        <v>122</v>
      </c>
      <c r="O52" s="365" t="s">
        <v>196</v>
      </c>
      <c r="P52" s="502"/>
      <c r="Q52" s="503"/>
      <c r="R52" s="502" t="s">
        <v>302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120</v>
      </c>
      <c r="B53" s="501"/>
      <c r="C53" s="358" t="s">
        <v>147</v>
      </c>
      <c r="D53" s="358" t="s">
        <v>160</v>
      </c>
      <c r="E53" s="360" t="s">
        <v>248</v>
      </c>
      <c r="F53" s="488" t="s">
        <v>435</v>
      </c>
      <c r="G53" s="489"/>
      <c r="H53" s="489"/>
      <c r="I53" s="489"/>
      <c r="J53" s="489"/>
      <c r="K53" s="489"/>
      <c r="L53" s="489"/>
      <c r="M53" s="490"/>
      <c r="N53" s="359" t="s">
        <v>120</v>
      </c>
      <c r="O53" s="365" t="s">
        <v>149</v>
      </c>
      <c r="P53" s="502" t="s">
        <v>115</v>
      </c>
      <c r="Q53" s="503"/>
      <c r="R53" s="502" t="s">
        <v>441</v>
      </c>
      <c r="S53" s="504"/>
      <c r="T53" s="504"/>
      <c r="U53" s="503"/>
      <c r="V53" s="472" t="s">
        <v>314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119</v>
      </c>
      <c r="B54" s="501"/>
      <c r="C54" s="358" t="s">
        <v>141</v>
      </c>
      <c r="D54" s="358" t="s">
        <v>436</v>
      </c>
      <c r="E54" s="360" t="s">
        <v>437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359"/>
      <c r="O54" s="365"/>
      <c r="P54" s="502"/>
      <c r="Q54" s="503"/>
      <c r="R54" s="502"/>
      <c r="S54" s="504"/>
      <c r="T54" s="504"/>
      <c r="U54" s="503"/>
      <c r="V54" s="472"/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500" t="s">
        <v>122</v>
      </c>
      <c r="B55" s="501"/>
      <c r="C55" s="358" t="s">
        <v>202</v>
      </c>
      <c r="D55" s="358"/>
      <c r="E55" s="360" t="s">
        <v>203</v>
      </c>
      <c r="F55" s="488" t="s">
        <v>438</v>
      </c>
      <c r="G55" s="489"/>
      <c r="H55" s="489"/>
      <c r="I55" s="489"/>
      <c r="J55" s="489"/>
      <c r="K55" s="489"/>
      <c r="L55" s="489"/>
      <c r="M55" s="490"/>
      <c r="N55" s="359"/>
      <c r="O55" s="365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 t="s">
        <v>119</v>
      </c>
      <c r="B56" s="501"/>
      <c r="C56" s="358" t="s">
        <v>182</v>
      </c>
      <c r="D56" s="358" t="s">
        <v>115</v>
      </c>
      <c r="E56" s="360" t="s">
        <v>422</v>
      </c>
      <c r="F56" s="488" t="s">
        <v>132</v>
      </c>
      <c r="G56" s="489"/>
      <c r="H56" s="489"/>
      <c r="I56" s="489"/>
      <c r="J56" s="489"/>
      <c r="K56" s="489"/>
      <c r="L56" s="489"/>
      <c r="M56" s="490"/>
      <c r="N56" s="359"/>
      <c r="O56" s="365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122</v>
      </c>
      <c r="B57" s="501"/>
      <c r="C57" s="358" t="s">
        <v>196</v>
      </c>
      <c r="D57" s="358"/>
      <c r="E57" s="360" t="s">
        <v>302</v>
      </c>
      <c r="F57" s="488" t="s">
        <v>440</v>
      </c>
      <c r="G57" s="489"/>
      <c r="H57" s="489"/>
      <c r="I57" s="489"/>
      <c r="J57" s="489"/>
      <c r="K57" s="489"/>
      <c r="L57" s="489"/>
      <c r="M57" s="490"/>
      <c r="N57" s="359"/>
      <c r="O57" s="365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58"/>
      <c r="D58" s="358"/>
      <c r="E58" s="360"/>
      <c r="F58" s="488"/>
      <c r="G58" s="489"/>
      <c r="H58" s="489"/>
      <c r="I58" s="489"/>
      <c r="J58" s="489"/>
      <c r="K58" s="489"/>
      <c r="L58" s="489"/>
      <c r="M58" s="490"/>
      <c r="N58" s="359"/>
      <c r="O58" s="365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58"/>
      <c r="D59" s="358"/>
      <c r="E59" s="360"/>
      <c r="F59" s="488"/>
      <c r="G59" s="489"/>
      <c r="H59" s="489"/>
      <c r="I59" s="489"/>
      <c r="J59" s="489"/>
      <c r="K59" s="489"/>
      <c r="L59" s="489"/>
      <c r="M59" s="490"/>
      <c r="N59" s="359"/>
      <c r="O59" s="365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360"/>
      <c r="D60" s="360"/>
      <c r="E60" s="360"/>
      <c r="F60" s="488"/>
      <c r="G60" s="489"/>
      <c r="H60" s="489"/>
      <c r="I60" s="489"/>
      <c r="J60" s="489"/>
      <c r="K60" s="489"/>
      <c r="L60" s="489"/>
      <c r="M60" s="490"/>
      <c r="N60" s="359"/>
      <c r="O60" s="365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361"/>
      <c r="D61" s="362"/>
      <c r="E61" s="362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442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363" t="s">
        <v>2</v>
      </c>
      <c r="D63" s="363" t="s">
        <v>37</v>
      </c>
      <c r="E63" s="363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363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367"/>
      <c r="E64" s="364" t="s">
        <v>115</v>
      </c>
      <c r="F64" s="473" t="s">
        <v>376</v>
      </c>
      <c r="G64" s="474"/>
      <c r="H64" s="474"/>
      <c r="I64" s="474"/>
      <c r="J64" s="475"/>
      <c r="K64" s="461" t="s">
        <v>123</v>
      </c>
      <c r="L64" s="461"/>
      <c r="M64" s="51" t="s">
        <v>133</v>
      </c>
      <c r="N64" s="470" t="s">
        <v>149</v>
      </c>
      <c r="O64" s="470"/>
      <c r="P64" s="471">
        <v>200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 t="s">
        <v>120</v>
      </c>
      <c r="D65" s="367"/>
      <c r="E65" s="364" t="s">
        <v>115</v>
      </c>
      <c r="F65" s="473" t="s">
        <v>441</v>
      </c>
      <c r="G65" s="474"/>
      <c r="H65" s="474"/>
      <c r="I65" s="474"/>
      <c r="J65" s="475"/>
      <c r="K65" s="461" t="s">
        <v>123</v>
      </c>
      <c r="L65" s="461"/>
      <c r="M65" s="51" t="s">
        <v>133</v>
      </c>
      <c r="N65" s="470" t="s">
        <v>149</v>
      </c>
      <c r="O65" s="470"/>
      <c r="P65" s="471">
        <v>100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119</v>
      </c>
      <c r="D66" s="367"/>
      <c r="E66" s="364" t="s">
        <v>128</v>
      </c>
      <c r="F66" s="473" t="s">
        <v>289</v>
      </c>
      <c r="G66" s="474"/>
      <c r="H66" s="474"/>
      <c r="I66" s="474"/>
      <c r="J66" s="475"/>
      <c r="K66" s="461" t="s">
        <v>140</v>
      </c>
      <c r="L66" s="461"/>
      <c r="M66" s="51" t="s">
        <v>133</v>
      </c>
      <c r="N66" s="470" t="s">
        <v>208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 t="s">
        <v>112</v>
      </c>
      <c r="D67" s="367"/>
      <c r="E67" s="364" t="s">
        <v>444</v>
      </c>
      <c r="F67" s="473" t="s">
        <v>443</v>
      </c>
      <c r="G67" s="474"/>
      <c r="H67" s="474"/>
      <c r="I67" s="474"/>
      <c r="J67" s="475"/>
      <c r="K67" s="461" t="s">
        <v>127</v>
      </c>
      <c r="L67" s="461"/>
      <c r="M67" s="51" t="s">
        <v>360</v>
      </c>
      <c r="N67" s="470" t="s">
        <v>150</v>
      </c>
      <c r="O67" s="470"/>
      <c r="P67" s="471">
        <v>50</v>
      </c>
      <c r="Q67" s="471"/>
      <c r="R67" s="472" t="s">
        <v>445</v>
      </c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67"/>
      <c r="E68" s="364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67"/>
      <c r="E69" s="364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67"/>
      <c r="E70" s="364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67"/>
      <c r="E71" s="364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67"/>
      <c r="E72" s="364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67"/>
      <c r="E73" s="364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446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66" t="s">
        <v>2</v>
      </c>
      <c r="D75" s="366" t="s">
        <v>37</v>
      </c>
      <c r="E75" s="366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68" t="s">
        <v>112</v>
      </c>
      <c r="D76" s="368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67"/>
      <c r="D77" s="367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367"/>
      <c r="D78" s="367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367"/>
      <c r="D79" s="367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367"/>
      <c r="D80" s="367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367"/>
      <c r="D81" s="367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367"/>
      <c r="D82" s="367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447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E90A-64BC-4EE6-9EF0-62C03C8EE3AC}">
  <dimension ref="A1:AF87"/>
  <sheetViews>
    <sheetView view="pageBreakPreview" zoomScale="70" zoomScaleNormal="72" zoomScaleSheetLayoutView="70" workbookViewId="0">
      <selection activeCell="K65" sqref="K65:L6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188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35" t="s">
        <v>17</v>
      </c>
      <c r="L5" s="135" t="s">
        <v>18</v>
      </c>
      <c r="M5" s="135" t="s">
        <v>19</v>
      </c>
      <c r="N5" s="13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166</v>
      </c>
      <c r="F6" s="12" t="s">
        <v>127</v>
      </c>
      <c r="G6" s="12">
        <v>1</v>
      </c>
      <c r="H6" s="13">
        <v>24</v>
      </c>
      <c r="I6" s="31">
        <v>4000</v>
      </c>
      <c r="J6" s="14">
        <v>3718</v>
      </c>
      <c r="K6" s="15">
        <f>L6+1408+3251+3718</f>
        <v>8377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0.4921875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4</v>
      </c>
      <c r="H7" s="13">
        <v>24</v>
      </c>
      <c r="I7" s="31">
        <v>100000</v>
      </c>
      <c r="J7" s="14">
        <v>11840</v>
      </c>
      <c r="K7" s="15">
        <f>L7</f>
        <v>11840</v>
      </c>
      <c r="L7" s="15">
        <f>2960*4</f>
        <v>11840</v>
      </c>
      <c r="M7" s="15">
        <f t="shared" si="0"/>
        <v>11840</v>
      </c>
      <c r="N7" s="15">
        <v>0</v>
      </c>
      <c r="O7" s="58">
        <f t="shared" si="1"/>
        <v>0</v>
      </c>
      <c r="P7" s="39">
        <f t="shared" si="2"/>
        <v>13</v>
      </c>
      <c r="Q7" s="40">
        <f t="shared" si="3"/>
        <v>11</v>
      </c>
      <c r="R7" s="7"/>
      <c r="S7" s="6">
        <v>11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0.54166666666666663</v>
      </c>
      <c r="AD7" s="10">
        <f t="shared" si="6"/>
        <v>0.54166666666666663</v>
      </c>
      <c r="AE7" s="36">
        <f t="shared" si="7"/>
        <v>0.4921875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24584</v>
      </c>
      <c r="K8" s="15">
        <f>L8+23776+23632+22448+10612+24680+24492+25268+13104+24332+13700+17504+23944+23561</f>
        <v>295637</v>
      </c>
      <c r="L8" s="15">
        <f>2915*4+3231*4</f>
        <v>24584</v>
      </c>
      <c r="M8" s="15">
        <f t="shared" si="0"/>
        <v>24584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0.4921875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0.4921875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10400</v>
      </c>
      <c r="K10" s="15">
        <f>L10+25196+23668+24836+25088+24940+25884+1424</f>
        <v>161436</v>
      </c>
      <c r="L10" s="15">
        <f>2600*4</f>
        <v>10400</v>
      </c>
      <c r="M10" s="15">
        <f t="shared" si="0"/>
        <v>10400</v>
      </c>
      <c r="N10" s="15">
        <v>0</v>
      </c>
      <c r="O10" s="58">
        <f t="shared" si="1"/>
        <v>0</v>
      </c>
      <c r="P10" s="39">
        <f t="shared" si="2"/>
        <v>13</v>
      </c>
      <c r="Q10" s="40">
        <f t="shared" si="3"/>
        <v>11</v>
      </c>
      <c r="R10" s="7"/>
      <c r="S10" s="6">
        <v>11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0.54166666666666663</v>
      </c>
      <c r="AD10" s="10">
        <f>AC10*AB10*(1-O10)</f>
        <v>0.54166666666666663</v>
      </c>
      <c r="AE10" s="36">
        <f t="shared" si="7"/>
        <v>0.4921875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122</v>
      </c>
      <c r="D11" s="52" t="s">
        <v>115</v>
      </c>
      <c r="E11" s="53" t="s">
        <v>190</v>
      </c>
      <c r="F11" s="30" t="s">
        <v>191</v>
      </c>
      <c r="G11" s="33">
        <v>1</v>
      </c>
      <c r="H11" s="35">
        <v>24</v>
      </c>
      <c r="I11" s="7">
        <v>11000</v>
      </c>
      <c r="J11" s="14">
        <v>3348</v>
      </c>
      <c r="K11" s="15">
        <f>L11</f>
        <v>3348</v>
      </c>
      <c r="L11" s="15">
        <f>568+2780</f>
        <v>3348</v>
      </c>
      <c r="M11" s="15">
        <f t="shared" si="0"/>
        <v>3348</v>
      </c>
      <c r="N11" s="15">
        <v>0</v>
      </c>
      <c r="O11" s="58">
        <f t="shared" si="1"/>
        <v>0</v>
      </c>
      <c r="P11" s="39">
        <f t="shared" si="2"/>
        <v>19</v>
      </c>
      <c r="Q11" s="40">
        <f t="shared" si="3"/>
        <v>5</v>
      </c>
      <c r="R11" s="7"/>
      <c r="S11" s="6"/>
      <c r="T11" s="16">
        <v>5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0.79166666666666663</v>
      </c>
      <c r="AD11" s="10">
        <f t="shared" ref="AD11:AD14" si="9">AC11*AB11*(1-O11)</f>
        <v>0.79166666666666663</v>
      </c>
      <c r="AE11" s="36">
        <f t="shared" si="7"/>
        <v>0.4921875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120</v>
      </c>
      <c r="D12" s="52" t="s">
        <v>115</v>
      </c>
      <c r="E12" s="53" t="s">
        <v>152</v>
      </c>
      <c r="F12" s="30" t="s">
        <v>123</v>
      </c>
      <c r="G12" s="12">
        <v>3</v>
      </c>
      <c r="H12" s="13">
        <v>28</v>
      </c>
      <c r="I12" s="31">
        <v>400000</v>
      </c>
      <c r="J12" s="5">
        <v>17043</v>
      </c>
      <c r="K12" s="15">
        <f>L12+24356+25828+27100+24476+20768+27072+26880+9280+9984+18246+20307+18330+20418+9615</f>
        <v>299703</v>
      </c>
      <c r="L12" s="15">
        <f>3508*3+2173*3</f>
        <v>17043</v>
      </c>
      <c r="M12" s="15">
        <f t="shared" si="0"/>
        <v>17043</v>
      </c>
      <c r="N12" s="15">
        <v>0</v>
      </c>
      <c r="O12" s="58">
        <f t="shared" si="1"/>
        <v>0</v>
      </c>
      <c r="P12" s="39">
        <f t="shared" si="2"/>
        <v>21</v>
      </c>
      <c r="Q12" s="40">
        <f t="shared" si="3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0.875</v>
      </c>
      <c r="AD12" s="10">
        <f t="shared" si="9"/>
        <v>0.875</v>
      </c>
      <c r="AE12" s="36">
        <f t="shared" si="7"/>
        <v>0.4921875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130000</v>
      </c>
      <c r="J13" s="5">
        <v>8180</v>
      </c>
      <c r="K13" s="15">
        <f>L13+14284+8352+12576+8310+15524+17860+22424+23088+2420+23364+22844+15980+12148+8056+16415+23304+22652+18028+24560+16004+23972+26116+28148+12884+27980+28568+27912+29148+22636+20804+27276+24808+27356+26324</f>
        <v>690305</v>
      </c>
      <c r="L13" s="15">
        <f>2045*4</f>
        <v>8180</v>
      </c>
      <c r="M13" s="15">
        <f t="shared" si="0"/>
        <v>8180</v>
      </c>
      <c r="N13" s="15">
        <v>0</v>
      </c>
      <c r="O13" s="58">
        <f t="shared" si="1"/>
        <v>0</v>
      </c>
      <c r="P13" s="39">
        <f t="shared" si="2"/>
        <v>9</v>
      </c>
      <c r="Q13" s="40">
        <f t="shared" si="3"/>
        <v>15</v>
      </c>
      <c r="R13" s="7"/>
      <c r="S13" s="6">
        <v>15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0.375</v>
      </c>
      <c r="AD13" s="10">
        <f>AC13*AB13*(1-O13)</f>
        <v>0.375</v>
      </c>
      <c r="AE13" s="36">
        <f t="shared" si="7"/>
        <v>0.4921875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137</v>
      </c>
      <c r="F14" s="30" t="s">
        <v>129</v>
      </c>
      <c r="G14" s="33">
        <v>1</v>
      </c>
      <c r="H14" s="35">
        <v>60</v>
      </c>
      <c r="I14" s="7">
        <v>300</v>
      </c>
      <c r="J14" s="5">
        <v>190</v>
      </c>
      <c r="K14" s="15">
        <f>L14+166</f>
        <v>356</v>
      </c>
      <c r="L14" s="15">
        <v>190</v>
      </c>
      <c r="M14" s="15">
        <f t="shared" si="0"/>
        <v>190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>
        <v>18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9"/>
        <v>0.25</v>
      </c>
      <c r="AE14" s="36">
        <f t="shared" si="7"/>
        <v>0.4921875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162</v>
      </c>
      <c r="D15" s="52" t="s">
        <v>163</v>
      </c>
      <c r="E15" s="53" t="s">
        <v>164</v>
      </c>
      <c r="F15" s="12" t="s">
        <v>165</v>
      </c>
      <c r="G15" s="12">
        <v>4</v>
      </c>
      <c r="H15" s="13">
        <v>24</v>
      </c>
      <c r="I15" s="31">
        <v>10000</v>
      </c>
      <c r="J15" s="14">
        <v>15572</v>
      </c>
      <c r="K15" s="15">
        <f>L15+20724+15572</f>
        <v>36296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0.4921875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0.4921875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6224</v>
      </c>
      <c r="K17" s="15">
        <f>L17+5525+6064+6153+5650+5997</f>
        <v>35613</v>
      </c>
      <c r="L17" s="15">
        <f>3259+2965</f>
        <v>6224</v>
      </c>
      <c r="M17" s="15">
        <f t="shared" si="0"/>
        <v>6224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0.4921875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115</v>
      </c>
      <c r="E18" s="53" t="s">
        <v>185</v>
      </c>
      <c r="F18" s="30" t="s">
        <v>129</v>
      </c>
      <c r="G18" s="33">
        <v>1</v>
      </c>
      <c r="H18" s="35">
        <v>24</v>
      </c>
      <c r="I18" s="7">
        <v>1600</v>
      </c>
      <c r="J18" s="14">
        <v>3125</v>
      </c>
      <c r="K18" s="15">
        <f>L18</f>
        <v>3125</v>
      </c>
      <c r="L18" s="15">
        <f>1603+1522</f>
        <v>3125</v>
      </c>
      <c r="M18" s="15">
        <f t="shared" si="0"/>
        <v>3125</v>
      </c>
      <c r="N18" s="15">
        <v>0</v>
      </c>
      <c r="O18" s="58">
        <f t="shared" si="1"/>
        <v>0</v>
      </c>
      <c r="P18" s="39">
        <f t="shared" si="2"/>
        <v>17</v>
      </c>
      <c r="Q18" s="40">
        <f t="shared" si="3"/>
        <v>7</v>
      </c>
      <c r="R18" s="7"/>
      <c r="S18" s="6">
        <v>7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0.70833333333333337</v>
      </c>
      <c r="AD18" s="10">
        <f t="shared" si="6"/>
        <v>0.70833333333333337</v>
      </c>
      <c r="AE18" s="36">
        <f t="shared" si="7"/>
        <v>0.4921875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100000</v>
      </c>
      <c r="J19" s="14">
        <v>15980</v>
      </c>
      <c r="K19" s="15">
        <f>L19+9612+11036+20524</f>
        <v>57152</v>
      </c>
      <c r="L19" s="15">
        <f>979*4+3016*4</f>
        <v>15980</v>
      </c>
      <c r="M19" s="15">
        <f t="shared" si="0"/>
        <v>15980</v>
      </c>
      <c r="N19" s="15">
        <v>0</v>
      </c>
      <c r="O19" s="58">
        <f t="shared" si="1"/>
        <v>0</v>
      </c>
      <c r="P19" s="39">
        <f t="shared" si="2"/>
        <v>19</v>
      </c>
      <c r="Q19" s="40">
        <f t="shared" si="3"/>
        <v>5</v>
      </c>
      <c r="R19" s="7">
        <v>5</v>
      </c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0.79166666666666663</v>
      </c>
      <c r="AD19" s="10">
        <f t="shared" si="6"/>
        <v>0.79166666666666663</v>
      </c>
      <c r="AE19" s="36">
        <f t="shared" si="7"/>
        <v>0.4921875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131</v>
      </c>
      <c r="E20" s="53" t="s">
        <v>174</v>
      </c>
      <c r="F20" s="30" t="s">
        <v>123</v>
      </c>
      <c r="G20" s="12">
        <v>2</v>
      </c>
      <c r="H20" s="13">
        <v>28</v>
      </c>
      <c r="I20" s="31">
        <v>40000</v>
      </c>
      <c r="J20" s="5">
        <v>12816</v>
      </c>
      <c r="K20" s="15">
        <f>L20+12952+12936+12314</f>
        <v>51018</v>
      </c>
      <c r="L20" s="15">
        <f>3390*2+3018*2</f>
        <v>12816</v>
      </c>
      <c r="M20" s="15">
        <f t="shared" si="0"/>
        <v>12816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0.4921875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0.4921875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2348400</v>
      </c>
      <c r="J22" s="19">
        <f t="shared" si="10"/>
        <v>175059</v>
      </c>
      <c r="K22" s="20">
        <f t="shared" si="10"/>
        <v>1838897</v>
      </c>
      <c r="L22" s="21">
        <f t="shared" si="10"/>
        <v>113730</v>
      </c>
      <c r="M22" s="20">
        <f t="shared" si="10"/>
        <v>113730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189</v>
      </c>
      <c r="Q22" s="43">
        <f t="shared" si="11"/>
        <v>195</v>
      </c>
      <c r="R22" s="23">
        <f t="shared" si="11"/>
        <v>29</v>
      </c>
      <c r="S22" s="24">
        <f t="shared" si="11"/>
        <v>65</v>
      </c>
      <c r="T22" s="24">
        <f t="shared" si="11"/>
        <v>5</v>
      </c>
      <c r="U22" s="24">
        <f t="shared" si="11"/>
        <v>0</v>
      </c>
      <c r="V22" s="25">
        <f t="shared" si="11"/>
        <v>24</v>
      </c>
      <c r="W22" s="26">
        <f t="shared" si="11"/>
        <v>48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0.6875</v>
      </c>
      <c r="AC22" s="4">
        <f>AVERAGE(AC6:AC21)</f>
        <v>0.4921875</v>
      </c>
      <c r="AD22" s="4">
        <f>AVERAGE(AD6:AD21)</f>
        <v>0.4921875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192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198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36" t="s">
        <v>46</v>
      </c>
      <c r="D51" s="136" t="s">
        <v>47</v>
      </c>
      <c r="E51" s="136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36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137" t="s">
        <v>141</v>
      </c>
      <c r="D52" s="137" t="s">
        <v>115</v>
      </c>
      <c r="E52" s="139" t="s">
        <v>152</v>
      </c>
      <c r="F52" s="488" t="s">
        <v>193</v>
      </c>
      <c r="G52" s="489"/>
      <c r="H52" s="489"/>
      <c r="I52" s="489"/>
      <c r="J52" s="489"/>
      <c r="K52" s="489"/>
      <c r="L52" s="489"/>
      <c r="M52" s="490"/>
      <c r="N52" s="138" t="s">
        <v>120</v>
      </c>
      <c r="O52" s="144" t="s">
        <v>196</v>
      </c>
      <c r="P52" s="502" t="s">
        <v>115</v>
      </c>
      <c r="Q52" s="503"/>
      <c r="R52" s="502" t="s">
        <v>199</v>
      </c>
      <c r="S52" s="504"/>
      <c r="T52" s="504"/>
      <c r="U52" s="503"/>
      <c r="V52" s="472" t="s">
        <v>200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112</v>
      </c>
      <c r="B53" s="487"/>
      <c r="C53" s="139" t="s">
        <v>151</v>
      </c>
      <c r="D53" s="137" t="s">
        <v>115</v>
      </c>
      <c r="E53" s="139" t="s">
        <v>137</v>
      </c>
      <c r="F53" s="488" t="s">
        <v>132</v>
      </c>
      <c r="G53" s="489"/>
      <c r="H53" s="489"/>
      <c r="I53" s="489"/>
      <c r="J53" s="489"/>
      <c r="K53" s="489"/>
      <c r="L53" s="489"/>
      <c r="M53" s="490"/>
      <c r="N53" s="138" t="s">
        <v>112</v>
      </c>
      <c r="O53" s="144" t="s">
        <v>151</v>
      </c>
      <c r="P53" s="502" t="s">
        <v>115</v>
      </c>
      <c r="Q53" s="503"/>
      <c r="R53" s="502" t="s">
        <v>201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112</v>
      </c>
      <c r="B54" s="487"/>
      <c r="C54" s="139" t="s">
        <v>149</v>
      </c>
      <c r="D54" s="139" t="s">
        <v>115</v>
      </c>
      <c r="E54" s="139" t="s">
        <v>185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138" t="s">
        <v>119</v>
      </c>
      <c r="O54" s="144" t="s">
        <v>182</v>
      </c>
      <c r="P54" s="502" t="s">
        <v>115</v>
      </c>
      <c r="Q54" s="503"/>
      <c r="R54" s="502" t="s">
        <v>157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139" t="s">
        <v>182</v>
      </c>
      <c r="D55" s="139" t="s">
        <v>115</v>
      </c>
      <c r="E55" s="139" t="s">
        <v>157</v>
      </c>
      <c r="F55" s="488" t="s">
        <v>194</v>
      </c>
      <c r="G55" s="489"/>
      <c r="H55" s="489"/>
      <c r="I55" s="489"/>
      <c r="J55" s="489"/>
      <c r="K55" s="489"/>
      <c r="L55" s="489"/>
      <c r="M55" s="490"/>
      <c r="N55" s="138" t="s">
        <v>122</v>
      </c>
      <c r="O55" s="144" t="s">
        <v>202</v>
      </c>
      <c r="P55" s="502"/>
      <c r="Q55" s="503"/>
      <c r="R55" s="502" t="s">
        <v>203</v>
      </c>
      <c r="S55" s="504"/>
      <c r="T55" s="504"/>
      <c r="U55" s="503"/>
      <c r="V55" s="472" t="s">
        <v>148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119</v>
      </c>
      <c r="B56" s="487"/>
      <c r="C56" s="139" t="s">
        <v>147</v>
      </c>
      <c r="D56" s="137" t="s">
        <v>160</v>
      </c>
      <c r="E56" s="139" t="s">
        <v>167</v>
      </c>
      <c r="F56" s="488" t="s">
        <v>132</v>
      </c>
      <c r="G56" s="489"/>
      <c r="H56" s="489"/>
      <c r="I56" s="489"/>
      <c r="J56" s="489"/>
      <c r="K56" s="489"/>
      <c r="L56" s="489"/>
      <c r="M56" s="490"/>
      <c r="N56" s="138" t="s">
        <v>120</v>
      </c>
      <c r="O56" s="144" t="s">
        <v>205</v>
      </c>
      <c r="P56" s="502" t="s">
        <v>131</v>
      </c>
      <c r="Q56" s="503"/>
      <c r="R56" s="502" t="s">
        <v>134</v>
      </c>
      <c r="S56" s="504"/>
      <c r="T56" s="504"/>
      <c r="U56" s="503"/>
      <c r="V56" s="472" t="s">
        <v>207</v>
      </c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486" t="s">
        <v>122</v>
      </c>
      <c r="B57" s="487"/>
      <c r="C57" s="139" t="s">
        <v>195</v>
      </c>
      <c r="D57" s="139"/>
      <c r="E57" s="139" t="s">
        <v>190</v>
      </c>
      <c r="F57" s="488" t="s">
        <v>148</v>
      </c>
      <c r="G57" s="489"/>
      <c r="H57" s="489"/>
      <c r="I57" s="489"/>
      <c r="J57" s="489"/>
      <c r="K57" s="489"/>
      <c r="L57" s="489"/>
      <c r="M57" s="490"/>
      <c r="N57" s="138"/>
      <c r="O57" s="144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 t="s">
        <v>120</v>
      </c>
      <c r="B58" s="501"/>
      <c r="C58" s="137" t="s">
        <v>196</v>
      </c>
      <c r="D58" s="137" t="s">
        <v>115</v>
      </c>
      <c r="E58" s="139" t="s">
        <v>135</v>
      </c>
      <c r="F58" s="488" t="s">
        <v>197</v>
      </c>
      <c r="G58" s="489"/>
      <c r="H58" s="489"/>
      <c r="I58" s="489"/>
      <c r="J58" s="489"/>
      <c r="K58" s="489"/>
      <c r="L58" s="489"/>
      <c r="M58" s="490"/>
      <c r="N58" s="138"/>
      <c r="O58" s="144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 t="s">
        <v>120</v>
      </c>
      <c r="B59" s="501"/>
      <c r="C59" s="137" t="s">
        <v>205</v>
      </c>
      <c r="D59" s="137" t="s">
        <v>131</v>
      </c>
      <c r="E59" s="139" t="s">
        <v>134</v>
      </c>
      <c r="F59" s="488" t="s">
        <v>206</v>
      </c>
      <c r="G59" s="489"/>
      <c r="H59" s="489"/>
      <c r="I59" s="489"/>
      <c r="J59" s="489"/>
      <c r="K59" s="489"/>
      <c r="L59" s="489"/>
      <c r="M59" s="490"/>
      <c r="N59" s="138"/>
      <c r="O59" s="144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39"/>
      <c r="D60" s="139"/>
      <c r="E60" s="139"/>
      <c r="F60" s="488"/>
      <c r="G60" s="489"/>
      <c r="H60" s="489"/>
      <c r="I60" s="489"/>
      <c r="J60" s="489"/>
      <c r="K60" s="489"/>
      <c r="L60" s="489"/>
      <c r="M60" s="490"/>
      <c r="N60" s="138"/>
      <c r="O60" s="144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40"/>
      <c r="D61" s="141"/>
      <c r="E61" s="141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204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42" t="s">
        <v>2</v>
      </c>
      <c r="D63" s="142" t="s">
        <v>37</v>
      </c>
      <c r="E63" s="142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42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146"/>
      <c r="E64" s="143" t="s">
        <v>131</v>
      </c>
      <c r="F64" s="473" t="s">
        <v>134</v>
      </c>
      <c r="G64" s="474"/>
      <c r="H64" s="474"/>
      <c r="I64" s="474"/>
      <c r="J64" s="475"/>
      <c r="K64" s="461" t="s">
        <v>123</v>
      </c>
      <c r="L64" s="461"/>
      <c r="M64" s="51" t="s">
        <v>133</v>
      </c>
      <c r="N64" s="470" t="s">
        <v>208</v>
      </c>
      <c r="O64" s="470"/>
      <c r="P64" s="471">
        <v>200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146"/>
      <c r="E65" s="143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146"/>
      <c r="E66" s="143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146"/>
      <c r="E67" s="143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146"/>
      <c r="E68" s="143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146"/>
      <c r="E69" s="143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46"/>
      <c r="E70" s="143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46"/>
      <c r="E71" s="143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46"/>
      <c r="E72" s="143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46"/>
      <c r="E73" s="143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209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45" t="s">
        <v>2</v>
      </c>
      <c r="D75" s="145" t="s">
        <v>37</v>
      </c>
      <c r="E75" s="145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47" t="s">
        <v>112</v>
      </c>
      <c r="D76" s="147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46"/>
      <c r="D77" s="146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46"/>
      <c r="D78" s="146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46"/>
      <c r="D79" s="146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46"/>
      <c r="D80" s="146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46"/>
      <c r="D81" s="146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46"/>
      <c r="D82" s="146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210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0588-C2E9-45D4-AD87-5A8913E07266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448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81" t="s">
        <v>17</v>
      </c>
      <c r="L5" s="381" t="s">
        <v>18</v>
      </c>
      <c r="M5" s="381" t="s">
        <v>19</v>
      </c>
      <c r="N5" s="38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415</v>
      </c>
      <c r="F6" s="12" t="s">
        <v>359</v>
      </c>
      <c r="G6" s="12">
        <v>1</v>
      </c>
      <c r="H6" s="13">
        <v>24</v>
      </c>
      <c r="I6" s="31">
        <v>850</v>
      </c>
      <c r="J6" s="14">
        <v>1354</v>
      </c>
      <c r="K6" s="15">
        <f>L6+1354</f>
        <v>1354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0.43489583333333337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2638</v>
      </c>
      <c r="K7" s="15">
        <f>L7+2506+3518+2903+5754</f>
        <v>17319</v>
      </c>
      <c r="L7" s="15">
        <v>2638</v>
      </c>
      <c r="M7" s="15">
        <f t="shared" si="0"/>
        <v>2638</v>
      </c>
      <c r="N7" s="15">
        <v>0</v>
      </c>
      <c r="O7" s="58">
        <f t="shared" si="1"/>
        <v>0</v>
      </c>
      <c r="P7" s="39">
        <f t="shared" si="2"/>
        <v>10</v>
      </c>
      <c r="Q7" s="40">
        <f t="shared" si="3"/>
        <v>14</v>
      </c>
      <c r="R7" s="7"/>
      <c r="S7" s="6">
        <v>14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0.41666666666666669</v>
      </c>
      <c r="AD7" s="10">
        <f t="shared" si="6"/>
        <v>0.41666666666666669</v>
      </c>
      <c r="AE7" s="36">
        <f t="shared" si="7"/>
        <v>0.43489583333333337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9848</v>
      </c>
      <c r="K8" s="15">
        <f>L8</f>
        <v>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0.43489583333333337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112</v>
      </c>
      <c r="D9" s="52" t="s">
        <v>130</v>
      </c>
      <c r="E9" s="53" t="s">
        <v>449</v>
      </c>
      <c r="F9" s="30" t="s">
        <v>239</v>
      </c>
      <c r="G9" s="33">
        <v>1</v>
      </c>
      <c r="H9" s="35">
        <v>24</v>
      </c>
      <c r="I9" s="7">
        <v>200</v>
      </c>
      <c r="J9" s="5">
        <v>200</v>
      </c>
      <c r="K9" s="15">
        <f>L9</f>
        <v>200</v>
      </c>
      <c r="L9" s="15">
        <v>200</v>
      </c>
      <c r="M9" s="15">
        <f t="shared" si="0"/>
        <v>200</v>
      </c>
      <c r="N9" s="15">
        <v>0</v>
      </c>
      <c r="O9" s="58">
        <f t="shared" si="1"/>
        <v>0</v>
      </c>
      <c r="P9" s="39">
        <f t="shared" si="2"/>
        <v>4</v>
      </c>
      <c r="Q9" s="40">
        <f t="shared" si="3"/>
        <v>20</v>
      </c>
      <c r="R9" s="7"/>
      <c r="S9" s="6"/>
      <c r="T9" s="16"/>
      <c r="U9" s="16"/>
      <c r="V9" s="17"/>
      <c r="W9" s="5">
        <v>20</v>
      </c>
      <c r="X9" s="16"/>
      <c r="Y9" s="16"/>
      <c r="Z9" s="16"/>
      <c r="AA9" s="18"/>
      <c r="AB9" s="8">
        <f t="shared" si="4"/>
        <v>1</v>
      </c>
      <c r="AC9" s="9">
        <f t="shared" si="5"/>
        <v>0.16666666666666666</v>
      </c>
      <c r="AD9" s="10">
        <f>AC9*AB9*(1-O9)</f>
        <v>0.16666666666666666</v>
      </c>
      <c r="AE9" s="36">
        <f t="shared" si="7"/>
        <v>0.43489583333333337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200000</v>
      </c>
      <c r="J10" s="14">
        <v>24256</v>
      </c>
      <c r="K10" s="15">
        <f>L10+25248+14223+20808+23988</f>
        <v>108523</v>
      </c>
      <c r="L10" s="15">
        <f>3007*4+3057*4</f>
        <v>24256</v>
      </c>
      <c r="M10" s="15">
        <f t="shared" si="0"/>
        <v>24256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ref="AD10:AD14" si="9">AC10*AB10*(1-O10)</f>
        <v>1</v>
      </c>
      <c r="AE10" s="36">
        <f t="shared" si="7"/>
        <v>0.43489583333333337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9"/>
        <v>0</v>
      </c>
      <c r="AE11" s="36">
        <f t="shared" si="7"/>
        <v>0.43489583333333337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119</v>
      </c>
      <c r="D12" s="52" t="s">
        <v>423</v>
      </c>
      <c r="E12" s="53" t="s">
        <v>424</v>
      </c>
      <c r="F12" s="30" t="s">
        <v>325</v>
      </c>
      <c r="G12" s="12" t="s">
        <v>432</v>
      </c>
      <c r="H12" s="13">
        <v>20</v>
      </c>
      <c r="I12" s="31">
        <v>6000</v>
      </c>
      <c r="J12" s="5">
        <v>10248</v>
      </c>
      <c r="K12" s="15">
        <f>L12+9910</f>
        <v>20158</v>
      </c>
      <c r="L12" s="15">
        <f>2707*2+2417*2</f>
        <v>10248</v>
      </c>
      <c r="M12" s="15">
        <f t="shared" si="0"/>
        <v>10248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9"/>
        <v>1</v>
      </c>
      <c r="AE12" s="36">
        <f t="shared" si="7"/>
        <v>0.43489583333333337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4387</v>
      </c>
      <c r="K13" s="15">
        <f>L13+5352+5939+5686+5401+1584+3790+3671+5242+750</f>
        <v>41802</v>
      </c>
      <c r="L13" s="15">
        <f>1545+2842</f>
        <v>4387</v>
      </c>
      <c r="M13" s="15">
        <f t="shared" si="0"/>
        <v>4387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>AC13*AB13*(1-O13)</f>
        <v>0.83333333333333337</v>
      </c>
      <c r="AE13" s="36">
        <f t="shared" si="7"/>
        <v>0.43489583333333337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0.43489583333333337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4955</v>
      </c>
      <c r="K15" s="15">
        <f>L15+3277+4927</f>
        <v>13159</v>
      </c>
      <c r="L15" s="15">
        <f>2574+2381</f>
        <v>4955</v>
      </c>
      <c r="M15" s="15">
        <f t="shared" si="0"/>
        <v>4955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0.43489583333333337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0.43489583333333337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0.43489583333333337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1499</v>
      </c>
      <c r="K18" s="15">
        <f>L18+450+4173+2598+1499</f>
        <v>8720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0.43489583333333337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417</v>
      </c>
      <c r="F19" s="30" t="s">
        <v>241</v>
      </c>
      <c r="G19" s="33">
        <v>1</v>
      </c>
      <c r="H19" s="35">
        <v>24</v>
      </c>
      <c r="I19" s="7">
        <v>28000</v>
      </c>
      <c r="J19" s="14">
        <v>5357</v>
      </c>
      <c r="K19" s="15">
        <f>L19+4594</f>
        <v>9951</v>
      </c>
      <c r="L19" s="15">
        <f>2756+2601</f>
        <v>5357</v>
      </c>
      <c r="M19" s="15">
        <f t="shared" si="0"/>
        <v>5357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0.43489583333333337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199</v>
      </c>
      <c r="F20" s="30" t="s">
        <v>123</v>
      </c>
      <c r="G20" s="12">
        <v>4</v>
      </c>
      <c r="H20" s="13">
        <v>28</v>
      </c>
      <c r="I20" s="31">
        <v>200000</v>
      </c>
      <c r="J20" s="5">
        <v>27152</v>
      </c>
      <c r="K20" s="15">
        <f>L20+17832+26640</f>
        <v>71624</v>
      </c>
      <c r="L20" s="15">
        <f>3380*4+3408*4</f>
        <v>27152</v>
      </c>
      <c r="M20" s="15">
        <f t="shared" si="0"/>
        <v>27152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0.43489583333333337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500000</v>
      </c>
      <c r="J21" s="14">
        <v>35220</v>
      </c>
      <c r="K21" s="15">
        <f>L21+28876+33668+30304+72816+70472+27788+28704+35272</f>
        <v>363120</v>
      </c>
      <c r="L21" s="15">
        <f>8805*4</f>
        <v>35220</v>
      </c>
      <c r="M21" s="15">
        <f t="shared" si="0"/>
        <v>35220</v>
      </c>
      <c r="N21" s="15">
        <v>0</v>
      </c>
      <c r="O21" s="58">
        <f t="shared" si="1"/>
        <v>0</v>
      </c>
      <c r="P21" s="39">
        <f t="shared" si="2"/>
        <v>13</v>
      </c>
      <c r="Q21" s="40">
        <f t="shared" si="3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0.54166666666666663</v>
      </c>
      <c r="AD21" s="10">
        <f t="shared" si="6"/>
        <v>0.54166666666666663</v>
      </c>
      <c r="AE21" s="36">
        <f t="shared" si="7"/>
        <v>0.43489583333333337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1273850</v>
      </c>
      <c r="J22" s="19">
        <f t="shared" si="10"/>
        <v>147891</v>
      </c>
      <c r="K22" s="20">
        <f t="shared" si="10"/>
        <v>743805</v>
      </c>
      <c r="L22" s="21">
        <f t="shared" si="10"/>
        <v>114413</v>
      </c>
      <c r="M22" s="20">
        <f t="shared" si="10"/>
        <v>114413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167</v>
      </c>
      <c r="Q22" s="43">
        <f t="shared" si="11"/>
        <v>217</v>
      </c>
      <c r="R22" s="23">
        <f t="shared" si="11"/>
        <v>24</v>
      </c>
      <c r="S22" s="24">
        <f t="shared" si="11"/>
        <v>90</v>
      </c>
      <c r="T22" s="24">
        <f t="shared" si="11"/>
        <v>0</v>
      </c>
      <c r="U22" s="24">
        <f t="shared" si="11"/>
        <v>0</v>
      </c>
      <c r="V22" s="25">
        <f t="shared" si="11"/>
        <v>11</v>
      </c>
      <c r="W22" s="26">
        <f t="shared" si="11"/>
        <v>92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0.5625</v>
      </c>
      <c r="AC22" s="4">
        <f>AVERAGE(AC6:AC21)</f>
        <v>0.43489583333333337</v>
      </c>
      <c r="AD22" s="4">
        <f>AVERAGE(AD6:AD21)</f>
        <v>0.43489583333333337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450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451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380" t="s">
        <v>46</v>
      </c>
      <c r="D51" s="380" t="s">
        <v>47</v>
      </c>
      <c r="E51" s="380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380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122</v>
      </c>
      <c r="B52" s="501"/>
      <c r="C52" s="379" t="s">
        <v>196</v>
      </c>
      <c r="D52" s="379"/>
      <c r="E52" s="376" t="s">
        <v>302</v>
      </c>
      <c r="F52" s="488" t="s">
        <v>132</v>
      </c>
      <c r="G52" s="489"/>
      <c r="H52" s="489"/>
      <c r="I52" s="489"/>
      <c r="J52" s="489"/>
      <c r="K52" s="489"/>
      <c r="L52" s="489"/>
      <c r="M52" s="490"/>
      <c r="N52" s="375" t="s">
        <v>122</v>
      </c>
      <c r="O52" s="373" t="s">
        <v>141</v>
      </c>
      <c r="P52" s="502"/>
      <c r="Q52" s="503"/>
      <c r="R52" s="502" t="s">
        <v>190</v>
      </c>
      <c r="S52" s="504"/>
      <c r="T52" s="504"/>
      <c r="U52" s="503"/>
      <c r="V52" s="472" t="s">
        <v>148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112</v>
      </c>
      <c r="B53" s="501"/>
      <c r="C53" s="379" t="s">
        <v>208</v>
      </c>
      <c r="D53" s="379" t="s">
        <v>130</v>
      </c>
      <c r="E53" s="376" t="s">
        <v>449</v>
      </c>
      <c r="F53" s="488" t="s">
        <v>316</v>
      </c>
      <c r="G53" s="489"/>
      <c r="H53" s="489"/>
      <c r="I53" s="489"/>
      <c r="J53" s="489"/>
      <c r="K53" s="489"/>
      <c r="L53" s="489"/>
      <c r="M53" s="490"/>
      <c r="N53" s="375" t="s">
        <v>120</v>
      </c>
      <c r="O53" s="373" t="s">
        <v>149</v>
      </c>
      <c r="P53" s="502" t="s">
        <v>115</v>
      </c>
      <c r="Q53" s="503"/>
      <c r="R53" s="502" t="s">
        <v>441</v>
      </c>
      <c r="S53" s="504"/>
      <c r="T53" s="504"/>
      <c r="U53" s="503"/>
      <c r="V53" s="472" t="s">
        <v>314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/>
      <c r="B54" s="501"/>
      <c r="C54" s="379"/>
      <c r="D54" s="379"/>
      <c r="E54" s="376"/>
      <c r="F54" s="488"/>
      <c r="G54" s="489"/>
      <c r="H54" s="489"/>
      <c r="I54" s="489"/>
      <c r="J54" s="489"/>
      <c r="K54" s="489"/>
      <c r="L54" s="489"/>
      <c r="M54" s="490"/>
      <c r="N54" s="375"/>
      <c r="O54" s="373"/>
      <c r="P54" s="502"/>
      <c r="Q54" s="503"/>
      <c r="R54" s="502"/>
      <c r="S54" s="504"/>
      <c r="T54" s="504"/>
      <c r="U54" s="503"/>
      <c r="V54" s="472"/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500"/>
      <c r="B55" s="501"/>
      <c r="C55" s="379"/>
      <c r="D55" s="379"/>
      <c r="E55" s="376"/>
      <c r="F55" s="488"/>
      <c r="G55" s="489"/>
      <c r="H55" s="489"/>
      <c r="I55" s="489"/>
      <c r="J55" s="489"/>
      <c r="K55" s="489"/>
      <c r="L55" s="489"/>
      <c r="M55" s="490"/>
      <c r="N55" s="375"/>
      <c r="O55" s="373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/>
      <c r="B56" s="501"/>
      <c r="C56" s="379"/>
      <c r="D56" s="379"/>
      <c r="E56" s="376"/>
      <c r="F56" s="488"/>
      <c r="G56" s="489"/>
      <c r="H56" s="489"/>
      <c r="I56" s="489"/>
      <c r="J56" s="489"/>
      <c r="K56" s="489"/>
      <c r="L56" s="489"/>
      <c r="M56" s="490"/>
      <c r="N56" s="375"/>
      <c r="O56" s="373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379"/>
      <c r="D57" s="379"/>
      <c r="E57" s="376"/>
      <c r="F57" s="488"/>
      <c r="G57" s="489"/>
      <c r="H57" s="489"/>
      <c r="I57" s="489"/>
      <c r="J57" s="489"/>
      <c r="K57" s="489"/>
      <c r="L57" s="489"/>
      <c r="M57" s="490"/>
      <c r="N57" s="375"/>
      <c r="O57" s="373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379"/>
      <c r="D58" s="379"/>
      <c r="E58" s="376"/>
      <c r="F58" s="488"/>
      <c r="G58" s="489"/>
      <c r="H58" s="489"/>
      <c r="I58" s="489"/>
      <c r="J58" s="489"/>
      <c r="K58" s="489"/>
      <c r="L58" s="489"/>
      <c r="M58" s="490"/>
      <c r="N58" s="375"/>
      <c r="O58" s="373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379"/>
      <c r="D59" s="379"/>
      <c r="E59" s="376"/>
      <c r="F59" s="488"/>
      <c r="G59" s="489"/>
      <c r="H59" s="489"/>
      <c r="I59" s="489"/>
      <c r="J59" s="489"/>
      <c r="K59" s="489"/>
      <c r="L59" s="489"/>
      <c r="M59" s="490"/>
      <c r="N59" s="375"/>
      <c r="O59" s="373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376"/>
      <c r="D60" s="376"/>
      <c r="E60" s="376"/>
      <c r="F60" s="488"/>
      <c r="G60" s="489"/>
      <c r="H60" s="489"/>
      <c r="I60" s="489"/>
      <c r="J60" s="489"/>
      <c r="K60" s="489"/>
      <c r="L60" s="489"/>
      <c r="M60" s="490"/>
      <c r="N60" s="375"/>
      <c r="O60" s="373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377"/>
      <c r="D61" s="378"/>
      <c r="E61" s="378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452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374" t="s">
        <v>2</v>
      </c>
      <c r="D63" s="374" t="s">
        <v>37</v>
      </c>
      <c r="E63" s="374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374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112</v>
      </c>
      <c r="D64" s="369"/>
      <c r="E64" s="372" t="s">
        <v>130</v>
      </c>
      <c r="F64" s="473" t="s">
        <v>449</v>
      </c>
      <c r="G64" s="474"/>
      <c r="H64" s="474"/>
      <c r="I64" s="474"/>
      <c r="J64" s="475"/>
      <c r="K64" s="461" t="s">
        <v>239</v>
      </c>
      <c r="L64" s="461"/>
      <c r="M64" s="51" t="s">
        <v>360</v>
      </c>
      <c r="N64" s="470" t="s">
        <v>208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/>
      <c r="D65" s="369"/>
      <c r="E65" s="372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369"/>
      <c r="E66" s="372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369"/>
      <c r="E67" s="372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69"/>
      <c r="E68" s="372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69"/>
      <c r="E69" s="372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69"/>
      <c r="E70" s="372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69"/>
      <c r="E71" s="372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69"/>
      <c r="E72" s="372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69"/>
      <c r="E73" s="372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453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71" t="s">
        <v>2</v>
      </c>
      <c r="D75" s="371" t="s">
        <v>37</v>
      </c>
      <c r="E75" s="371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70" t="s">
        <v>112</v>
      </c>
      <c r="D76" s="370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69"/>
      <c r="D77" s="369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369"/>
      <c r="D78" s="369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369"/>
      <c r="D79" s="369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369"/>
      <c r="D80" s="369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369"/>
      <c r="D81" s="369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369"/>
      <c r="D82" s="369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454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D232-4275-4E63-8F15-A2DCA187C711}">
  <dimension ref="A1:AF88"/>
  <sheetViews>
    <sheetView view="pageBreakPreview" zoomScale="70" zoomScaleNormal="72" zoomScaleSheetLayoutView="70" workbookViewId="0">
      <selection activeCell="K67" sqref="K67:L6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455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382" t="s">
        <v>17</v>
      </c>
      <c r="L5" s="382" t="s">
        <v>18</v>
      </c>
      <c r="M5" s="382" t="s">
        <v>19</v>
      </c>
      <c r="N5" s="38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112</v>
      </c>
      <c r="D6" s="52" t="s">
        <v>444</v>
      </c>
      <c r="E6" s="53" t="s">
        <v>456</v>
      </c>
      <c r="F6" s="12" t="s">
        <v>127</v>
      </c>
      <c r="G6" s="12">
        <v>1</v>
      </c>
      <c r="H6" s="13">
        <v>24</v>
      </c>
      <c r="I6" s="31">
        <v>250</v>
      </c>
      <c r="J6" s="14">
        <v>250</v>
      </c>
      <c r="K6" s="15">
        <f>L6</f>
        <v>250</v>
      </c>
      <c r="L6" s="15">
        <v>250</v>
      </c>
      <c r="M6" s="15">
        <f t="shared" ref="M6:M22" si="0">L6-N6</f>
        <v>250</v>
      </c>
      <c r="N6" s="15">
        <v>0</v>
      </c>
      <c r="O6" s="58">
        <f t="shared" ref="O6:O23" si="1">IF(L6=0,"0",N6/L6)</f>
        <v>0</v>
      </c>
      <c r="P6" s="39">
        <f t="shared" ref="P6:P22" si="2">IF(L6=0,"0",(24-Q6))</f>
        <v>3</v>
      </c>
      <c r="Q6" s="40">
        <f t="shared" ref="Q6:Q22" si="3">SUM(R6:AA6)</f>
        <v>21</v>
      </c>
      <c r="R6" s="7"/>
      <c r="S6" s="6"/>
      <c r="T6" s="16"/>
      <c r="U6" s="16"/>
      <c r="V6" s="17"/>
      <c r="W6" s="5">
        <v>21</v>
      </c>
      <c r="X6" s="16"/>
      <c r="Y6" s="16"/>
      <c r="Z6" s="16"/>
      <c r="AA6" s="18"/>
      <c r="AB6" s="8">
        <f t="shared" ref="AB6:AB22" si="4">IF(J6=0,"0",(L6/J6))</f>
        <v>1</v>
      </c>
      <c r="AC6" s="9">
        <f t="shared" ref="AC6:AC22" si="5">IF(P6=0,"0",(P6/24))</f>
        <v>0.125</v>
      </c>
      <c r="AD6" s="10">
        <f t="shared" ref="AD6:AD22" si="6">AC6*AB6*(1-O6)</f>
        <v>0.125</v>
      </c>
      <c r="AE6" s="36">
        <f t="shared" ref="AE6:AE22" si="7">$AD$23</f>
        <v>0.40931372549019607</v>
      </c>
      <c r="AF6" s="84">
        <f t="shared" ref="AF6:AF22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2638</v>
      </c>
      <c r="K7" s="15">
        <f>L7+2506+3518+2903+5754+2638</f>
        <v>17319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0.40931372549019607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670</v>
      </c>
      <c r="K8" s="15">
        <f>L8</f>
        <v>670</v>
      </c>
      <c r="L8" s="15">
        <v>670</v>
      </c>
      <c r="M8" s="15">
        <f t="shared" si="0"/>
        <v>670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>
        <v>11</v>
      </c>
      <c r="S8" s="6">
        <v>9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6"/>
        <v>0.16666666666666666</v>
      </c>
      <c r="AE8" s="36">
        <f t="shared" si="7"/>
        <v>0.40931372549019607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115</v>
      </c>
      <c r="E9" s="53" t="s">
        <v>457</v>
      </c>
      <c r="F9" s="30" t="s">
        <v>118</v>
      </c>
      <c r="G9" s="33">
        <v>1</v>
      </c>
      <c r="H9" s="35">
        <v>24</v>
      </c>
      <c r="I9" s="7">
        <v>1000</v>
      </c>
      <c r="J9" s="5">
        <v>490</v>
      </c>
      <c r="K9" s="15">
        <f>L9</f>
        <v>490</v>
      </c>
      <c r="L9" s="15">
        <v>490</v>
      </c>
      <c r="M9" s="15">
        <f t="shared" si="0"/>
        <v>490</v>
      </c>
      <c r="N9" s="15">
        <v>0</v>
      </c>
      <c r="O9" s="58">
        <f t="shared" si="1"/>
        <v>0</v>
      </c>
      <c r="P9" s="39">
        <f t="shared" si="2"/>
        <v>4</v>
      </c>
      <c r="Q9" s="40">
        <f t="shared" si="3"/>
        <v>20</v>
      </c>
      <c r="R9" s="7"/>
      <c r="S9" s="6">
        <v>20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0.16666666666666666</v>
      </c>
      <c r="AD9" s="10">
        <f>AC9*AB9*(1-O9)</f>
        <v>0.16666666666666666</v>
      </c>
      <c r="AE9" s="36">
        <f t="shared" si="7"/>
        <v>0.40931372549019607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200000</v>
      </c>
      <c r="J10" s="14">
        <v>24948</v>
      </c>
      <c r="K10" s="15">
        <f>L10+25248+14223+20808+23988+24256</f>
        <v>133471</v>
      </c>
      <c r="L10" s="15">
        <f>3080*4+3157*4</f>
        <v>24948</v>
      </c>
      <c r="M10" s="15">
        <f t="shared" si="0"/>
        <v>24948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ref="AD10:AD14" si="9">AC10*AB10*(1-O10)</f>
        <v>1</v>
      </c>
      <c r="AE10" s="36">
        <f t="shared" si="7"/>
        <v>0.40931372549019607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9"/>
        <v>0</v>
      </c>
      <c r="AE11" s="36">
        <f t="shared" si="7"/>
        <v>0.40931372549019607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122</v>
      </c>
      <c r="D12" s="52"/>
      <c r="E12" s="53" t="s">
        <v>190</v>
      </c>
      <c r="F12" s="30" t="s">
        <v>191</v>
      </c>
      <c r="G12" s="12">
        <v>1</v>
      </c>
      <c r="H12" s="13">
        <v>20</v>
      </c>
      <c r="I12" s="31">
        <v>5000</v>
      </c>
      <c r="J12" s="5">
        <v>4535</v>
      </c>
      <c r="K12" s="15">
        <f>L12</f>
        <v>4535</v>
      </c>
      <c r="L12" s="15">
        <f>2399+2136</f>
        <v>4535</v>
      </c>
      <c r="M12" s="15">
        <f t="shared" si="0"/>
        <v>4535</v>
      </c>
      <c r="N12" s="15">
        <v>0</v>
      </c>
      <c r="O12" s="58">
        <f t="shared" si="1"/>
        <v>0</v>
      </c>
      <c r="P12" s="39">
        <f t="shared" si="2"/>
        <v>23</v>
      </c>
      <c r="Q12" s="40">
        <f t="shared" si="3"/>
        <v>1</v>
      </c>
      <c r="R12" s="7"/>
      <c r="S12" s="6"/>
      <c r="T12" s="16">
        <v>1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0.95833333333333337</v>
      </c>
      <c r="AD12" s="10">
        <f t="shared" si="9"/>
        <v>0.95833333333333337</v>
      </c>
      <c r="AE12" s="36">
        <f t="shared" si="7"/>
        <v>0.40931372549019607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122</v>
      </c>
      <c r="D13" s="52" t="s">
        <v>115</v>
      </c>
      <c r="E13" s="53" t="s">
        <v>302</v>
      </c>
      <c r="F13" s="30" t="s">
        <v>308</v>
      </c>
      <c r="G13" s="12">
        <v>1</v>
      </c>
      <c r="H13" s="13">
        <v>28</v>
      </c>
      <c r="I13" s="31">
        <v>40000</v>
      </c>
      <c r="J13" s="5">
        <v>2164</v>
      </c>
      <c r="K13" s="15">
        <f>L13+5352+5939+5686+5401+1584+3790+3671+5242+750+4387</f>
        <v>43966</v>
      </c>
      <c r="L13" s="15">
        <v>2164</v>
      </c>
      <c r="M13" s="15">
        <f t="shared" si="0"/>
        <v>2164</v>
      </c>
      <c r="N13" s="15">
        <v>0</v>
      </c>
      <c r="O13" s="58">
        <f t="shared" si="1"/>
        <v>0</v>
      </c>
      <c r="P13" s="39">
        <f t="shared" si="2"/>
        <v>12</v>
      </c>
      <c r="Q13" s="40">
        <f t="shared" si="3"/>
        <v>12</v>
      </c>
      <c r="R13" s="7"/>
      <c r="S13" s="6">
        <v>12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0.5</v>
      </c>
      <c r="AD13" s="10">
        <f>AC13*AB13*(1-O13)</f>
        <v>0.5</v>
      </c>
      <c r="AE13" s="36">
        <f t="shared" si="7"/>
        <v>0.40931372549019607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0.40931372549019607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4860</v>
      </c>
      <c r="K15" s="15">
        <f>L15+3277+4927+4955</f>
        <v>18019</v>
      </c>
      <c r="L15" s="15">
        <f>2419+2441</f>
        <v>4860</v>
      </c>
      <c r="M15" s="15">
        <f t="shared" si="0"/>
        <v>4860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0.40931372549019607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0.40931372549019607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0.40931372549019607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120</v>
      </c>
      <c r="D18" s="52" t="s">
        <v>115</v>
      </c>
      <c r="E18" s="53" t="s">
        <v>234</v>
      </c>
      <c r="F18" s="30" t="s">
        <v>123</v>
      </c>
      <c r="G18" s="33">
        <v>2</v>
      </c>
      <c r="H18" s="35">
        <v>24</v>
      </c>
      <c r="I18" s="7">
        <v>50000</v>
      </c>
      <c r="J18" s="14">
        <v>2418</v>
      </c>
      <c r="K18" s="15">
        <f>L18</f>
        <v>2418</v>
      </c>
      <c r="L18" s="15">
        <f>2418</f>
        <v>2418</v>
      </c>
      <c r="M18" s="15">
        <f t="shared" si="0"/>
        <v>2418</v>
      </c>
      <c r="N18" s="15">
        <v>0</v>
      </c>
      <c r="O18" s="58">
        <f t="shared" si="1"/>
        <v>0</v>
      </c>
      <c r="P18" s="39">
        <f t="shared" si="2"/>
        <v>13</v>
      </c>
      <c r="Q18" s="40">
        <f t="shared" si="3"/>
        <v>11</v>
      </c>
      <c r="R18" s="7"/>
      <c r="S18" s="6">
        <v>11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0.54166666666666663</v>
      </c>
      <c r="AD18" s="10">
        <f t="shared" si="6"/>
        <v>0.54166666666666663</v>
      </c>
      <c r="AE18" s="36">
        <f t="shared" si="7"/>
        <v>0.40931372549019607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417</v>
      </c>
      <c r="F19" s="30" t="s">
        <v>241</v>
      </c>
      <c r="G19" s="33">
        <v>1</v>
      </c>
      <c r="H19" s="35">
        <v>24</v>
      </c>
      <c r="I19" s="7">
        <v>28000</v>
      </c>
      <c r="J19" s="14">
        <v>5319</v>
      </c>
      <c r="K19" s="15">
        <f>L19+4594+5357</f>
        <v>15270</v>
      </c>
      <c r="L19" s="15">
        <f>2649+2670</f>
        <v>5319</v>
      </c>
      <c r="M19" s="15">
        <f t="shared" si="0"/>
        <v>5319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0.40931372549019607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199</v>
      </c>
      <c r="F20" s="30" t="s">
        <v>123</v>
      </c>
      <c r="G20" s="12">
        <v>4</v>
      </c>
      <c r="H20" s="13">
        <v>28</v>
      </c>
      <c r="I20" s="31">
        <v>200000</v>
      </c>
      <c r="J20" s="5">
        <v>7908</v>
      </c>
      <c r="K20" s="15">
        <f>L20+17832+26640+27152</f>
        <v>79532</v>
      </c>
      <c r="L20" s="15">
        <f>1977*4</f>
        <v>7908</v>
      </c>
      <c r="M20" s="15">
        <f t="shared" si="0"/>
        <v>7908</v>
      </c>
      <c r="N20" s="15">
        <v>0</v>
      </c>
      <c r="O20" s="58">
        <f t="shared" si="1"/>
        <v>0</v>
      </c>
      <c r="P20" s="39">
        <f t="shared" si="2"/>
        <v>8</v>
      </c>
      <c r="Q20" s="40">
        <f t="shared" si="3"/>
        <v>16</v>
      </c>
      <c r="R20" s="7"/>
      <c r="S20" s="6">
        <v>16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0.33333333333333331</v>
      </c>
      <c r="AD20" s="10">
        <f t="shared" si="6"/>
        <v>0.33333333333333331</v>
      </c>
      <c r="AE20" s="36">
        <f t="shared" si="7"/>
        <v>0.40931372549019607</v>
      </c>
      <c r="AF20" s="84">
        <f t="shared" si="8"/>
        <v>15</v>
      </c>
    </row>
    <row r="21" spans="1:32" ht="27" customHeight="1">
      <c r="A21" s="113">
        <v>15</v>
      </c>
      <c r="B21" s="11" t="s">
        <v>57</v>
      </c>
      <c r="C21" s="34" t="s">
        <v>120</v>
      </c>
      <c r="D21" s="52" t="s">
        <v>115</v>
      </c>
      <c r="E21" s="53" t="s">
        <v>152</v>
      </c>
      <c r="F21" s="30" t="s">
        <v>123</v>
      </c>
      <c r="G21" s="12">
        <v>4</v>
      </c>
      <c r="H21" s="13">
        <v>28</v>
      </c>
      <c r="I21" s="31">
        <v>200000</v>
      </c>
      <c r="J21" s="5">
        <v>17856</v>
      </c>
      <c r="K21" s="15">
        <f>L21+17832+26640+27152</f>
        <v>89480</v>
      </c>
      <c r="L21" s="15">
        <f>3312*4+1152*4</f>
        <v>17856</v>
      </c>
      <c r="M21" s="15">
        <f t="shared" ref="M21" si="10">L21-N21</f>
        <v>17856</v>
      </c>
      <c r="N21" s="15">
        <v>0</v>
      </c>
      <c r="O21" s="58">
        <f t="shared" ref="O21" si="11">IF(L21=0,"0",N21/L21)</f>
        <v>0</v>
      </c>
      <c r="P21" s="39">
        <f t="shared" ref="P21" si="12">IF(L21=0,"0",(24-Q21))</f>
        <v>15</v>
      </c>
      <c r="Q21" s="40">
        <f t="shared" ref="Q21" si="13">SUM(R21:AA21)</f>
        <v>9</v>
      </c>
      <c r="R21" s="7"/>
      <c r="S21" s="6"/>
      <c r="T21" s="16">
        <v>9</v>
      </c>
      <c r="U21" s="16"/>
      <c r="V21" s="17"/>
      <c r="W21" s="5"/>
      <c r="X21" s="16"/>
      <c r="Y21" s="16"/>
      <c r="Z21" s="16"/>
      <c r="AA21" s="18"/>
      <c r="AB21" s="8">
        <f t="shared" ref="AB21" si="14">IF(J21=0,"0",(L21/J21))</f>
        <v>1</v>
      </c>
      <c r="AC21" s="9">
        <f t="shared" ref="AC21" si="15">IF(P21=0,"0",(P21/24))</f>
        <v>0.625</v>
      </c>
      <c r="AD21" s="10">
        <f t="shared" ref="AD21" si="16">AC21*AB21*(1-O21)</f>
        <v>0.625</v>
      </c>
      <c r="AE21" s="36">
        <f t="shared" si="7"/>
        <v>0.40931372549019607</v>
      </c>
      <c r="AF21" s="84">
        <f t="shared" ref="AF21" si="17">A21</f>
        <v>15</v>
      </c>
    </row>
    <row r="22" spans="1:32" ht="27" customHeight="1" thickBot="1">
      <c r="A22" s="96">
        <v>16</v>
      </c>
      <c r="B22" s="11" t="s">
        <v>57</v>
      </c>
      <c r="C22" s="11" t="s">
        <v>113</v>
      </c>
      <c r="D22" s="52"/>
      <c r="E22" s="53" t="s">
        <v>267</v>
      </c>
      <c r="F22" s="12" t="s">
        <v>114</v>
      </c>
      <c r="G22" s="12">
        <v>4</v>
      </c>
      <c r="H22" s="35">
        <v>20</v>
      </c>
      <c r="I22" s="7">
        <v>500000</v>
      </c>
      <c r="J22" s="14">
        <v>37904</v>
      </c>
      <c r="K22" s="15">
        <f>L22+28876+33668+30304+72816+70472+27788+28704+35272+35220</f>
        <v>401024</v>
      </c>
      <c r="L22" s="15">
        <f>9476*4</f>
        <v>37904</v>
      </c>
      <c r="M22" s="15">
        <f t="shared" si="0"/>
        <v>37904</v>
      </c>
      <c r="N22" s="15">
        <v>0</v>
      </c>
      <c r="O22" s="58">
        <f t="shared" si="1"/>
        <v>0</v>
      </c>
      <c r="P22" s="39">
        <f t="shared" si="2"/>
        <v>13</v>
      </c>
      <c r="Q22" s="40">
        <f t="shared" si="3"/>
        <v>11</v>
      </c>
      <c r="R22" s="7"/>
      <c r="S22" s="6"/>
      <c r="T22" s="16"/>
      <c r="U22" s="16"/>
      <c r="V22" s="17">
        <v>11</v>
      </c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0.54166666666666663</v>
      </c>
      <c r="AD22" s="10">
        <f t="shared" si="6"/>
        <v>0.54166666666666663</v>
      </c>
      <c r="AE22" s="36">
        <f t="shared" si="7"/>
        <v>0.40931372549019607</v>
      </c>
      <c r="AF22" s="84">
        <f t="shared" si="8"/>
        <v>16</v>
      </c>
    </row>
    <row r="23" spans="1:32" ht="31.5" customHeight="1" thickBot="1">
      <c r="A23" s="507" t="s">
        <v>34</v>
      </c>
      <c r="B23" s="508"/>
      <c r="C23" s="508"/>
      <c r="D23" s="508"/>
      <c r="E23" s="508"/>
      <c r="F23" s="508"/>
      <c r="G23" s="508"/>
      <c r="H23" s="509"/>
      <c r="I23" s="22">
        <f t="shared" ref="I23:N23" si="18">SUM(I6:I22)</f>
        <v>1517050</v>
      </c>
      <c r="J23" s="19">
        <f t="shared" si="18"/>
        <v>132737</v>
      </c>
      <c r="K23" s="20">
        <f t="shared" si="18"/>
        <v>894319</v>
      </c>
      <c r="L23" s="21">
        <f t="shared" si="18"/>
        <v>109322</v>
      </c>
      <c r="M23" s="20">
        <f t="shared" si="18"/>
        <v>109322</v>
      </c>
      <c r="N23" s="21">
        <f t="shared" si="18"/>
        <v>0</v>
      </c>
      <c r="O23" s="41">
        <f t="shared" si="1"/>
        <v>0</v>
      </c>
      <c r="P23" s="42">
        <f t="shared" ref="P23:AA23" si="19">SUM(P6:P22)</f>
        <v>167</v>
      </c>
      <c r="Q23" s="43">
        <f t="shared" si="19"/>
        <v>241</v>
      </c>
      <c r="R23" s="23">
        <f t="shared" si="19"/>
        <v>35</v>
      </c>
      <c r="S23" s="24">
        <f t="shared" si="19"/>
        <v>116</v>
      </c>
      <c r="T23" s="24">
        <f t="shared" si="19"/>
        <v>10</v>
      </c>
      <c r="U23" s="24">
        <f t="shared" si="19"/>
        <v>0</v>
      </c>
      <c r="V23" s="25">
        <f t="shared" si="19"/>
        <v>11</v>
      </c>
      <c r="W23" s="26">
        <f t="shared" si="19"/>
        <v>69</v>
      </c>
      <c r="X23" s="27">
        <f t="shared" si="19"/>
        <v>0</v>
      </c>
      <c r="Y23" s="27">
        <f t="shared" si="19"/>
        <v>0</v>
      </c>
      <c r="Z23" s="27">
        <f t="shared" si="19"/>
        <v>0</v>
      </c>
      <c r="AA23" s="27">
        <f t="shared" si="19"/>
        <v>0</v>
      </c>
      <c r="AB23" s="28">
        <f>AVERAGE(AB6:AB22)</f>
        <v>0.70588235294117652</v>
      </c>
      <c r="AC23" s="4">
        <f>AVERAGE(AC6:AC22)</f>
        <v>0.40931372549019607</v>
      </c>
      <c r="AD23" s="4">
        <f>AVERAGE(AD6:AD22)</f>
        <v>0.40931372549019607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5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510" t="s">
        <v>45</v>
      </c>
      <c r="B50" s="510"/>
      <c r="C50" s="510"/>
      <c r="D50" s="510"/>
      <c r="E50" s="510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511" t="s">
        <v>458</v>
      </c>
      <c r="B51" s="512"/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3"/>
      <c r="N51" s="514" t="s">
        <v>462</v>
      </c>
      <c r="O51" s="515"/>
      <c r="P51" s="515"/>
      <c r="Q51" s="515"/>
      <c r="R51" s="515"/>
      <c r="S51" s="515"/>
      <c r="T51" s="515"/>
      <c r="U51" s="515"/>
      <c r="V51" s="515"/>
      <c r="W51" s="515"/>
      <c r="X51" s="515"/>
      <c r="Y51" s="515"/>
      <c r="Z51" s="515"/>
      <c r="AA51" s="515"/>
      <c r="AB51" s="515"/>
      <c r="AC51" s="515"/>
      <c r="AD51" s="516"/>
    </row>
    <row r="52" spans="1:32" ht="27" customHeight="1">
      <c r="A52" s="517" t="s">
        <v>2</v>
      </c>
      <c r="B52" s="518"/>
      <c r="C52" s="383" t="s">
        <v>46</v>
      </c>
      <c r="D52" s="383" t="s">
        <v>47</v>
      </c>
      <c r="E52" s="383" t="s">
        <v>107</v>
      </c>
      <c r="F52" s="519" t="s">
        <v>106</v>
      </c>
      <c r="G52" s="520"/>
      <c r="H52" s="520"/>
      <c r="I52" s="520"/>
      <c r="J52" s="520"/>
      <c r="K52" s="520"/>
      <c r="L52" s="520"/>
      <c r="M52" s="521"/>
      <c r="N52" s="67" t="s">
        <v>110</v>
      </c>
      <c r="O52" s="383" t="s">
        <v>46</v>
      </c>
      <c r="P52" s="519" t="s">
        <v>47</v>
      </c>
      <c r="Q52" s="522"/>
      <c r="R52" s="519" t="s">
        <v>38</v>
      </c>
      <c r="S52" s="520"/>
      <c r="T52" s="520"/>
      <c r="U52" s="522"/>
      <c r="V52" s="519" t="s">
        <v>48</v>
      </c>
      <c r="W52" s="520"/>
      <c r="X52" s="520"/>
      <c r="Y52" s="520"/>
      <c r="Z52" s="520"/>
      <c r="AA52" s="520"/>
      <c r="AB52" s="520"/>
      <c r="AC52" s="520"/>
      <c r="AD52" s="521"/>
    </row>
    <row r="53" spans="1:32" ht="27" customHeight="1">
      <c r="A53" s="500" t="s">
        <v>122</v>
      </c>
      <c r="B53" s="501"/>
      <c r="C53" s="384" t="s">
        <v>196</v>
      </c>
      <c r="D53" s="384"/>
      <c r="E53" s="386" t="s">
        <v>302</v>
      </c>
      <c r="F53" s="488" t="s">
        <v>459</v>
      </c>
      <c r="G53" s="489"/>
      <c r="H53" s="489"/>
      <c r="I53" s="489"/>
      <c r="J53" s="489"/>
      <c r="K53" s="489"/>
      <c r="L53" s="489"/>
      <c r="M53" s="490"/>
      <c r="N53" s="385" t="s">
        <v>120</v>
      </c>
      <c r="O53" s="391" t="s">
        <v>149</v>
      </c>
      <c r="P53" s="502" t="s">
        <v>115</v>
      </c>
      <c r="Q53" s="503"/>
      <c r="R53" s="502" t="s">
        <v>441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112</v>
      </c>
      <c r="B54" s="501"/>
      <c r="C54" s="384" t="s">
        <v>150</v>
      </c>
      <c r="D54" s="384" t="s">
        <v>444</v>
      </c>
      <c r="E54" s="386" t="s">
        <v>456</v>
      </c>
      <c r="F54" s="488" t="s">
        <v>316</v>
      </c>
      <c r="G54" s="489"/>
      <c r="H54" s="489"/>
      <c r="I54" s="489"/>
      <c r="J54" s="489"/>
      <c r="K54" s="489"/>
      <c r="L54" s="489"/>
      <c r="M54" s="490"/>
      <c r="N54" s="385" t="s">
        <v>120</v>
      </c>
      <c r="O54" s="391" t="s">
        <v>196</v>
      </c>
      <c r="P54" s="502" t="s">
        <v>231</v>
      </c>
      <c r="Q54" s="503"/>
      <c r="R54" s="502" t="s">
        <v>463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500" t="s">
        <v>119</v>
      </c>
      <c r="B55" s="501"/>
      <c r="C55" s="384" t="s">
        <v>409</v>
      </c>
      <c r="D55" s="384" t="s">
        <v>138</v>
      </c>
      <c r="E55" s="386" t="s">
        <v>408</v>
      </c>
      <c r="F55" s="488" t="s">
        <v>328</v>
      </c>
      <c r="G55" s="489"/>
      <c r="H55" s="489"/>
      <c r="I55" s="489"/>
      <c r="J55" s="489"/>
      <c r="K55" s="489"/>
      <c r="L55" s="489"/>
      <c r="M55" s="490"/>
      <c r="N55" s="385" t="s">
        <v>119</v>
      </c>
      <c r="O55" s="391" t="s">
        <v>141</v>
      </c>
      <c r="P55" s="502" t="s">
        <v>131</v>
      </c>
      <c r="Q55" s="503"/>
      <c r="R55" s="502" t="s">
        <v>240</v>
      </c>
      <c r="S55" s="504"/>
      <c r="T55" s="504"/>
      <c r="U55" s="503"/>
      <c r="V55" s="472" t="s">
        <v>148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 t="s">
        <v>119</v>
      </c>
      <c r="B56" s="501"/>
      <c r="C56" s="384" t="s">
        <v>208</v>
      </c>
      <c r="D56" s="384" t="s">
        <v>115</v>
      </c>
      <c r="E56" s="386" t="s">
        <v>457</v>
      </c>
      <c r="F56" s="488" t="s">
        <v>460</v>
      </c>
      <c r="G56" s="489"/>
      <c r="H56" s="489"/>
      <c r="I56" s="489"/>
      <c r="J56" s="489"/>
      <c r="K56" s="489"/>
      <c r="L56" s="489"/>
      <c r="M56" s="490"/>
      <c r="N56" s="385" t="s">
        <v>119</v>
      </c>
      <c r="O56" s="391" t="s">
        <v>208</v>
      </c>
      <c r="P56" s="502" t="s">
        <v>115</v>
      </c>
      <c r="Q56" s="503"/>
      <c r="R56" s="502" t="s">
        <v>457</v>
      </c>
      <c r="S56" s="504"/>
      <c r="T56" s="504"/>
      <c r="U56" s="503"/>
      <c r="V56" s="472" t="s">
        <v>132</v>
      </c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122</v>
      </c>
      <c r="B57" s="501"/>
      <c r="C57" s="384" t="s">
        <v>141</v>
      </c>
      <c r="D57" s="384"/>
      <c r="E57" s="386" t="s">
        <v>190</v>
      </c>
      <c r="F57" s="488" t="s">
        <v>148</v>
      </c>
      <c r="G57" s="489"/>
      <c r="H57" s="489"/>
      <c r="I57" s="489"/>
      <c r="J57" s="489"/>
      <c r="K57" s="489"/>
      <c r="L57" s="489"/>
      <c r="M57" s="490"/>
      <c r="N57" s="385" t="s">
        <v>119</v>
      </c>
      <c r="O57" s="391" t="s">
        <v>409</v>
      </c>
      <c r="P57" s="502" t="s">
        <v>138</v>
      </c>
      <c r="Q57" s="503"/>
      <c r="R57" s="502" t="s">
        <v>408</v>
      </c>
      <c r="S57" s="504"/>
      <c r="T57" s="504"/>
      <c r="U57" s="503"/>
      <c r="V57" s="472" t="s">
        <v>132</v>
      </c>
      <c r="W57" s="472"/>
      <c r="X57" s="472"/>
      <c r="Y57" s="472"/>
      <c r="Z57" s="472"/>
      <c r="AA57" s="472"/>
      <c r="AB57" s="472"/>
      <c r="AC57" s="472"/>
      <c r="AD57" s="491"/>
    </row>
    <row r="58" spans="1:32" ht="27" customHeight="1">
      <c r="A58" s="500" t="s">
        <v>120</v>
      </c>
      <c r="B58" s="501"/>
      <c r="C58" s="384" t="s">
        <v>226</v>
      </c>
      <c r="D58" s="384" t="s">
        <v>115</v>
      </c>
      <c r="E58" s="386" t="s">
        <v>152</v>
      </c>
      <c r="F58" s="488" t="s">
        <v>148</v>
      </c>
      <c r="G58" s="489"/>
      <c r="H58" s="489"/>
      <c r="I58" s="489"/>
      <c r="J58" s="489"/>
      <c r="K58" s="489"/>
      <c r="L58" s="489"/>
      <c r="M58" s="490"/>
      <c r="N58" s="385"/>
      <c r="O58" s="391"/>
      <c r="P58" s="502"/>
      <c r="Q58" s="503"/>
      <c r="R58" s="502"/>
      <c r="S58" s="504"/>
      <c r="T58" s="504"/>
      <c r="U58" s="503"/>
      <c r="V58" s="488"/>
      <c r="W58" s="489"/>
      <c r="X58" s="489"/>
      <c r="Y58" s="489"/>
      <c r="Z58" s="489"/>
      <c r="AA58" s="489"/>
      <c r="AB58" s="489"/>
      <c r="AC58" s="489"/>
      <c r="AD58" s="490"/>
    </row>
    <row r="59" spans="1:32" ht="27" customHeight="1">
      <c r="A59" s="500" t="s">
        <v>120</v>
      </c>
      <c r="B59" s="501"/>
      <c r="C59" s="384" t="s">
        <v>149</v>
      </c>
      <c r="D59" s="384" t="s">
        <v>115</v>
      </c>
      <c r="E59" s="386" t="s">
        <v>441</v>
      </c>
      <c r="F59" s="488" t="s">
        <v>461</v>
      </c>
      <c r="G59" s="489"/>
      <c r="H59" s="489"/>
      <c r="I59" s="489"/>
      <c r="J59" s="489"/>
      <c r="K59" s="489"/>
      <c r="L59" s="489"/>
      <c r="M59" s="490"/>
      <c r="N59" s="385"/>
      <c r="O59" s="391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500"/>
      <c r="B60" s="501"/>
      <c r="C60" s="384"/>
      <c r="D60" s="384"/>
      <c r="E60" s="386"/>
      <c r="F60" s="488"/>
      <c r="G60" s="489"/>
      <c r="H60" s="489"/>
      <c r="I60" s="489"/>
      <c r="J60" s="489"/>
      <c r="K60" s="489"/>
      <c r="L60" s="489"/>
      <c r="M60" s="490"/>
      <c r="N60" s="385"/>
      <c r="O60" s="391"/>
      <c r="P60" s="502"/>
      <c r="Q60" s="503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</row>
    <row r="61" spans="1:32" ht="27" customHeight="1">
      <c r="A61" s="486"/>
      <c r="B61" s="487"/>
      <c r="C61" s="386"/>
      <c r="D61" s="386"/>
      <c r="E61" s="386"/>
      <c r="F61" s="488"/>
      <c r="G61" s="489"/>
      <c r="H61" s="489"/>
      <c r="I61" s="489"/>
      <c r="J61" s="489"/>
      <c r="K61" s="489"/>
      <c r="L61" s="489"/>
      <c r="M61" s="490"/>
      <c r="N61" s="385"/>
      <c r="O61" s="391"/>
      <c r="P61" s="487"/>
      <c r="Q61" s="487"/>
      <c r="R61" s="487"/>
      <c r="S61" s="487"/>
      <c r="T61" s="487"/>
      <c r="U61" s="487"/>
      <c r="V61" s="472"/>
      <c r="W61" s="472"/>
      <c r="X61" s="472"/>
      <c r="Y61" s="472"/>
      <c r="Z61" s="472"/>
      <c r="AA61" s="472"/>
      <c r="AB61" s="472"/>
      <c r="AC61" s="472"/>
      <c r="AD61" s="491"/>
      <c r="AF61" s="84">
        <f>8*3000</f>
        <v>24000</v>
      </c>
    </row>
    <row r="62" spans="1:32" ht="27" customHeight="1" thickBot="1">
      <c r="A62" s="492"/>
      <c r="B62" s="493"/>
      <c r="C62" s="387"/>
      <c r="D62" s="388"/>
      <c r="E62" s="388"/>
      <c r="F62" s="494"/>
      <c r="G62" s="495"/>
      <c r="H62" s="495"/>
      <c r="I62" s="495"/>
      <c r="J62" s="495"/>
      <c r="K62" s="495"/>
      <c r="L62" s="495"/>
      <c r="M62" s="496"/>
      <c r="N62" s="112"/>
      <c r="O62" s="103"/>
      <c r="P62" s="497"/>
      <c r="Q62" s="497"/>
      <c r="R62" s="497"/>
      <c r="S62" s="497"/>
      <c r="T62" s="497"/>
      <c r="U62" s="497"/>
      <c r="V62" s="498"/>
      <c r="W62" s="498"/>
      <c r="X62" s="498"/>
      <c r="Y62" s="498"/>
      <c r="Z62" s="498"/>
      <c r="AA62" s="498"/>
      <c r="AB62" s="498"/>
      <c r="AC62" s="498"/>
      <c r="AD62" s="499"/>
      <c r="AF62" s="84">
        <f>16*3000</f>
        <v>48000</v>
      </c>
    </row>
    <row r="63" spans="1:32" ht="27.75" thickBot="1">
      <c r="A63" s="484" t="s">
        <v>464</v>
      </c>
      <c r="B63" s="484"/>
      <c r="C63" s="484"/>
      <c r="D63" s="484"/>
      <c r="E63" s="484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4">
        <v>24000</v>
      </c>
    </row>
    <row r="64" spans="1:32" ht="29.25" customHeight="1" thickBot="1">
      <c r="A64" s="485" t="s">
        <v>111</v>
      </c>
      <c r="B64" s="479"/>
      <c r="C64" s="389" t="s">
        <v>2</v>
      </c>
      <c r="D64" s="389" t="s">
        <v>37</v>
      </c>
      <c r="E64" s="389" t="s">
        <v>3</v>
      </c>
      <c r="F64" s="479" t="s">
        <v>109</v>
      </c>
      <c r="G64" s="479"/>
      <c r="H64" s="479"/>
      <c r="I64" s="479"/>
      <c r="J64" s="479"/>
      <c r="K64" s="479" t="s">
        <v>39</v>
      </c>
      <c r="L64" s="479"/>
      <c r="M64" s="389" t="s">
        <v>40</v>
      </c>
      <c r="N64" s="479" t="s">
        <v>41</v>
      </c>
      <c r="O64" s="479"/>
      <c r="P64" s="476" t="s">
        <v>42</v>
      </c>
      <c r="Q64" s="478"/>
      <c r="R64" s="476" t="s">
        <v>43</v>
      </c>
      <c r="S64" s="477"/>
      <c r="T64" s="477"/>
      <c r="U64" s="477"/>
      <c r="V64" s="477"/>
      <c r="W64" s="477"/>
      <c r="X64" s="477"/>
      <c r="Y64" s="477"/>
      <c r="Z64" s="477"/>
      <c r="AA64" s="478"/>
      <c r="AB64" s="479" t="s">
        <v>44</v>
      </c>
      <c r="AC64" s="479"/>
      <c r="AD64" s="480"/>
      <c r="AF64" s="84">
        <f>SUM(AF61:AF63)</f>
        <v>96000</v>
      </c>
    </row>
    <row r="65" spans="1:32" ht="25.5" customHeight="1">
      <c r="A65" s="467">
        <v>1</v>
      </c>
      <c r="B65" s="468"/>
      <c r="C65" s="105" t="s">
        <v>112</v>
      </c>
      <c r="D65" s="393"/>
      <c r="E65" s="390" t="s">
        <v>465</v>
      </c>
      <c r="F65" s="473" t="s">
        <v>456</v>
      </c>
      <c r="G65" s="474"/>
      <c r="H65" s="474"/>
      <c r="I65" s="474"/>
      <c r="J65" s="475"/>
      <c r="K65" s="461" t="s">
        <v>127</v>
      </c>
      <c r="L65" s="461"/>
      <c r="M65" s="51" t="s">
        <v>360</v>
      </c>
      <c r="N65" s="470" t="s">
        <v>150</v>
      </c>
      <c r="O65" s="470"/>
      <c r="P65" s="471">
        <v>50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2</v>
      </c>
      <c r="B66" s="468"/>
      <c r="C66" s="105" t="s">
        <v>112</v>
      </c>
      <c r="D66" s="393"/>
      <c r="E66" s="390" t="s">
        <v>115</v>
      </c>
      <c r="F66" s="473" t="s">
        <v>466</v>
      </c>
      <c r="G66" s="474"/>
      <c r="H66" s="474"/>
      <c r="I66" s="474"/>
      <c r="J66" s="475"/>
      <c r="K66" s="461" t="s">
        <v>467</v>
      </c>
      <c r="L66" s="461"/>
      <c r="M66" s="51" t="s">
        <v>468</v>
      </c>
      <c r="N66" s="470" t="s">
        <v>151</v>
      </c>
      <c r="O66" s="470"/>
      <c r="P66" s="471" t="s">
        <v>469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3</v>
      </c>
      <c r="B67" s="468"/>
      <c r="C67" s="105" t="s">
        <v>119</v>
      </c>
      <c r="D67" s="393"/>
      <c r="E67" s="390" t="s">
        <v>115</v>
      </c>
      <c r="F67" s="473" t="s">
        <v>457</v>
      </c>
      <c r="G67" s="474"/>
      <c r="H67" s="474"/>
      <c r="I67" s="474"/>
      <c r="J67" s="475"/>
      <c r="K67" s="461" t="s">
        <v>118</v>
      </c>
      <c r="L67" s="461"/>
      <c r="M67" s="51" t="s">
        <v>360</v>
      </c>
      <c r="N67" s="470" t="s">
        <v>208</v>
      </c>
      <c r="O67" s="470"/>
      <c r="P67" s="471">
        <v>50</v>
      </c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4</v>
      </c>
      <c r="B68" s="468"/>
      <c r="C68" s="105"/>
      <c r="D68" s="393"/>
      <c r="E68" s="390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5</v>
      </c>
      <c r="B69" s="468"/>
      <c r="C69" s="105"/>
      <c r="D69" s="393"/>
      <c r="E69" s="390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6</v>
      </c>
      <c r="B70" s="468"/>
      <c r="C70" s="105"/>
      <c r="D70" s="393"/>
      <c r="E70" s="390"/>
      <c r="F70" s="473"/>
      <c r="G70" s="474"/>
      <c r="H70" s="474"/>
      <c r="I70" s="474"/>
      <c r="J70" s="475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7</v>
      </c>
      <c r="B71" s="468"/>
      <c r="C71" s="105"/>
      <c r="D71" s="393"/>
      <c r="E71" s="390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8</v>
      </c>
      <c r="B72" s="468"/>
      <c r="C72" s="105"/>
      <c r="D72" s="393"/>
      <c r="E72" s="390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9</v>
      </c>
      <c r="B73" s="468"/>
      <c r="C73" s="105"/>
      <c r="D73" s="393"/>
      <c r="E73" s="390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5.5" customHeight="1">
      <c r="A74" s="467">
        <v>10</v>
      </c>
      <c r="B74" s="468"/>
      <c r="C74" s="105"/>
      <c r="D74" s="393"/>
      <c r="E74" s="390"/>
      <c r="F74" s="469"/>
      <c r="G74" s="461"/>
      <c r="H74" s="461"/>
      <c r="I74" s="461"/>
      <c r="J74" s="461"/>
      <c r="K74" s="461"/>
      <c r="L74" s="461"/>
      <c r="M74" s="51"/>
      <c r="N74" s="470"/>
      <c r="O74" s="470"/>
      <c r="P74" s="471"/>
      <c r="Q74" s="471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61"/>
      <c r="AC74" s="461"/>
      <c r="AD74" s="462"/>
      <c r="AF74" s="50"/>
    </row>
    <row r="75" spans="1:32" ht="26.25" customHeight="1" thickBot="1">
      <c r="A75" s="441" t="s">
        <v>470</v>
      </c>
      <c r="B75" s="441"/>
      <c r="C75" s="441"/>
      <c r="D75" s="441"/>
      <c r="E75" s="441"/>
      <c r="F75" s="37"/>
      <c r="G75" s="37"/>
      <c r="H75" s="38"/>
      <c r="I75" s="38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F75" s="50"/>
    </row>
    <row r="76" spans="1:32" ht="23.25" thickBot="1">
      <c r="A76" s="442" t="s">
        <v>175</v>
      </c>
      <c r="B76" s="443"/>
      <c r="C76" s="392" t="s">
        <v>2</v>
      </c>
      <c r="D76" s="392" t="s">
        <v>37</v>
      </c>
      <c r="E76" s="392" t="s">
        <v>142</v>
      </c>
      <c r="F76" s="443" t="s">
        <v>38</v>
      </c>
      <c r="G76" s="443"/>
      <c r="H76" s="443"/>
      <c r="I76" s="443"/>
      <c r="J76" s="443"/>
      <c r="K76" s="463" t="s">
        <v>58</v>
      </c>
      <c r="L76" s="464"/>
      <c r="M76" s="464"/>
      <c r="N76" s="464"/>
      <c r="O76" s="464"/>
      <c r="P76" s="464"/>
      <c r="Q76" s="464"/>
      <c r="R76" s="464"/>
      <c r="S76" s="465"/>
      <c r="T76" s="443" t="s">
        <v>49</v>
      </c>
      <c r="U76" s="443"/>
      <c r="V76" s="463" t="s">
        <v>50</v>
      </c>
      <c r="W76" s="465"/>
      <c r="X76" s="464" t="s">
        <v>51</v>
      </c>
      <c r="Y76" s="464"/>
      <c r="Z76" s="464"/>
      <c r="AA76" s="464"/>
      <c r="AB76" s="464"/>
      <c r="AC76" s="464"/>
      <c r="AD76" s="466"/>
      <c r="AF76" s="50"/>
    </row>
    <row r="77" spans="1:32" ht="33.75" customHeight="1">
      <c r="A77" s="435">
        <v>1</v>
      </c>
      <c r="B77" s="436"/>
      <c r="C77" s="394" t="s">
        <v>112</v>
      </c>
      <c r="D77" s="394"/>
      <c r="E77" s="65" t="s">
        <v>117</v>
      </c>
      <c r="F77" s="450" t="s">
        <v>116</v>
      </c>
      <c r="G77" s="451"/>
      <c r="H77" s="451"/>
      <c r="I77" s="451"/>
      <c r="J77" s="452"/>
      <c r="K77" s="453" t="s">
        <v>121</v>
      </c>
      <c r="L77" s="454"/>
      <c r="M77" s="454"/>
      <c r="N77" s="454"/>
      <c r="O77" s="454"/>
      <c r="P77" s="454"/>
      <c r="Q77" s="454"/>
      <c r="R77" s="454"/>
      <c r="S77" s="455"/>
      <c r="T77" s="456">
        <v>43675</v>
      </c>
      <c r="U77" s="457"/>
      <c r="V77" s="458"/>
      <c r="W77" s="458"/>
      <c r="X77" s="459"/>
      <c r="Y77" s="459"/>
      <c r="Z77" s="459"/>
      <c r="AA77" s="459"/>
      <c r="AB77" s="459"/>
      <c r="AC77" s="459"/>
      <c r="AD77" s="460"/>
      <c r="AF77" s="50"/>
    </row>
    <row r="78" spans="1:32" ht="30" customHeight="1">
      <c r="A78" s="428">
        <f>A77+1</f>
        <v>2</v>
      </c>
      <c r="B78" s="429"/>
      <c r="C78" s="393"/>
      <c r="D78" s="393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ref="A79:A83" si="20">A78+1</f>
        <v>3</v>
      </c>
      <c r="B79" s="429"/>
      <c r="C79" s="393"/>
      <c r="D79" s="393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20"/>
        <v>4</v>
      </c>
      <c r="B80" s="429"/>
      <c r="C80" s="393"/>
      <c r="D80" s="393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20"/>
        <v>5</v>
      </c>
      <c r="B81" s="429"/>
      <c r="C81" s="393"/>
      <c r="D81" s="393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20"/>
        <v>6</v>
      </c>
      <c r="B82" s="429"/>
      <c r="C82" s="393"/>
      <c r="D82" s="393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0" customHeight="1">
      <c r="A83" s="428">
        <f t="shared" si="20"/>
        <v>7</v>
      </c>
      <c r="B83" s="429"/>
      <c r="C83" s="393"/>
      <c r="D83" s="393"/>
      <c r="E83" s="32"/>
      <c r="F83" s="429"/>
      <c r="G83" s="429"/>
      <c r="H83" s="429"/>
      <c r="I83" s="429"/>
      <c r="J83" s="429"/>
      <c r="K83" s="444"/>
      <c r="L83" s="445"/>
      <c r="M83" s="445"/>
      <c r="N83" s="445"/>
      <c r="O83" s="445"/>
      <c r="P83" s="445"/>
      <c r="Q83" s="445"/>
      <c r="R83" s="445"/>
      <c r="S83" s="446"/>
      <c r="T83" s="447"/>
      <c r="U83" s="447"/>
      <c r="V83" s="447"/>
      <c r="W83" s="447"/>
      <c r="X83" s="448"/>
      <c r="Y83" s="448"/>
      <c r="Z83" s="448"/>
      <c r="AA83" s="448"/>
      <c r="AB83" s="448"/>
      <c r="AC83" s="448"/>
      <c r="AD83" s="449"/>
      <c r="AF83" s="50"/>
    </row>
    <row r="84" spans="1:32" ht="36" thickBot="1">
      <c r="A84" s="441" t="s">
        <v>471</v>
      </c>
      <c r="B84" s="441"/>
      <c r="C84" s="441"/>
      <c r="D84" s="441"/>
      <c r="E84" s="44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42" t="s">
        <v>111</v>
      </c>
      <c r="B85" s="443"/>
      <c r="C85" s="433" t="s">
        <v>52</v>
      </c>
      <c r="D85" s="433"/>
      <c r="E85" s="433" t="s">
        <v>53</v>
      </c>
      <c r="F85" s="433"/>
      <c r="G85" s="433"/>
      <c r="H85" s="433"/>
      <c r="I85" s="433"/>
      <c r="J85" s="433"/>
      <c r="K85" s="433" t="s">
        <v>54</v>
      </c>
      <c r="L85" s="433"/>
      <c r="M85" s="433"/>
      <c r="N85" s="433"/>
      <c r="O85" s="433"/>
      <c r="P85" s="433"/>
      <c r="Q85" s="433"/>
      <c r="R85" s="433"/>
      <c r="S85" s="433"/>
      <c r="T85" s="433" t="s">
        <v>55</v>
      </c>
      <c r="U85" s="433"/>
      <c r="V85" s="433" t="s">
        <v>56</v>
      </c>
      <c r="W85" s="433"/>
      <c r="X85" s="433"/>
      <c r="Y85" s="433" t="s">
        <v>51</v>
      </c>
      <c r="Z85" s="433"/>
      <c r="AA85" s="433"/>
      <c r="AB85" s="433"/>
      <c r="AC85" s="433"/>
      <c r="AD85" s="434"/>
      <c r="AF85" s="50"/>
    </row>
    <row r="86" spans="1:32" ht="30.75" customHeight="1">
      <c r="A86" s="435">
        <v>1</v>
      </c>
      <c r="B86" s="436"/>
      <c r="C86" s="437">
        <v>11</v>
      </c>
      <c r="D86" s="437"/>
      <c r="E86" s="437" t="s">
        <v>143</v>
      </c>
      <c r="F86" s="437"/>
      <c r="G86" s="437"/>
      <c r="H86" s="437"/>
      <c r="I86" s="437"/>
      <c r="J86" s="437"/>
      <c r="K86" s="437" t="s">
        <v>145</v>
      </c>
      <c r="L86" s="437"/>
      <c r="M86" s="437"/>
      <c r="N86" s="437"/>
      <c r="O86" s="437"/>
      <c r="P86" s="437"/>
      <c r="Q86" s="437"/>
      <c r="R86" s="437"/>
      <c r="S86" s="437"/>
      <c r="T86" s="437" t="s">
        <v>144</v>
      </c>
      <c r="U86" s="437"/>
      <c r="V86" s="438"/>
      <c r="W86" s="438"/>
      <c r="X86" s="438"/>
      <c r="Y86" s="439" t="s">
        <v>146</v>
      </c>
      <c r="Z86" s="439"/>
      <c r="AA86" s="439"/>
      <c r="AB86" s="439"/>
      <c r="AC86" s="439"/>
      <c r="AD86" s="440"/>
      <c r="AF86" s="50"/>
    </row>
    <row r="87" spans="1:32" ht="30.75" customHeight="1">
      <c r="A87" s="428">
        <v>2</v>
      </c>
      <c r="B87" s="429"/>
      <c r="C87" s="430"/>
      <c r="D87" s="430"/>
      <c r="E87" s="430"/>
      <c r="F87" s="430"/>
      <c r="G87" s="430"/>
      <c r="H87" s="430"/>
      <c r="I87" s="430"/>
      <c r="J87" s="430"/>
      <c r="K87" s="430"/>
      <c r="L87" s="430"/>
      <c r="M87" s="430"/>
      <c r="N87" s="430"/>
      <c r="O87" s="430"/>
      <c r="P87" s="430"/>
      <c r="Q87" s="430"/>
      <c r="R87" s="430"/>
      <c r="S87" s="430"/>
      <c r="T87" s="431"/>
      <c r="U87" s="431"/>
      <c r="V87" s="432"/>
      <c r="W87" s="432"/>
      <c r="X87" s="432"/>
      <c r="Y87" s="421"/>
      <c r="Z87" s="421"/>
      <c r="AA87" s="421"/>
      <c r="AB87" s="421"/>
      <c r="AC87" s="421"/>
      <c r="AD87" s="422"/>
      <c r="AF87" s="50"/>
    </row>
    <row r="88" spans="1:32" ht="30.75" customHeight="1" thickBot="1">
      <c r="A88" s="423">
        <v>3</v>
      </c>
      <c r="B88" s="424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6"/>
      <c r="Z88" s="426"/>
      <c r="AA88" s="426"/>
      <c r="AB88" s="426"/>
      <c r="AC88" s="426"/>
      <c r="AD88" s="427"/>
      <c r="AF88" s="50"/>
    </row>
  </sheetData>
  <mergeCells count="232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B74:AD74"/>
    <mergeCell ref="A75:E75"/>
    <mergeCell ref="A76:B76"/>
    <mergeCell ref="F76:J76"/>
    <mergeCell ref="K76:S76"/>
    <mergeCell ref="T76:U76"/>
    <mergeCell ref="V76:W76"/>
    <mergeCell ref="X76:AD76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8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91D5-7586-4ECB-832F-77D28D987933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472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407" t="s">
        <v>17</v>
      </c>
      <c r="L5" s="407" t="s">
        <v>18</v>
      </c>
      <c r="M5" s="407" t="s">
        <v>19</v>
      </c>
      <c r="N5" s="40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112</v>
      </c>
      <c r="D6" s="52" t="s">
        <v>444</v>
      </c>
      <c r="E6" s="53" t="s">
        <v>456</v>
      </c>
      <c r="F6" s="12" t="s">
        <v>127</v>
      </c>
      <c r="G6" s="12">
        <v>1</v>
      </c>
      <c r="H6" s="13">
        <v>24</v>
      </c>
      <c r="I6" s="31">
        <v>250</v>
      </c>
      <c r="J6" s="14">
        <v>250</v>
      </c>
      <c r="K6" s="15">
        <f>L6+250</f>
        <v>250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0.37239583333333337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2638</v>
      </c>
      <c r="K7" s="15">
        <f>L7+2506+3518+2903+5754+2638</f>
        <v>17319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0.37239583333333337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3737</v>
      </c>
      <c r="K8" s="15">
        <f>L8+670</f>
        <v>4407</v>
      </c>
      <c r="L8" s="15">
        <f>1215+2522</f>
        <v>3737</v>
      </c>
      <c r="M8" s="15">
        <f t="shared" si="0"/>
        <v>3737</v>
      </c>
      <c r="N8" s="15">
        <v>0</v>
      </c>
      <c r="O8" s="58">
        <f t="shared" si="1"/>
        <v>0</v>
      </c>
      <c r="P8" s="39">
        <f t="shared" si="2"/>
        <v>19</v>
      </c>
      <c r="Q8" s="40">
        <f t="shared" si="3"/>
        <v>5</v>
      </c>
      <c r="R8" s="7"/>
      <c r="S8" s="6">
        <v>5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0.79166666666666663</v>
      </c>
      <c r="AD8" s="10">
        <f t="shared" si="6"/>
        <v>0.79166666666666663</v>
      </c>
      <c r="AE8" s="36">
        <f t="shared" si="7"/>
        <v>0.37239583333333337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115</v>
      </c>
      <c r="E9" s="53" t="s">
        <v>457</v>
      </c>
      <c r="F9" s="30" t="s">
        <v>118</v>
      </c>
      <c r="G9" s="33">
        <v>1</v>
      </c>
      <c r="H9" s="35">
        <v>24</v>
      </c>
      <c r="I9" s="7">
        <v>1000</v>
      </c>
      <c r="J9" s="5">
        <v>748</v>
      </c>
      <c r="K9" s="15">
        <f>L9+490</f>
        <v>1238</v>
      </c>
      <c r="L9" s="15">
        <f>312+436</f>
        <v>748</v>
      </c>
      <c r="M9" s="15">
        <f t="shared" si="0"/>
        <v>748</v>
      </c>
      <c r="N9" s="15">
        <v>0</v>
      </c>
      <c r="O9" s="58">
        <f t="shared" si="1"/>
        <v>0</v>
      </c>
      <c r="P9" s="39">
        <f t="shared" si="2"/>
        <v>5</v>
      </c>
      <c r="Q9" s="40">
        <f t="shared" si="3"/>
        <v>19</v>
      </c>
      <c r="R9" s="7"/>
      <c r="S9" s="6">
        <v>10</v>
      </c>
      <c r="T9" s="16"/>
      <c r="U9" s="16"/>
      <c r="V9" s="17"/>
      <c r="W9" s="5">
        <v>9</v>
      </c>
      <c r="X9" s="16"/>
      <c r="Y9" s="16"/>
      <c r="Z9" s="16"/>
      <c r="AA9" s="18"/>
      <c r="AB9" s="8">
        <f t="shared" si="4"/>
        <v>1</v>
      </c>
      <c r="AC9" s="9">
        <f t="shared" si="5"/>
        <v>0.20833333333333334</v>
      </c>
      <c r="AD9" s="10">
        <f>AC9*AB9*(1-O9)</f>
        <v>0.20833333333333334</v>
      </c>
      <c r="AE9" s="36">
        <f t="shared" si="7"/>
        <v>0.37239583333333337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200000</v>
      </c>
      <c r="J10" s="14">
        <v>25300</v>
      </c>
      <c r="K10" s="15">
        <f>L10+25248+14223+20808+23988+24256+24948</f>
        <v>158771</v>
      </c>
      <c r="L10" s="15">
        <f>3198*4+3127*4</f>
        <v>25300</v>
      </c>
      <c r="M10" s="15">
        <f t="shared" si="0"/>
        <v>25300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ref="AD10:AD14" si="9">AC10*AB10*(1-O10)</f>
        <v>1</v>
      </c>
      <c r="AE10" s="36">
        <f t="shared" si="7"/>
        <v>0.37239583333333337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9"/>
        <v>0</v>
      </c>
      <c r="AE11" s="36">
        <f t="shared" si="7"/>
        <v>0.37239583333333337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119</v>
      </c>
      <c r="D12" s="52" t="s">
        <v>131</v>
      </c>
      <c r="E12" s="53" t="s">
        <v>240</v>
      </c>
      <c r="F12" s="30" t="s">
        <v>241</v>
      </c>
      <c r="G12" s="12">
        <v>1</v>
      </c>
      <c r="H12" s="13">
        <v>20</v>
      </c>
      <c r="I12" s="31">
        <v>37000</v>
      </c>
      <c r="J12" s="5">
        <v>4535</v>
      </c>
      <c r="K12" s="15">
        <f>L12</f>
        <v>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si="9"/>
        <v>0</v>
      </c>
      <c r="AE12" s="36">
        <f t="shared" si="7"/>
        <v>0.37239583333333337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231</v>
      </c>
      <c r="E13" s="53" t="s">
        <v>463</v>
      </c>
      <c r="F13" s="30" t="s">
        <v>293</v>
      </c>
      <c r="G13" s="12">
        <v>1</v>
      </c>
      <c r="H13" s="13">
        <v>28</v>
      </c>
      <c r="I13" s="31">
        <v>5000</v>
      </c>
      <c r="J13" s="5">
        <v>4968</v>
      </c>
      <c r="K13" s="15">
        <f>L13</f>
        <v>4968</v>
      </c>
      <c r="L13" s="15">
        <f>2756+2212</f>
        <v>4968</v>
      </c>
      <c r="M13" s="15">
        <f t="shared" si="0"/>
        <v>4968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/>
      <c r="T13" s="16">
        <v>1</v>
      </c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>AC13*AB13*(1-O13)</f>
        <v>0.95833333333333337</v>
      </c>
      <c r="AE13" s="36">
        <f t="shared" si="7"/>
        <v>0.37239583333333337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0.37239583333333337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5033</v>
      </c>
      <c r="K15" s="15">
        <f>L15+3277+4927+4955+4860</f>
        <v>23052</v>
      </c>
      <c r="L15" s="15">
        <f>2487+2546</f>
        <v>5033</v>
      </c>
      <c r="M15" s="15">
        <f t="shared" si="0"/>
        <v>5033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0.37239583333333337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0.37239583333333337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0.37239583333333337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120</v>
      </c>
      <c r="D18" s="52" t="s">
        <v>115</v>
      </c>
      <c r="E18" s="53" t="s">
        <v>234</v>
      </c>
      <c r="F18" s="30" t="s">
        <v>123</v>
      </c>
      <c r="G18" s="33">
        <v>2</v>
      </c>
      <c r="H18" s="35">
        <v>24</v>
      </c>
      <c r="I18" s="7">
        <v>50000</v>
      </c>
      <c r="J18" s="14">
        <v>2418</v>
      </c>
      <c r="K18" s="15">
        <f>L18+2418</f>
        <v>2418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0.37239583333333337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417</v>
      </c>
      <c r="F19" s="30" t="s">
        <v>241</v>
      </c>
      <c r="G19" s="33">
        <v>1</v>
      </c>
      <c r="H19" s="35">
        <v>24</v>
      </c>
      <c r="I19" s="7">
        <v>28000</v>
      </c>
      <c r="J19" s="14">
        <v>5539</v>
      </c>
      <c r="K19" s="15">
        <f>L19+4594+5357+5319</f>
        <v>20809</v>
      </c>
      <c r="L19" s="15">
        <f>2740+2799</f>
        <v>5539</v>
      </c>
      <c r="M19" s="15">
        <f t="shared" si="0"/>
        <v>5539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0.37239583333333337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4</v>
      </c>
      <c r="H20" s="13">
        <v>28</v>
      </c>
      <c r="I20" s="31">
        <v>200000</v>
      </c>
      <c r="J20" s="5">
        <v>28780</v>
      </c>
      <c r="K20" s="15">
        <f>L20+17832+26640+27152+17856</f>
        <v>118260</v>
      </c>
      <c r="L20" s="15">
        <f>3342*4+3853*4</f>
        <v>28780</v>
      </c>
      <c r="M20" s="15">
        <f t="shared" si="0"/>
        <v>28780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0.37239583333333337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500000</v>
      </c>
      <c r="J21" s="14">
        <v>37904</v>
      </c>
      <c r="K21" s="15">
        <f>L21+28876+33668+30304+72816+70472+27788+28704+35272+35220+37904</f>
        <v>401024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0.37239583333333337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1314050</v>
      </c>
      <c r="J22" s="19">
        <f t="shared" si="10"/>
        <v>142627</v>
      </c>
      <c r="K22" s="20">
        <f t="shared" si="10"/>
        <v>840391</v>
      </c>
      <c r="L22" s="21">
        <f t="shared" si="10"/>
        <v>74105</v>
      </c>
      <c r="M22" s="20">
        <f t="shared" si="10"/>
        <v>74105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143</v>
      </c>
      <c r="Q22" s="43">
        <f t="shared" si="11"/>
        <v>241</v>
      </c>
      <c r="R22" s="23">
        <f t="shared" si="11"/>
        <v>24</v>
      </c>
      <c r="S22" s="24">
        <f t="shared" si="11"/>
        <v>135</v>
      </c>
      <c r="T22" s="24">
        <f t="shared" si="11"/>
        <v>1</v>
      </c>
      <c r="U22" s="24">
        <f t="shared" si="11"/>
        <v>0</v>
      </c>
      <c r="V22" s="25">
        <f t="shared" si="11"/>
        <v>0</v>
      </c>
      <c r="W22" s="26">
        <f t="shared" si="11"/>
        <v>57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0.4375</v>
      </c>
      <c r="AC22" s="4">
        <f>AVERAGE(AC6:AC21)</f>
        <v>0.37239583333333337</v>
      </c>
      <c r="AD22" s="4">
        <f>AVERAGE(AD6:AD21)</f>
        <v>0.37239583333333337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473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475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406" t="s">
        <v>46</v>
      </c>
      <c r="D51" s="406" t="s">
        <v>47</v>
      </c>
      <c r="E51" s="406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406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405" t="s">
        <v>196</v>
      </c>
      <c r="D52" s="405" t="s">
        <v>231</v>
      </c>
      <c r="E52" s="402" t="s">
        <v>463</v>
      </c>
      <c r="F52" s="488" t="s">
        <v>148</v>
      </c>
      <c r="G52" s="489"/>
      <c r="H52" s="489"/>
      <c r="I52" s="489"/>
      <c r="J52" s="489"/>
      <c r="K52" s="489"/>
      <c r="L52" s="489"/>
      <c r="M52" s="490"/>
      <c r="N52" s="401" t="s">
        <v>120</v>
      </c>
      <c r="O52" s="399" t="s">
        <v>149</v>
      </c>
      <c r="P52" s="502" t="s">
        <v>115</v>
      </c>
      <c r="Q52" s="503"/>
      <c r="R52" s="502" t="s">
        <v>441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119</v>
      </c>
      <c r="B53" s="501"/>
      <c r="C53" s="405" t="s">
        <v>409</v>
      </c>
      <c r="D53" s="405" t="s">
        <v>138</v>
      </c>
      <c r="E53" s="402" t="s">
        <v>408</v>
      </c>
      <c r="F53" s="488" t="s">
        <v>132</v>
      </c>
      <c r="G53" s="489"/>
      <c r="H53" s="489"/>
      <c r="I53" s="489"/>
      <c r="J53" s="489"/>
      <c r="K53" s="489"/>
      <c r="L53" s="489"/>
      <c r="M53" s="490"/>
      <c r="N53" s="401" t="s">
        <v>119</v>
      </c>
      <c r="O53" s="399" t="s">
        <v>150</v>
      </c>
      <c r="P53" s="502" t="s">
        <v>128</v>
      </c>
      <c r="Q53" s="503"/>
      <c r="R53" s="502" t="s">
        <v>476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119</v>
      </c>
      <c r="B54" s="501"/>
      <c r="C54" s="405" t="s">
        <v>208</v>
      </c>
      <c r="D54" s="405" t="s">
        <v>115</v>
      </c>
      <c r="E54" s="402" t="s">
        <v>457</v>
      </c>
      <c r="F54" s="488" t="s">
        <v>132</v>
      </c>
      <c r="G54" s="489"/>
      <c r="H54" s="489"/>
      <c r="I54" s="489"/>
      <c r="J54" s="489"/>
      <c r="K54" s="489"/>
      <c r="L54" s="489"/>
      <c r="M54" s="490"/>
      <c r="N54" s="401" t="s">
        <v>119</v>
      </c>
      <c r="O54" s="399" t="s">
        <v>208</v>
      </c>
      <c r="P54" s="502" t="s">
        <v>115</v>
      </c>
      <c r="Q54" s="503"/>
      <c r="R54" s="502" t="s">
        <v>172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500" t="s">
        <v>119</v>
      </c>
      <c r="B55" s="501"/>
      <c r="C55" s="405" t="s">
        <v>141</v>
      </c>
      <c r="D55" s="405" t="s">
        <v>131</v>
      </c>
      <c r="E55" s="402" t="s">
        <v>240</v>
      </c>
      <c r="F55" s="488" t="s">
        <v>214</v>
      </c>
      <c r="G55" s="489"/>
      <c r="H55" s="489"/>
      <c r="I55" s="489"/>
      <c r="J55" s="489"/>
      <c r="K55" s="489"/>
      <c r="L55" s="489"/>
      <c r="M55" s="490"/>
      <c r="N55" s="401" t="s">
        <v>119</v>
      </c>
      <c r="O55" s="399" t="s">
        <v>205</v>
      </c>
      <c r="P55" s="502" t="s">
        <v>131</v>
      </c>
      <c r="Q55" s="503"/>
      <c r="R55" s="502" t="s">
        <v>477</v>
      </c>
      <c r="S55" s="504"/>
      <c r="T55" s="504"/>
      <c r="U55" s="503"/>
      <c r="V55" s="472" t="s">
        <v>148</v>
      </c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 t="s">
        <v>120</v>
      </c>
      <c r="B56" s="501"/>
      <c r="C56" s="405" t="s">
        <v>149</v>
      </c>
      <c r="D56" s="405" t="s">
        <v>115</v>
      </c>
      <c r="E56" s="402" t="s">
        <v>441</v>
      </c>
      <c r="F56" s="488" t="s">
        <v>474</v>
      </c>
      <c r="G56" s="489"/>
      <c r="H56" s="489"/>
      <c r="I56" s="489"/>
      <c r="J56" s="489"/>
      <c r="K56" s="489"/>
      <c r="L56" s="489"/>
      <c r="M56" s="490"/>
      <c r="N56" s="401"/>
      <c r="O56" s="399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405"/>
      <c r="D57" s="405"/>
      <c r="E57" s="402"/>
      <c r="F57" s="488"/>
      <c r="G57" s="489"/>
      <c r="H57" s="489"/>
      <c r="I57" s="489"/>
      <c r="J57" s="489"/>
      <c r="K57" s="489"/>
      <c r="L57" s="489"/>
      <c r="M57" s="490"/>
      <c r="N57" s="401"/>
      <c r="O57" s="399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405"/>
      <c r="D58" s="405"/>
      <c r="E58" s="402"/>
      <c r="F58" s="488"/>
      <c r="G58" s="489"/>
      <c r="H58" s="489"/>
      <c r="I58" s="489"/>
      <c r="J58" s="489"/>
      <c r="K58" s="489"/>
      <c r="L58" s="489"/>
      <c r="M58" s="490"/>
      <c r="N58" s="401"/>
      <c r="O58" s="399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405"/>
      <c r="D59" s="405"/>
      <c r="E59" s="402"/>
      <c r="F59" s="488"/>
      <c r="G59" s="489"/>
      <c r="H59" s="489"/>
      <c r="I59" s="489"/>
      <c r="J59" s="489"/>
      <c r="K59" s="489"/>
      <c r="L59" s="489"/>
      <c r="M59" s="490"/>
      <c r="N59" s="401"/>
      <c r="O59" s="399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402"/>
      <c r="D60" s="402"/>
      <c r="E60" s="402"/>
      <c r="F60" s="488"/>
      <c r="G60" s="489"/>
      <c r="H60" s="489"/>
      <c r="I60" s="489"/>
      <c r="J60" s="489"/>
      <c r="K60" s="489"/>
      <c r="L60" s="489"/>
      <c r="M60" s="490"/>
      <c r="N60" s="401"/>
      <c r="O60" s="399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403"/>
      <c r="D61" s="404"/>
      <c r="E61" s="404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478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400" t="s">
        <v>2</v>
      </c>
      <c r="D63" s="400" t="s">
        <v>37</v>
      </c>
      <c r="E63" s="400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400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395"/>
      <c r="E64" s="398" t="s">
        <v>128</v>
      </c>
      <c r="F64" s="473" t="s">
        <v>479</v>
      </c>
      <c r="G64" s="474"/>
      <c r="H64" s="474"/>
      <c r="I64" s="474"/>
      <c r="J64" s="475"/>
      <c r="K64" s="461">
        <v>8301</v>
      </c>
      <c r="L64" s="461"/>
      <c r="M64" s="51" t="s">
        <v>480</v>
      </c>
      <c r="N64" s="470" t="s">
        <v>150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 t="s">
        <v>122</v>
      </c>
      <c r="D65" s="395"/>
      <c r="E65" s="398"/>
      <c r="F65" s="473" t="s">
        <v>168</v>
      </c>
      <c r="G65" s="474"/>
      <c r="H65" s="474"/>
      <c r="I65" s="474"/>
      <c r="J65" s="475"/>
      <c r="K65" s="461" t="s">
        <v>169</v>
      </c>
      <c r="L65" s="461"/>
      <c r="M65" s="51" t="s">
        <v>481</v>
      </c>
      <c r="N65" s="470" t="s">
        <v>195</v>
      </c>
      <c r="O65" s="470"/>
      <c r="P65" s="471"/>
      <c r="Q65" s="471"/>
      <c r="R65" s="472" t="s">
        <v>482</v>
      </c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120</v>
      </c>
      <c r="D66" s="395"/>
      <c r="E66" s="398" t="s">
        <v>115</v>
      </c>
      <c r="F66" s="473" t="s">
        <v>376</v>
      </c>
      <c r="G66" s="474"/>
      <c r="H66" s="474"/>
      <c r="I66" s="474"/>
      <c r="J66" s="475"/>
      <c r="K66" s="461" t="s">
        <v>123</v>
      </c>
      <c r="L66" s="461"/>
      <c r="M66" s="51" t="s">
        <v>133</v>
      </c>
      <c r="N66" s="470" t="s">
        <v>141</v>
      </c>
      <c r="O66" s="470"/>
      <c r="P66" s="471"/>
      <c r="Q66" s="471"/>
      <c r="R66" s="472" t="s">
        <v>483</v>
      </c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395"/>
      <c r="E67" s="398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395"/>
      <c r="E68" s="398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395"/>
      <c r="E69" s="398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395"/>
      <c r="E70" s="398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395"/>
      <c r="E71" s="398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395"/>
      <c r="E72" s="398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395"/>
      <c r="E73" s="398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484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397" t="s">
        <v>2</v>
      </c>
      <c r="D75" s="397" t="s">
        <v>37</v>
      </c>
      <c r="E75" s="397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396" t="s">
        <v>112</v>
      </c>
      <c r="D76" s="396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395"/>
      <c r="D77" s="395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395"/>
      <c r="D78" s="395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395"/>
      <c r="D79" s="395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395"/>
      <c r="D80" s="395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395"/>
      <c r="D81" s="395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395"/>
      <c r="D82" s="395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485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4943-4643-415E-963A-2D56C3B2EC46}">
  <dimension ref="A1:AF87"/>
  <sheetViews>
    <sheetView tabSelected="1" view="pageBreakPreview" zoomScale="70" zoomScaleNormal="72" zoomScaleSheetLayoutView="70" workbookViewId="0">
      <selection activeCell="F82" sqref="F82:J8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486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408" t="s">
        <v>17</v>
      </c>
      <c r="L5" s="408" t="s">
        <v>18</v>
      </c>
      <c r="M5" s="408" t="s">
        <v>19</v>
      </c>
      <c r="N5" s="40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8000</v>
      </c>
      <c r="J6" s="14">
        <v>5572</v>
      </c>
      <c r="K6" s="15">
        <f>L6</f>
        <v>5572</v>
      </c>
      <c r="L6" s="15">
        <f>2978+2594</f>
        <v>5572</v>
      </c>
      <c r="M6" s="15">
        <f t="shared" ref="M6:M21" si="0">L6-N6</f>
        <v>5572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24</v>
      </c>
      <c r="Q6" s="40">
        <f t="shared" ref="Q6:Q21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1</v>
      </c>
      <c r="AD6" s="10">
        <f t="shared" ref="AD6:AD21" si="6">AC6*AB6*(1-O6)</f>
        <v>1</v>
      </c>
      <c r="AE6" s="36">
        <f t="shared" ref="AE6:AE21" si="7">$AD$22</f>
        <v>0.45833333333333331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120</v>
      </c>
      <c r="D7" s="52" t="s">
        <v>160</v>
      </c>
      <c r="E7" s="53" t="s">
        <v>248</v>
      </c>
      <c r="F7" s="12" t="s">
        <v>169</v>
      </c>
      <c r="G7" s="12">
        <v>1</v>
      </c>
      <c r="H7" s="13">
        <v>24</v>
      </c>
      <c r="I7" s="31">
        <v>10000</v>
      </c>
      <c r="J7" s="14">
        <v>2638</v>
      </c>
      <c r="K7" s="15">
        <f>L7+2506+3518+2903+5754+2638</f>
        <v>17319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0.45833333333333331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119</v>
      </c>
      <c r="D8" s="52" t="s">
        <v>138</v>
      </c>
      <c r="E8" s="53" t="s">
        <v>408</v>
      </c>
      <c r="F8" s="30" t="s">
        <v>140</v>
      </c>
      <c r="G8" s="33">
        <v>1</v>
      </c>
      <c r="H8" s="35">
        <v>24</v>
      </c>
      <c r="I8" s="7">
        <v>28000</v>
      </c>
      <c r="J8" s="14">
        <v>4361</v>
      </c>
      <c r="K8" s="15">
        <f>L8+670+3737</f>
        <v>8768</v>
      </c>
      <c r="L8" s="15">
        <f>2340+2021</f>
        <v>4361</v>
      </c>
      <c r="M8" s="15">
        <f t="shared" si="0"/>
        <v>4361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0.45833333333333331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119</v>
      </c>
      <c r="D9" s="52" t="s">
        <v>115</v>
      </c>
      <c r="E9" s="53" t="s">
        <v>172</v>
      </c>
      <c r="F9" s="30" t="s">
        <v>129</v>
      </c>
      <c r="G9" s="33">
        <v>1</v>
      </c>
      <c r="H9" s="35">
        <v>24</v>
      </c>
      <c r="I9" s="7">
        <v>8000</v>
      </c>
      <c r="J9" s="5">
        <v>2855</v>
      </c>
      <c r="K9" s="15">
        <f>L9</f>
        <v>2855</v>
      </c>
      <c r="L9" s="15">
        <f>1068+1787</f>
        <v>2855</v>
      </c>
      <c r="M9" s="15">
        <f t="shared" si="0"/>
        <v>2855</v>
      </c>
      <c r="N9" s="15">
        <v>0</v>
      </c>
      <c r="O9" s="58">
        <f t="shared" si="1"/>
        <v>0</v>
      </c>
      <c r="P9" s="39">
        <f t="shared" si="2"/>
        <v>15</v>
      </c>
      <c r="Q9" s="40">
        <f t="shared" si="3"/>
        <v>9</v>
      </c>
      <c r="R9" s="7"/>
      <c r="S9" s="6">
        <v>9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0.625</v>
      </c>
      <c r="AD9" s="10">
        <f>AC9*AB9*(1-O9)</f>
        <v>0.625</v>
      </c>
      <c r="AE9" s="36">
        <f t="shared" si="7"/>
        <v>0.45833333333333331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119</v>
      </c>
      <c r="D10" s="52" t="s">
        <v>131</v>
      </c>
      <c r="E10" s="53" t="s">
        <v>477</v>
      </c>
      <c r="F10" s="30" t="s">
        <v>239</v>
      </c>
      <c r="G10" s="33">
        <v>1</v>
      </c>
      <c r="H10" s="35">
        <v>24</v>
      </c>
      <c r="I10" s="7">
        <v>50000</v>
      </c>
      <c r="J10" s="14">
        <v>5240</v>
      </c>
      <c r="K10" s="15">
        <f>L10</f>
        <v>5240</v>
      </c>
      <c r="L10" s="15">
        <f>3407+1833</f>
        <v>5240</v>
      </c>
      <c r="M10" s="15">
        <f t="shared" si="0"/>
        <v>5240</v>
      </c>
      <c r="N10" s="15">
        <v>0</v>
      </c>
      <c r="O10" s="58">
        <f t="shared" si="1"/>
        <v>0</v>
      </c>
      <c r="P10" s="39">
        <f t="shared" si="2"/>
        <v>22</v>
      </c>
      <c r="Q10" s="40">
        <f t="shared" si="3"/>
        <v>2</v>
      </c>
      <c r="R10" s="7"/>
      <c r="S10" s="6">
        <v>2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0.91666666666666663</v>
      </c>
      <c r="AD10" s="10">
        <f t="shared" ref="AD10:AD14" si="9">AC10*AB10*(1-O10)</f>
        <v>0.91666666666666663</v>
      </c>
      <c r="AE10" s="36">
        <f t="shared" si="7"/>
        <v>0.45833333333333331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120</v>
      </c>
      <c r="D11" s="52" t="s">
        <v>131</v>
      </c>
      <c r="E11" s="53" t="s">
        <v>134</v>
      </c>
      <c r="F11" s="30" t="s">
        <v>123</v>
      </c>
      <c r="G11" s="33">
        <v>4</v>
      </c>
      <c r="H11" s="35">
        <v>24</v>
      </c>
      <c r="I11" s="7">
        <v>200000</v>
      </c>
      <c r="J11" s="14">
        <v>14223</v>
      </c>
      <c r="K11" s="15">
        <f>L11+25248+14223</f>
        <v>39471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9"/>
        <v>0</v>
      </c>
      <c r="AE11" s="36">
        <f t="shared" si="7"/>
        <v>0.45833333333333331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487</v>
      </c>
      <c r="E12" s="53" t="s">
        <v>270</v>
      </c>
      <c r="F12" s="30" t="s">
        <v>347</v>
      </c>
      <c r="G12" s="12">
        <v>1</v>
      </c>
      <c r="H12" s="13">
        <v>20</v>
      </c>
      <c r="I12" s="31">
        <v>2500</v>
      </c>
      <c r="J12" s="5">
        <v>2788</v>
      </c>
      <c r="K12" s="15">
        <f>L12</f>
        <v>2788</v>
      </c>
      <c r="L12" s="15">
        <f>1877+911</f>
        <v>2788</v>
      </c>
      <c r="M12" s="15">
        <f t="shared" si="0"/>
        <v>2788</v>
      </c>
      <c r="N12" s="15">
        <v>0</v>
      </c>
      <c r="O12" s="58">
        <f t="shared" si="1"/>
        <v>0</v>
      </c>
      <c r="P12" s="39">
        <f t="shared" si="2"/>
        <v>20</v>
      </c>
      <c r="Q12" s="40">
        <f t="shared" si="3"/>
        <v>4</v>
      </c>
      <c r="R12" s="7"/>
      <c r="S12" s="6"/>
      <c r="T12" s="16">
        <v>4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0.83333333333333337</v>
      </c>
      <c r="AD12" s="10">
        <f t="shared" si="9"/>
        <v>0.83333333333333337</v>
      </c>
      <c r="AE12" s="36">
        <f t="shared" si="7"/>
        <v>0.45833333333333331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231</v>
      </c>
      <c r="E13" s="53" t="s">
        <v>463</v>
      </c>
      <c r="F13" s="30" t="s">
        <v>293</v>
      </c>
      <c r="G13" s="12">
        <v>1</v>
      </c>
      <c r="H13" s="13">
        <v>28</v>
      </c>
      <c r="I13" s="31">
        <v>5000</v>
      </c>
      <c r="J13" s="5">
        <v>6015</v>
      </c>
      <c r="K13" s="15">
        <f>L13+4968</f>
        <v>10983</v>
      </c>
      <c r="L13" s="15">
        <f>3207+2808</f>
        <v>6015</v>
      </c>
      <c r="M13" s="15">
        <f t="shared" si="0"/>
        <v>6015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0.45833333333333331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393</v>
      </c>
      <c r="F14" s="30" t="s">
        <v>129</v>
      </c>
      <c r="G14" s="33">
        <v>1</v>
      </c>
      <c r="H14" s="35">
        <v>60</v>
      </c>
      <c r="I14" s="7">
        <v>300</v>
      </c>
      <c r="J14" s="5">
        <v>112</v>
      </c>
      <c r="K14" s="15">
        <f>L14+112</f>
        <v>112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0.45833333333333331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128</v>
      </c>
      <c r="E15" s="53" t="s">
        <v>203</v>
      </c>
      <c r="F15" s="12" t="s">
        <v>212</v>
      </c>
      <c r="G15" s="12">
        <v>1</v>
      </c>
      <c r="H15" s="13">
        <v>24</v>
      </c>
      <c r="I15" s="31">
        <v>13000</v>
      </c>
      <c r="J15" s="14">
        <v>5033</v>
      </c>
      <c r="K15" s="15">
        <f>L15+3277+4927+4955+4860+5033</f>
        <v>23052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0.45833333333333331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0.45833333333333331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0.45833333333333331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120</v>
      </c>
      <c r="D18" s="52" t="s">
        <v>115</v>
      </c>
      <c r="E18" s="53" t="s">
        <v>234</v>
      </c>
      <c r="F18" s="30" t="s">
        <v>123</v>
      </c>
      <c r="G18" s="33">
        <v>2</v>
      </c>
      <c r="H18" s="35">
        <v>24</v>
      </c>
      <c r="I18" s="7">
        <v>50000</v>
      </c>
      <c r="J18" s="14">
        <v>5560</v>
      </c>
      <c r="K18" s="15">
        <f>L18+2418</f>
        <v>7978</v>
      </c>
      <c r="L18" s="15">
        <f>2673*2+107*2</f>
        <v>5560</v>
      </c>
      <c r="M18" s="15">
        <f t="shared" si="0"/>
        <v>5560</v>
      </c>
      <c r="N18" s="15">
        <v>0</v>
      </c>
      <c r="O18" s="58">
        <f t="shared" si="1"/>
        <v>0</v>
      </c>
      <c r="P18" s="39">
        <f t="shared" si="2"/>
        <v>14</v>
      </c>
      <c r="Q18" s="40">
        <f t="shared" si="3"/>
        <v>10</v>
      </c>
      <c r="R18" s="7"/>
      <c r="S18" s="6">
        <v>10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0.58333333333333337</v>
      </c>
      <c r="AD18" s="10">
        <f t="shared" si="6"/>
        <v>0.58333333333333337</v>
      </c>
      <c r="AE18" s="36">
        <f t="shared" si="7"/>
        <v>0.45833333333333331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417</v>
      </c>
      <c r="F19" s="30" t="s">
        <v>241</v>
      </c>
      <c r="G19" s="33">
        <v>1</v>
      </c>
      <c r="H19" s="35">
        <v>24</v>
      </c>
      <c r="I19" s="7">
        <v>28000</v>
      </c>
      <c r="J19" s="14">
        <v>1391</v>
      </c>
      <c r="K19" s="15">
        <f>L19+4594+5357+5319+5539</f>
        <v>22200</v>
      </c>
      <c r="L19" s="15">
        <f>1291+100</f>
        <v>1391</v>
      </c>
      <c r="M19" s="15">
        <f t="shared" si="0"/>
        <v>1391</v>
      </c>
      <c r="N19" s="15">
        <v>0</v>
      </c>
      <c r="O19" s="58">
        <f t="shared" si="1"/>
        <v>0</v>
      </c>
      <c r="P19" s="39">
        <f t="shared" si="2"/>
        <v>6</v>
      </c>
      <c r="Q19" s="40">
        <f t="shared" si="3"/>
        <v>18</v>
      </c>
      <c r="R19" s="7"/>
      <c r="S19" s="6">
        <v>18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0.25</v>
      </c>
      <c r="AD19" s="10">
        <f t="shared" si="6"/>
        <v>0.25</v>
      </c>
      <c r="AE19" s="36">
        <f t="shared" si="7"/>
        <v>0.45833333333333331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4</v>
      </c>
      <c r="H20" s="13">
        <v>28</v>
      </c>
      <c r="I20" s="31">
        <v>200000</v>
      </c>
      <c r="J20" s="5">
        <v>22560</v>
      </c>
      <c r="K20" s="15">
        <f>L20+17832+26640+27152+17856+28780</f>
        <v>140820</v>
      </c>
      <c r="L20" s="15">
        <f>2276*4+3364*4</f>
        <v>22560</v>
      </c>
      <c r="M20" s="15">
        <f t="shared" si="0"/>
        <v>22560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0.875</v>
      </c>
      <c r="AD20" s="10">
        <f t="shared" si="6"/>
        <v>0.875</v>
      </c>
      <c r="AE20" s="36">
        <f t="shared" si="7"/>
        <v>0.45833333333333331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500000</v>
      </c>
      <c r="J21" s="14">
        <v>15140</v>
      </c>
      <c r="K21" s="15">
        <f>L21+28876+33668+30304+72816+70472+27788+28704+35272+35220+37904</f>
        <v>416164</v>
      </c>
      <c r="L21" s="15">
        <f>3785*4</f>
        <v>15140</v>
      </c>
      <c r="M21" s="15">
        <f t="shared" si="0"/>
        <v>15140</v>
      </c>
      <c r="N21" s="15">
        <v>0</v>
      </c>
      <c r="O21" s="58">
        <f t="shared" si="1"/>
        <v>0</v>
      </c>
      <c r="P21" s="39">
        <f t="shared" si="2"/>
        <v>6</v>
      </c>
      <c r="Q21" s="40">
        <f t="shared" si="3"/>
        <v>18</v>
      </c>
      <c r="R21" s="7"/>
      <c r="S21" s="6">
        <v>18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0.25</v>
      </c>
      <c r="AD21" s="10">
        <f t="shared" si="6"/>
        <v>0.25</v>
      </c>
      <c r="AE21" s="36">
        <f t="shared" si="7"/>
        <v>0.45833333333333331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1144300</v>
      </c>
      <c r="J22" s="19">
        <f t="shared" si="10"/>
        <v>99930</v>
      </c>
      <c r="K22" s="20">
        <f t="shared" si="10"/>
        <v>751614</v>
      </c>
      <c r="L22" s="21">
        <f t="shared" si="10"/>
        <v>71482</v>
      </c>
      <c r="M22" s="20">
        <f t="shared" si="10"/>
        <v>71482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176</v>
      </c>
      <c r="Q22" s="43">
        <f t="shared" si="11"/>
        <v>208</v>
      </c>
      <c r="R22" s="23">
        <f t="shared" si="11"/>
        <v>24</v>
      </c>
      <c r="S22" s="24">
        <f t="shared" si="11"/>
        <v>108</v>
      </c>
      <c r="T22" s="24">
        <f t="shared" si="11"/>
        <v>4</v>
      </c>
      <c r="U22" s="24">
        <f t="shared" si="11"/>
        <v>0</v>
      </c>
      <c r="V22" s="25">
        <f t="shared" si="11"/>
        <v>0</v>
      </c>
      <c r="W22" s="26">
        <f t="shared" si="11"/>
        <v>72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0.625</v>
      </c>
      <c r="AC22" s="4">
        <f>AVERAGE(AC6:AC21)</f>
        <v>0.45833333333333331</v>
      </c>
      <c r="AD22" s="4">
        <f>AVERAGE(AD6:AD21)</f>
        <v>0.45833333333333331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488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492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409" t="s">
        <v>46</v>
      </c>
      <c r="D51" s="409" t="s">
        <v>47</v>
      </c>
      <c r="E51" s="409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409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119</v>
      </c>
      <c r="B52" s="501"/>
      <c r="C52" s="410" t="s">
        <v>150</v>
      </c>
      <c r="D52" s="410" t="s">
        <v>128</v>
      </c>
      <c r="E52" s="412" t="s">
        <v>176</v>
      </c>
      <c r="F52" s="488" t="s">
        <v>148</v>
      </c>
      <c r="G52" s="489"/>
      <c r="H52" s="489"/>
      <c r="I52" s="489"/>
      <c r="J52" s="489"/>
      <c r="K52" s="489"/>
      <c r="L52" s="489"/>
      <c r="M52" s="490"/>
      <c r="N52" s="411" t="s">
        <v>120</v>
      </c>
      <c r="O52" s="417" t="s">
        <v>149</v>
      </c>
      <c r="P52" s="502" t="s">
        <v>115</v>
      </c>
      <c r="Q52" s="503"/>
      <c r="R52" s="502" t="s">
        <v>441</v>
      </c>
      <c r="S52" s="504"/>
      <c r="T52" s="504"/>
      <c r="U52" s="503"/>
      <c r="V52" s="472" t="s">
        <v>200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119</v>
      </c>
      <c r="B53" s="501"/>
      <c r="C53" s="410" t="s">
        <v>208</v>
      </c>
      <c r="D53" s="410" t="s">
        <v>115</v>
      </c>
      <c r="E53" s="412" t="s">
        <v>172</v>
      </c>
      <c r="F53" s="488" t="s">
        <v>489</v>
      </c>
      <c r="G53" s="489"/>
      <c r="H53" s="489"/>
      <c r="I53" s="489"/>
      <c r="J53" s="489"/>
      <c r="K53" s="489"/>
      <c r="L53" s="489"/>
      <c r="M53" s="490"/>
      <c r="N53" s="411" t="s">
        <v>119</v>
      </c>
      <c r="O53" s="417" t="s">
        <v>182</v>
      </c>
      <c r="P53" s="502" t="s">
        <v>115</v>
      </c>
      <c r="Q53" s="503"/>
      <c r="R53" s="502" t="s">
        <v>417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119</v>
      </c>
      <c r="B54" s="501"/>
      <c r="C54" s="410" t="s">
        <v>205</v>
      </c>
      <c r="D54" s="410" t="s">
        <v>131</v>
      </c>
      <c r="E54" s="412" t="s">
        <v>477</v>
      </c>
      <c r="F54" s="488" t="s">
        <v>329</v>
      </c>
      <c r="G54" s="489"/>
      <c r="H54" s="489"/>
      <c r="I54" s="489"/>
      <c r="J54" s="489"/>
      <c r="K54" s="489"/>
      <c r="L54" s="489"/>
      <c r="M54" s="490"/>
      <c r="N54" s="411" t="s">
        <v>119</v>
      </c>
      <c r="O54" s="417" t="s">
        <v>208</v>
      </c>
      <c r="P54" s="502" t="s">
        <v>115</v>
      </c>
      <c r="Q54" s="503"/>
      <c r="R54" s="502" t="s">
        <v>172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500" t="s">
        <v>112</v>
      </c>
      <c r="B55" s="501"/>
      <c r="C55" s="410" t="s">
        <v>141</v>
      </c>
      <c r="D55" s="410" t="s">
        <v>487</v>
      </c>
      <c r="E55" s="412" t="s">
        <v>270</v>
      </c>
      <c r="F55" s="488" t="s">
        <v>316</v>
      </c>
      <c r="G55" s="489"/>
      <c r="H55" s="489"/>
      <c r="I55" s="489"/>
      <c r="J55" s="489"/>
      <c r="K55" s="489"/>
      <c r="L55" s="489"/>
      <c r="M55" s="490"/>
      <c r="N55" s="411"/>
      <c r="O55" s="417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500" t="s">
        <v>120</v>
      </c>
      <c r="B56" s="501"/>
      <c r="C56" s="410" t="s">
        <v>149</v>
      </c>
      <c r="D56" s="410" t="s">
        <v>115</v>
      </c>
      <c r="E56" s="412" t="s">
        <v>441</v>
      </c>
      <c r="F56" s="488" t="s">
        <v>490</v>
      </c>
      <c r="G56" s="489"/>
      <c r="H56" s="489"/>
      <c r="I56" s="489"/>
      <c r="J56" s="489"/>
      <c r="K56" s="489"/>
      <c r="L56" s="489"/>
      <c r="M56" s="490"/>
      <c r="N56" s="411"/>
      <c r="O56" s="417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119</v>
      </c>
      <c r="B57" s="501"/>
      <c r="C57" s="410" t="s">
        <v>182</v>
      </c>
      <c r="D57" s="410" t="s">
        <v>115</v>
      </c>
      <c r="E57" s="412" t="s">
        <v>417</v>
      </c>
      <c r="F57" s="488" t="s">
        <v>491</v>
      </c>
      <c r="G57" s="489"/>
      <c r="H57" s="489"/>
      <c r="I57" s="489"/>
      <c r="J57" s="489"/>
      <c r="K57" s="489"/>
      <c r="L57" s="489"/>
      <c r="M57" s="490"/>
      <c r="N57" s="411"/>
      <c r="O57" s="417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410"/>
      <c r="D58" s="410"/>
      <c r="E58" s="412"/>
      <c r="F58" s="488"/>
      <c r="G58" s="489"/>
      <c r="H58" s="489"/>
      <c r="I58" s="489"/>
      <c r="J58" s="489"/>
      <c r="K58" s="489"/>
      <c r="L58" s="489"/>
      <c r="M58" s="490"/>
      <c r="N58" s="411"/>
      <c r="O58" s="417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410"/>
      <c r="D59" s="410"/>
      <c r="E59" s="412"/>
      <c r="F59" s="488"/>
      <c r="G59" s="489"/>
      <c r="H59" s="489"/>
      <c r="I59" s="489"/>
      <c r="J59" s="489"/>
      <c r="K59" s="489"/>
      <c r="L59" s="489"/>
      <c r="M59" s="490"/>
      <c r="N59" s="411"/>
      <c r="O59" s="417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412"/>
      <c r="D60" s="412"/>
      <c r="E60" s="412"/>
      <c r="F60" s="488"/>
      <c r="G60" s="489"/>
      <c r="H60" s="489"/>
      <c r="I60" s="489"/>
      <c r="J60" s="489"/>
      <c r="K60" s="489"/>
      <c r="L60" s="489"/>
      <c r="M60" s="490"/>
      <c r="N60" s="411"/>
      <c r="O60" s="417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413"/>
      <c r="D61" s="414"/>
      <c r="E61" s="414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493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415" t="s">
        <v>2</v>
      </c>
      <c r="D63" s="415" t="s">
        <v>37</v>
      </c>
      <c r="E63" s="415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415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/>
      <c r="D64" s="419"/>
      <c r="E64" s="416"/>
      <c r="F64" s="473"/>
      <c r="G64" s="474"/>
      <c r="H64" s="474"/>
      <c r="I64" s="474"/>
      <c r="J64" s="475"/>
      <c r="K64" s="461"/>
      <c r="L64" s="461"/>
      <c r="M64" s="51"/>
      <c r="N64" s="470"/>
      <c r="O64" s="470"/>
      <c r="P64" s="471"/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61"/>
      <c r="AC64" s="461"/>
      <c r="AD64" s="462"/>
      <c r="AF64" s="50"/>
    </row>
    <row r="65" spans="1:32" ht="25.5" customHeight="1">
      <c r="A65" s="467">
        <v>2</v>
      </c>
      <c r="B65" s="468"/>
      <c r="C65" s="105"/>
      <c r="D65" s="419"/>
      <c r="E65" s="416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419"/>
      <c r="E66" s="416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419"/>
      <c r="E67" s="416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419"/>
      <c r="E68" s="416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419"/>
      <c r="E69" s="416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419"/>
      <c r="E70" s="416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419"/>
      <c r="E71" s="416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419"/>
      <c r="E72" s="416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419"/>
      <c r="E73" s="416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494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418" t="s">
        <v>2</v>
      </c>
      <c r="D75" s="418" t="s">
        <v>37</v>
      </c>
      <c r="E75" s="418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420" t="s">
        <v>112</v>
      </c>
      <c r="D76" s="420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419"/>
      <c r="D77" s="419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419"/>
      <c r="D78" s="419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419"/>
      <c r="D79" s="419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419"/>
      <c r="D80" s="419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419"/>
      <c r="D81" s="419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419"/>
      <c r="D82" s="419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495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20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11" sqref="AJ11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2" width="5.5" style="68" bestFit="1" customWidth="1"/>
    <col min="33" max="33" width="6.5" style="68" bestFit="1" customWidth="1"/>
    <col min="34" max="16384" width="9" style="68"/>
  </cols>
  <sheetData>
    <row r="1" spans="1:33" ht="33.75" customHeight="1" thickBot="1">
      <c r="A1" s="545" t="s">
        <v>187</v>
      </c>
      <c r="B1" s="545"/>
      <c r="C1" s="545"/>
      <c r="D1" s="545"/>
      <c r="E1" s="545"/>
      <c r="F1" s="545"/>
      <c r="G1" s="545"/>
      <c r="H1" s="545"/>
    </row>
    <row r="2" spans="1:33" ht="21.75" customHeight="1" thickBot="1">
      <c r="A2" s="86" t="s">
        <v>59</v>
      </c>
      <c r="B2" s="88" t="s">
        <v>73</v>
      </c>
      <c r="C2" s="89" t="s">
        <v>74</v>
      </c>
      <c r="D2" s="89" t="s">
        <v>75</v>
      </c>
      <c r="E2" s="89" t="s">
        <v>76</v>
      </c>
      <c r="F2" s="89" t="s">
        <v>77</v>
      </c>
      <c r="G2" s="89" t="s">
        <v>78</v>
      </c>
      <c r="H2" s="89" t="s">
        <v>79</v>
      </c>
      <c r="I2" s="89" t="s">
        <v>80</v>
      </c>
      <c r="J2" s="89" t="s">
        <v>81</v>
      </c>
      <c r="K2" s="89" t="s">
        <v>82</v>
      </c>
      <c r="L2" s="89" t="s">
        <v>83</v>
      </c>
      <c r="M2" s="89" t="s">
        <v>84</v>
      </c>
      <c r="N2" s="89" t="s">
        <v>85</v>
      </c>
      <c r="O2" s="89" t="s">
        <v>86</v>
      </c>
      <c r="P2" s="89" t="s">
        <v>87</v>
      </c>
      <c r="Q2" s="89" t="s">
        <v>88</v>
      </c>
      <c r="R2" s="89" t="s">
        <v>89</v>
      </c>
      <c r="S2" s="89" t="s">
        <v>90</v>
      </c>
      <c r="T2" s="89" t="s">
        <v>91</v>
      </c>
      <c r="U2" s="89" t="s">
        <v>92</v>
      </c>
      <c r="V2" s="89" t="s">
        <v>93</v>
      </c>
      <c r="W2" s="89" t="s">
        <v>94</v>
      </c>
      <c r="X2" s="89" t="s">
        <v>95</v>
      </c>
      <c r="Y2" s="89" t="s">
        <v>96</v>
      </c>
      <c r="Z2" s="89" t="s">
        <v>97</v>
      </c>
      <c r="AA2" s="89" t="s">
        <v>98</v>
      </c>
      <c r="AB2" s="89" t="s">
        <v>99</v>
      </c>
      <c r="AC2" s="89" t="s">
        <v>100</v>
      </c>
      <c r="AD2" s="89" t="s">
        <v>101</v>
      </c>
      <c r="AE2" s="89" t="s">
        <v>102</v>
      </c>
      <c r="AF2" s="90" t="s">
        <v>103</v>
      </c>
      <c r="AG2" s="86" t="s">
        <v>105</v>
      </c>
    </row>
    <row r="3" spans="1:33" ht="21.75" customHeight="1">
      <c r="A3" s="114" t="s">
        <v>60</v>
      </c>
      <c r="B3" s="115"/>
      <c r="C3" s="115"/>
      <c r="D3" s="116">
        <f>'03'!AD6</f>
        <v>0</v>
      </c>
      <c r="E3" s="116">
        <f>'04'!AD6</f>
        <v>0</v>
      </c>
      <c r="F3" s="116">
        <f>'05'!AD6</f>
        <v>0</v>
      </c>
      <c r="G3" s="116">
        <f>'06'!AD6</f>
        <v>0</v>
      </c>
      <c r="H3" s="116">
        <f>'07'!AD6</f>
        <v>0.66666666666666663</v>
      </c>
      <c r="I3" s="116">
        <f>'08'!AD6</f>
        <v>1</v>
      </c>
      <c r="J3" s="116"/>
      <c r="K3" s="116">
        <f>'10'!AD6</f>
        <v>1</v>
      </c>
      <c r="L3" s="116">
        <f>'11'!AD6</f>
        <v>0.16666666666666666</v>
      </c>
      <c r="M3" s="116">
        <f>'12'!AD6</f>
        <v>0</v>
      </c>
      <c r="N3" s="117">
        <f>'13'!AD6</f>
        <v>0</v>
      </c>
      <c r="O3" s="116">
        <f>'14'!AD6</f>
        <v>0</v>
      </c>
      <c r="P3" s="116">
        <f>'15'!AD6</f>
        <v>0</v>
      </c>
      <c r="Q3" s="116"/>
      <c r="R3" s="116">
        <f>'17'!AD6</f>
        <v>0</v>
      </c>
      <c r="S3" s="116">
        <f>'18'!AD6</f>
        <v>0</v>
      </c>
      <c r="T3" s="116">
        <f>'19'!AD6</f>
        <v>0</v>
      </c>
      <c r="U3" s="116">
        <f>'20'!AD6</f>
        <v>0</v>
      </c>
      <c r="V3" s="116">
        <f>'21'!AD6</f>
        <v>0</v>
      </c>
      <c r="W3" s="117"/>
      <c r="X3" s="116"/>
      <c r="Y3" s="116">
        <f>'24'!AD6</f>
        <v>0.33333333333333331</v>
      </c>
      <c r="Z3" s="116">
        <f>'25'!AD6</f>
        <v>0</v>
      </c>
      <c r="AA3" s="116">
        <f>'26'!AD6</f>
        <v>0</v>
      </c>
      <c r="AB3" s="116">
        <f>'27'!AD6</f>
        <v>0.125</v>
      </c>
      <c r="AC3" s="116">
        <f>'28'!AD6</f>
        <v>0</v>
      </c>
      <c r="AD3" s="116"/>
      <c r="AE3" s="116"/>
      <c r="AF3" s="118">
        <f>'31'!AD6</f>
        <v>1</v>
      </c>
      <c r="AG3" s="119">
        <f>SUM(B3:AF3)/31</f>
        <v>0.13844086021505375</v>
      </c>
    </row>
    <row r="4" spans="1:33" ht="21.75" customHeight="1">
      <c r="A4" s="101" t="s">
        <v>61</v>
      </c>
      <c r="B4" s="98"/>
      <c r="C4" s="98"/>
      <c r="D4" s="77">
        <f>'03'!AD7</f>
        <v>0</v>
      </c>
      <c r="E4" s="77">
        <f>'04'!AD7</f>
        <v>0.54166666666666663</v>
      </c>
      <c r="F4" s="77">
        <f>'05'!AD7</f>
        <v>0.91666666666666663</v>
      </c>
      <c r="G4" s="77">
        <f>'06'!AD7</f>
        <v>1</v>
      </c>
      <c r="H4" s="77">
        <f>'07'!AD7</f>
        <v>0.41666666666666669</v>
      </c>
      <c r="I4" s="77">
        <f>'08'!AD7</f>
        <v>0</v>
      </c>
      <c r="J4" s="77"/>
      <c r="K4" s="77">
        <f>'10'!AD7</f>
        <v>0.75</v>
      </c>
      <c r="L4" s="77">
        <f>'11'!AD7</f>
        <v>1</v>
      </c>
      <c r="M4" s="77">
        <f>'12'!AD7</f>
        <v>1</v>
      </c>
      <c r="N4" s="77">
        <f>'13'!AD7</f>
        <v>1</v>
      </c>
      <c r="O4" s="77">
        <f>'14'!AD7</f>
        <v>1</v>
      </c>
      <c r="P4" s="77">
        <f>'15'!AD7</f>
        <v>1</v>
      </c>
      <c r="Q4" s="77"/>
      <c r="R4" s="77">
        <f>'17'!AD7</f>
        <v>0.75</v>
      </c>
      <c r="S4" s="77">
        <f>'18'!AD7</f>
        <v>1</v>
      </c>
      <c r="T4" s="77">
        <f>'19'!AD7</f>
        <v>0</v>
      </c>
      <c r="U4" s="77">
        <f>'20'!AD7</f>
        <v>0.58333333333333337</v>
      </c>
      <c r="V4" s="77">
        <f>'21'!AD7</f>
        <v>0.70833333333333337</v>
      </c>
      <c r="W4" s="77"/>
      <c r="X4" s="77"/>
      <c r="Y4" s="77">
        <f>'24'!AD7</f>
        <v>0.58333333333333337</v>
      </c>
      <c r="Z4" s="77">
        <f>'25'!AD7</f>
        <v>0.95833333333333337</v>
      </c>
      <c r="AA4" s="77">
        <f>'26'!AD7</f>
        <v>0.41666666666666669</v>
      </c>
      <c r="AB4" s="77">
        <f>'27'!AD7</f>
        <v>0</v>
      </c>
      <c r="AC4" s="77">
        <f>'28'!AD7</f>
        <v>0</v>
      </c>
      <c r="AD4" s="77"/>
      <c r="AE4" s="77"/>
      <c r="AF4" s="78">
        <f>'31'!AD7</f>
        <v>0</v>
      </c>
      <c r="AG4" s="79">
        <f t="shared" ref="AG4:AG19" si="0">SUM(B4:AF4)/31</f>
        <v>0.43951612903225812</v>
      </c>
    </row>
    <row r="5" spans="1:33" ht="21.75" customHeight="1">
      <c r="A5" s="100" t="s">
        <v>62</v>
      </c>
      <c r="B5" s="97"/>
      <c r="C5" s="97"/>
      <c r="D5" s="74">
        <f>'03'!AD8</f>
        <v>1</v>
      </c>
      <c r="E5" s="74">
        <f>'04'!AD8</f>
        <v>1</v>
      </c>
      <c r="F5" s="74">
        <f>'05'!AD8</f>
        <v>1</v>
      </c>
      <c r="G5" s="74">
        <f>'06'!AD8</f>
        <v>1</v>
      </c>
      <c r="H5" s="74">
        <f>'07'!AD8</f>
        <v>0.45833333333333331</v>
      </c>
      <c r="I5" s="74">
        <f>'08'!AD8</f>
        <v>0</v>
      </c>
      <c r="J5" s="74"/>
      <c r="K5" s="74">
        <f>'10'!AD8</f>
        <v>0</v>
      </c>
      <c r="L5" s="74">
        <f>'11'!AD8</f>
        <v>0</v>
      </c>
      <c r="M5" s="74">
        <f>'12'!AD8</f>
        <v>0</v>
      </c>
      <c r="N5" s="74">
        <f>'13'!AD8</f>
        <v>0</v>
      </c>
      <c r="O5" s="74">
        <f>'14'!AD8</f>
        <v>0</v>
      </c>
      <c r="P5" s="74">
        <f>'15'!AD8</f>
        <v>0</v>
      </c>
      <c r="Q5" s="74"/>
      <c r="R5" s="74">
        <f>'17'!AD8</f>
        <v>0</v>
      </c>
      <c r="S5" s="74">
        <f>'18'!AD8</f>
        <v>0</v>
      </c>
      <c r="T5" s="74">
        <f>'19'!AD8</f>
        <v>0</v>
      </c>
      <c r="U5" s="74">
        <f>'20'!AD8</f>
        <v>0</v>
      </c>
      <c r="V5" s="74">
        <f>'21'!AD8</f>
        <v>0</v>
      </c>
      <c r="W5" s="104"/>
      <c r="X5" s="74"/>
      <c r="Y5" s="74">
        <f>'24'!AD8</f>
        <v>0</v>
      </c>
      <c r="Z5" s="74">
        <f>'25'!AD8</f>
        <v>0</v>
      </c>
      <c r="AA5" s="74">
        <f>'26'!AD8</f>
        <v>0</v>
      </c>
      <c r="AB5" s="74">
        <f>'27'!AD8</f>
        <v>0.16666666666666666</v>
      </c>
      <c r="AC5" s="74">
        <f>'28'!AD8</f>
        <v>0.79166666666666663</v>
      </c>
      <c r="AD5" s="74"/>
      <c r="AE5" s="74"/>
      <c r="AF5" s="75">
        <f>'31'!AD8</f>
        <v>1</v>
      </c>
      <c r="AG5" s="76">
        <f t="shared" si="0"/>
        <v>0.20698924731182797</v>
      </c>
    </row>
    <row r="6" spans="1:33" ht="21.75" customHeight="1">
      <c r="A6" s="101" t="s">
        <v>63</v>
      </c>
      <c r="B6" s="98"/>
      <c r="C6" s="98"/>
      <c r="D6" s="77">
        <f>'03'!AD9</f>
        <v>0</v>
      </c>
      <c r="E6" s="77">
        <f>'04'!AD9</f>
        <v>0</v>
      </c>
      <c r="F6" s="77">
        <f>'05'!AD9</f>
        <v>0</v>
      </c>
      <c r="G6" s="77">
        <f>'06'!AD9</f>
        <v>0</v>
      </c>
      <c r="H6" s="77">
        <f>'07'!AD9</f>
        <v>0</v>
      </c>
      <c r="I6" s="77">
        <f>'08'!AD9</f>
        <v>0</v>
      </c>
      <c r="J6" s="77"/>
      <c r="K6" s="77">
        <f>'10'!AD9</f>
        <v>0</v>
      </c>
      <c r="L6" s="77">
        <f>'11'!AD9</f>
        <v>0</v>
      </c>
      <c r="M6" s="77">
        <f>'12'!AD9</f>
        <v>0.20833333333333334</v>
      </c>
      <c r="N6" s="77">
        <f>'13'!AD9</f>
        <v>1</v>
      </c>
      <c r="O6" s="77">
        <f>'14'!AD9</f>
        <v>0.66666666666666663</v>
      </c>
      <c r="P6" s="77">
        <f>'15'!AD9</f>
        <v>0</v>
      </c>
      <c r="Q6" s="77"/>
      <c r="R6" s="77">
        <f>'17'!AD9</f>
        <v>0</v>
      </c>
      <c r="S6" s="77">
        <f>'18'!AD9</f>
        <v>0</v>
      </c>
      <c r="T6" s="77">
        <f>'19'!AD9</f>
        <v>0.79166666666666663</v>
      </c>
      <c r="U6" s="77">
        <f>'20'!AD9</f>
        <v>0.875</v>
      </c>
      <c r="V6" s="77">
        <f>'21'!AD9</f>
        <v>0.41666666666666669</v>
      </c>
      <c r="W6" s="77"/>
      <c r="X6" s="77"/>
      <c r="Y6" s="77">
        <f>'24'!AD9</f>
        <v>0.58333333333333337</v>
      </c>
      <c r="Z6" s="77">
        <f>'25'!AD9</f>
        <v>0</v>
      </c>
      <c r="AA6" s="77">
        <f>'26'!AD9</f>
        <v>0.16666666666666666</v>
      </c>
      <c r="AB6" s="77">
        <f>'27'!AD9</f>
        <v>0.16666666666666666</v>
      </c>
      <c r="AC6" s="77">
        <f>'28'!AD9</f>
        <v>0.20833333333333334</v>
      </c>
      <c r="AD6" s="77"/>
      <c r="AE6" s="77"/>
      <c r="AF6" s="78">
        <f>'31'!AD9</f>
        <v>0.625</v>
      </c>
      <c r="AG6" s="79">
        <f t="shared" si="0"/>
        <v>0.18413978494623656</v>
      </c>
    </row>
    <row r="7" spans="1:33" ht="21.75" customHeight="1">
      <c r="A7" s="101" t="s">
        <v>64</v>
      </c>
      <c r="B7" s="98"/>
      <c r="C7" s="98"/>
      <c r="D7" s="77">
        <f>'03'!AD10</f>
        <v>0</v>
      </c>
      <c r="E7" s="77">
        <f>'04'!AD10</f>
        <v>0.54166666666666663</v>
      </c>
      <c r="F7" s="77">
        <f>'05'!AD10</f>
        <v>0.79166666666666663</v>
      </c>
      <c r="G7" s="77">
        <f>'06'!AD10</f>
        <v>1</v>
      </c>
      <c r="H7" s="77">
        <f>'07'!AD10</f>
        <v>1</v>
      </c>
      <c r="I7" s="77">
        <f>'08'!AD10</f>
        <v>1</v>
      </c>
      <c r="J7" s="77"/>
      <c r="K7" s="77">
        <f>'10'!AD10</f>
        <v>1</v>
      </c>
      <c r="L7" s="77">
        <f>'11'!AD10</f>
        <v>0.54166666666666663</v>
      </c>
      <c r="M7" s="77">
        <f>'12'!AD10</f>
        <v>1</v>
      </c>
      <c r="N7" s="77">
        <f>'13'!AD10</f>
        <v>0</v>
      </c>
      <c r="O7" s="77">
        <f>'14'!AD10</f>
        <v>0.58333333333333337</v>
      </c>
      <c r="P7" s="77">
        <f>'15'!AD10</f>
        <v>0.30513408609738885</v>
      </c>
      <c r="Q7" s="77"/>
      <c r="R7" s="77">
        <f>'17'!AD10</f>
        <v>0.83333333333333337</v>
      </c>
      <c r="S7" s="77">
        <f>'18'!AD10</f>
        <v>0.66666666666666663</v>
      </c>
      <c r="T7" s="77">
        <f>'19'!AD10</f>
        <v>0</v>
      </c>
      <c r="U7" s="77">
        <f>'20'!AD10</f>
        <v>0.70833333333333337</v>
      </c>
      <c r="V7" s="77">
        <f>'21'!AD10</f>
        <v>0.70833333333333337</v>
      </c>
      <c r="W7" s="77"/>
      <c r="X7" s="77"/>
      <c r="Y7" s="77">
        <f>'24'!AD10</f>
        <v>1</v>
      </c>
      <c r="Z7" s="77">
        <f>'25'!AD10</f>
        <v>1</v>
      </c>
      <c r="AA7" s="77">
        <f>'26'!AD10</f>
        <v>1</v>
      </c>
      <c r="AB7" s="77">
        <f>'27'!AD10</f>
        <v>1</v>
      </c>
      <c r="AC7" s="77">
        <f>'28'!AD10</f>
        <v>1</v>
      </c>
      <c r="AD7" s="77"/>
      <c r="AE7" s="77"/>
      <c r="AF7" s="78">
        <f>'31'!AD10</f>
        <v>0.91666666666666663</v>
      </c>
      <c r="AG7" s="79">
        <f t="shared" si="0"/>
        <v>0.53538066944400187</v>
      </c>
    </row>
    <row r="8" spans="1:33" ht="21.75" customHeight="1">
      <c r="A8" s="101" t="s">
        <v>65</v>
      </c>
      <c r="B8" s="98"/>
      <c r="C8" s="98"/>
      <c r="D8" s="77">
        <f>'03'!AD11</f>
        <v>0</v>
      </c>
      <c r="E8" s="77">
        <f>'04'!AD11</f>
        <v>0.79166666666666663</v>
      </c>
      <c r="F8" s="77">
        <f>'05'!AD11</f>
        <v>1</v>
      </c>
      <c r="G8" s="77">
        <f>'06'!AD11</f>
        <v>1</v>
      </c>
      <c r="H8" s="77">
        <f>'07'!AD11</f>
        <v>1</v>
      </c>
      <c r="I8" s="77">
        <f>'08'!AD11</f>
        <v>0.16666666666666666</v>
      </c>
      <c r="J8" s="77"/>
      <c r="K8" s="77">
        <f>'10'!AD11</f>
        <v>0</v>
      </c>
      <c r="L8" s="77">
        <f>'11'!AD11</f>
        <v>0</v>
      </c>
      <c r="M8" s="77">
        <f>'12'!AD11</f>
        <v>0.33333333333333331</v>
      </c>
      <c r="N8" s="77">
        <f>'13'!AD11</f>
        <v>0.875</v>
      </c>
      <c r="O8" s="77">
        <f>'14'!AD11</f>
        <v>1</v>
      </c>
      <c r="P8" s="77">
        <f>'15'!AD11</f>
        <v>0.95833333333333337</v>
      </c>
      <c r="Q8" s="77"/>
      <c r="R8" s="77">
        <f>'17'!AD11</f>
        <v>0</v>
      </c>
      <c r="S8" s="77">
        <f>'18'!AD11</f>
        <v>0.70833333333333337</v>
      </c>
      <c r="T8" s="77">
        <f>'19'!AD11</f>
        <v>1</v>
      </c>
      <c r="U8" s="77">
        <f>'20'!AD11</f>
        <v>1</v>
      </c>
      <c r="V8" s="77">
        <f>'21'!AD11</f>
        <v>0.91666666666666663</v>
      </c>
      <c r="W8" s="77"/>
      <c r="X8" s="77"/>
      <c r="Y8" s="77">
        <f>'24'!AD11</f>
        <v>0</v>
      </c>
      <c r="Z8" s="77">
        <f>'25'!AD11</f>
        <v>0</v>
      </c>
      <c r="AA8" s="77">
        <f>'26'!AD11</f>
        <v>0</v>
      </c>
      <c r="AB8" s="77">
        <f>'27'!AD11</f>
        <v>0</v>
      </c>
      <c r="AC8" s="77">
        <f>'28'!AD11</f>
        <v>0</v>
      </c>
      <c r="AD8" s="77"/>
      <c r="AE8" s="77"/>
      <c r="AF8" s="78">
        <f>'31'!AD11</f>
        <v>0</v>
      </c>
      <c r="AG8" s="79">
        <f t="shared" si="0"/>
        <v>0.34677419354838707</v>
      </c>
    </row>
    <row r="9" spans="1:33" ht="21.75" customHeight="1">
      <c r="A9" s="101" t="s">
        <v>66</v>
      </c>
      <c r="B9" s="98"/>
      <c r="C9" s="98"/>
      <c r="D9" s="77">
        <f>'03'!AD12</f>
        <v>0.66666666666666663</v>
      </c>
      <c r="E9" s="77">
        <f>'04'!AD12</f>
        <v>0.875</v>
      </c>
      <c r="F9" s="77">
        <f>'05'!AD12</f>
        <v>1</v>
      </c>
      <c r="G9" s="77">
        <f>'06'!AD12</f>
        <v>0.16666666666666666</v>
      </c>
      <c r="H9" s="77">
        <f>'07'!AD12</f>
        <v>0.29166666666666669</v>
      </c>
      <c r="I9" s="77">
        <f>'08'!AD12</f>
        <v>0</v>
      </c>
      <c r="J9" s="77"/>
      <c r="K9" s="77">
        <f>'10'!AD12</f>
        <v>0.25</v>
      </c>
      <c r="L9" s="77">
        <f>'11'!AD12</f>
        <v>0.41666666666666669</v>
      </c>
      <c r="M9" s="77">
        <f>'12'!AD12</f>
        <v>1</v>
      </c>
      <c r="N9" s="77">
        <f>'13'!AD12</f>
        <v>1</v>
      </c>
      <c r="O9" s="77">
        <f>'14'!AD12</f>
        <v>0.875</v>
      </c>
      <c r="P9" s="77">
        <f>'15'!AD12</f>
        <v>1</v>
      </c>
      <c r="Q9" s="77"/>
      <c r="R9" s="77">
        <f>'17'!AD12</f>
        <v>0.83333333333333337</v>
      </c>
      <c r="S9" s="77">
        <f>'18'!AD12</f>
        <v>0</v>
      </c>
      <c r="T9" s="77">
        <f>'19'!AD12</f>
        <v>0</v>
      </c>
      <c r="U9" s="77">
        <f>'20'!AD12</f>
        <v>0</v>
      </c>
      <c r="V9" s="77">
        <f>'21'!AD12</f>
        <v>0</v>
      </c>
      <c r="W9" s="77"/>
      <c r="X9" s="77"/>
      <c r="Y9" s="77">
        <f>'24'!AD12</f>
        <v>0</v>
      </c>
      <c r="Z9" s="77">
        <f>'25'!AD12</f>
        <v>0.95833333333333337</v>
      </c>
      <c r="AA9" s="77">
        <f>'26'!AD12</f>
        <v>1</v>
      </c>
      <c r="AB9" s="77">
        <f>'27'!AD12</f>
        <v>0.95833333333333337</v>
      </c>
      <c r="AC9" s="77">
        <f>'28'!AD12</f>
        <v>0</v>
      </c>
      <c r="AD9" s="77"/>
      <c r="AE9" s="77"/>
      <c r="AF9" s="78">
        <f>'31'!AD12</f>
        <v>0.83333333333333337</v>
      </c>
      <c r="AG9" s="79">
        <f t="shared" si="0"/>
        <v>0.39112903225806456</v>
      </c>
    </row>
    <row r="10" spans="1:33" ht="21.75" customHeight="1">
      <c r="A10" s="101" t="s">
        <v>67</v>
      </c>
      <c r="B10" s="98"/>
      <c r="C10" s="98"/>
      <c r="D10" s="77">
        <f>'03'!AD13</f>
        <v>1</v>
      </c>
      <c r="E10" s="77">
        <f>'04'!AD13</f>
        <v>0.375</v>
      </c>
      <c r="F10" s="77">
        <f>'05'!AD13</f>
        <v>1</v>
      </c>
      <c r="G10" s="77">
        <f>'06'!AD13</f>
        <v>1</v>
      </c>
      <c r="H10" s="77">
        <f>'07'!AD13</f>
        <v>1</v>
      </c>
      <c r="I10" s="77">
        <f>'08'!AD13</f>
        <v>1</v>
      </c>
      <c r="J10" s="77"/>
      <c r="K10" s="77">
        <f>'10'!AD13</f>
        <v>0.79166666666666663</v>
      </c>
      <c r="L10" s="77">
        <f>'11'!AD13</f>
        <v>1</v>
      </c>
      <c r="M10" s="77">
        <f>'12'!AD13</f>
        <v>1</v>
      </c>
      <c r="N10" s="77">
        <f>'13'!AD13</f>
        <v>1</v>
      </c>
      <c r="O10" s="77">
        <f>'14'!AD13</f>
        <v>1</v>
      </c>
      <c r="P10" s="77">
        <f>'15'!AD13</f>
        <v>1</v>
      </c>
      <c r="Q10" s="77"/>
      <c r="R10" s="77">
        <f>'17'!AD13</f>
        <v>1</v>
      </c>
      <c r="S10" s="77">
        <f>'18'!AD13</f>
        <v>0.41666666666666669</v>
      </c>
      <c r="T10" s="77">
        <f>'19'!AD13</f>
        <v>0</v>
      </c>
      <c r="U10" s="77">
        <f>'20'!AD13</f>
        <v>0.83333333333333337</v>
      </c>
      <c r="V10" s="77">
        <f>'21'!AD13</f>
        <v>0.83333333333333337</v>
      </c>
      <c r="W10" s="77"/>
      <c r="X10" s="77"/>
      <c r="Y10" s="77">
        <f>'24'!AD13</f>
        <v>1</v>
      </c>
      <c r="Z10" s="77">
        <f>'25'!AD13</f>
        <v>0.20833333333333334</v>
      </c>
      <c r="AA10" s="77">
        <f>'26'!AD13</f>
        <v>0.83333333333333337</v>
      </c>
      <c r="AB10" s="77">
        <f>'27'!AD13</f>
        <v>0.5</v>
      </c>
      <c r="AC10" s="77">
        <f>'28'!AD13</f>
        <v>0.95833333333333337</v>
      </c>
      <c r="AD10" s="77"/>
      <c r="AE10" s="77"/>
      <c r="AF10" s="78">
        <f>'31'!AD13</f>
        <v>1</v>
      </c>
      <c r="AG10" s="79">
        <f t="shared" si="0"/>
        <v>0.60483870967741937</v>
      </c>
    </row>
    <row r="11" spans="1:33" ht="21.75" customHeight="1">
      <c r="A11" s="107" t="s">
        <v>68</v>
      </c>
      <c r="B11" s="108"/>
      <c r="C11" s="108"/>
      <c r="D11" s="109">
        <f>'03'!AD14</f>
        <v>0.16666666666666666</v>
      </c>
      <c r="E11" s="109">
        <f>'04'!AD14</f>
        <v>0.25</v>
      </c>
      <c r="F11" s="109">
        <f>'05'!AD14</f>
        <v>0.16666666666666666</v>
      </c>
      <c r="G11" s="109">
        <f>'06'!AD14</f>
        <v>0</v>
      </c>
      <c r="H11" s="109">
        <f>'07'!AD14</f>
        <v>0</v>
      </c>
      <c r="I11" s="109">
        <f>'08'!AD14</f>
        <v>0</v>
      </c>
      <c r="J11" s="109"/>
      <c r="K11" s="109">
        <f>'10'!AD14</f>
        <v>0</v>
      </c>
      <c r="L11" s="109">
        <f>'11'!AD14</f>
        <v>0</v>
      </c>
      <c r="M11" s="109">
        <f>'12'!AD14</f>
        <v>0</v>
      </c>
      <c r="N11" s="109">
        <f>'13'!AD14</f>
        <v>0</v>
      </c>
      <c r="O11" s="109">
        <f>'14'!AD14</f>
        <v>0</v>
      </c>
      <c r="P11" s="109">
        <f>'15'!AD14</f>
        <v>0</v>
      </c>
      <c r="Q11" s="109"/>
      <c r="R11" s="109">
        <f>'17'!AD14</f>
        <v>0</v>
      </c>
      <c r="S11" s="109">
        <f>'18'!AD14</f>
        <v>0</v>
      </c>
      <c r="T11" s="109">
        <f>'19'!AD14</f>
        <v>0</v>
      </c>
      <c r="U11" s="109">
        <f>'20'!AD14</f>
        <v>0</v>
      </c>
      <c r="V11" s="109">
        <f>'21'!AD14</f>
        <v>0.125</v>
      </c>
      <c r="W11" s="109"/>
      <c r="X11" s="109"/>
      <c r="Y11" s="109">
        <f>'24'!AD14</f>
        <v>0</v>
      </c>
      <c r="Z11" s="109">
        <f>'25'!AD14</f>
        <v>0</v>
      </c>
      <c r="AA11" s="109">
        <f>'26'!AD14</f>
        <v>0</v>
      </c>
      <c r="AB11" s="109">
        <f>'27'!AD14</f>
        <v>0</v>
      </c>
      <c r="AC11" s="109">
        <f>'28'!AD14</f>
        <v>0</v>
      </c>
      <c r="AD11" s="109"/>
      <c r="AE11" s="109"/>
      <c r="AF11" s="110">
        <f>'31'!AD14</f>
        <v>0</v>
      </c>
      <c r="AG11" s="111">
        <f t="shared" si="0"/>
        <v>2.2849462365591395E-2</v>
      </c>
    </row>
    <row r="12" spans="1:33" ht="21.75" customHeight="1">
      <c r="A12" s="100" t="s">
        <v>69</v>
      </c>
      <c r="B12" s="97"/>
      <c r="C12" s="97"/>
      <c r="D12" s="74">
        <f>'03'!AD15</f>
        <v>0</v>
      </c>
      <c r="E12" s="74">
        <f>'04'!AD15</f>
        <v>0</v>
      </c>
      <c r="F12" s="74">
        <f>'05'!AD15</f>
        <v>0.875</v>
      </c>
      <c r="G12" s="74">
        <f>'06'!AD15</f>
        <v>0.79166666666666663</v>
      </c>
      <c r="H12" s="74">
        <f>'07'!AD15</f>
        <v>1</v>
      </c>
      <c r="I12" s="74">
        <f>'08'!AD15</f>
        <v>0</v>
      </c>
      <c r="J12" s="74"/>
      <c r="K12" s="74">
        <f>'10'!AD15</f>
        <v>0</v>
      </c>
      <c r="L12" s="74">
        <f>'11'!AD15</f>
        <v>0</v>
      </c>
      <c r="M12" s="74">
        <f>'12'!AD15</f>
        <v>0</v>
      </c>
      <c r="N12" s="74">
        <f>'13'!AD15</f>
        <v>0</v>
      </c>
      <c r="O12" s="74">
        <f>'14'!AD15</f>
        <v>0</v>
      </c>
      <c r="P12" s="74">
        <f>'15'!AD15</f>
        <v>0</v>
      </c>
      <c r="Q12" s="74"/>
      <c r="R12" s="74">
        <f>'17'!AD15</f>
        <v>0</v>
      </c>
      <c r="S12" s="74">
        <f>'18'!AD15</f>
        <v>0.70833333333333337</v>
      </c>
      <c r="T12" s="74">
        <f>'19'!AD15</f>
        <v>1</v>
      </c>
      <c r="U12" s="74">
        <f>'20'!AD15</f>
        <v>1</v>
      </c>
      <c r="V12" s="74">
        <f>'21'!AD15</f>
        <v>0.41666666666666669</v>
      </c>
      <c r="W12" s="74"/>
      <c r="X12" s="74"/>
      <c r="Y12" s="74">
        <f>'24'!AD15</f>
        <v>0.70833333333333337</v>
      </c>
      <c r="Z12" s="74">
        <f>'25'!AD15</f>
        <v>0.91666666666666663</v>
      </c>
      <c r="AA12" s="74">
        <f>'26'!AD15</f>
        <v>1</v>
      </c>
      <c r="AB12" s="74">
        <f>'27'!AD15</f>
        <v>1</v>
      </c>
      <c r="AC12" s="74">
        <f>'28'!AD15</f>
        <v>1</v>
      </c>
      <c r="AD12" s="74"/>
      <c r="AE12" s="74"/>
      <c r="AF12" s="75">
        <f>'31'!AD15</f>
        <v>0</v>
      </c>
      <c r="AG12" s="76">
        <f t="shared" si="0"/>
        <v>0.33602150537634412</v>
      </c>
    </row>
    <row r="13" spans="1:33" ht="21.75" customHeight="1">
      <c r="A13" s="100" t="s">
        <v>70</v>
      </c>
      <c r="B13" s="97"/>
      <c r="C13" s="97"/>
      <c r="D13" s="74">
        <f>'03'!AD16</f>
        <v>0</v>
      </c>
      <c r="E13" s="74">
        <f>'04'!AD16</f>
        <v>0</v>
      </c>
      <c r="F13" s="74">
        <f>'05'!AD16</f>
        <v>0</v>
      </c>
      <c r="G13" s="74">
        <f>'06'!AD16</f>
        <v>0</v>
      </c>
      <c r="H13" s="74">
        <f>'07'!AD16</f>
        <v>0</v>
      </c>
      <c r="I13" s="74">
        <f>'08'!AD16</f>
        <v>0</v>
      </c>
      <c r="J13" s="74"/>
      <c r="K13" s="74">
        <f>'10'!AD16</f>
        <v>0</v>
      </c>
      <c r="L13" s="74">
        <f>'11'!AD16</f>
        <v>0</v>
      </c>
      <c r="M13" s="74">
        <f>'12'!AD16</f>
        <v>0</v>
      </c>
      <c r="N13" s="74">
        <f>'13'!AD16</f>
        <v>0</v>
      </c>
      <c r="O13" s="74">
        <f>'14'!AD16</f>
        <v>0</v>
      </c>
      <c r="P13" s="74">
        <f>'15'!AD16</f>
        <v>0</v>
      </c>
      <c r="Q13" s="74"/>
      <c r="R13" s="74">
        <f>'17'!AD16</f>
        <v>0</v>
      </c>
      <c r="S13" s="74">
        <f>'18'!AD16</f>
        <v>0</v>
      </c>
      <c r="T13" s="74">
        <f>'19'!AD16</f>
        <v>0</v>
      </c>
      <c r="U13" s="74">
        <f>'20'!AD16</f>
        <v>0</v>
      </c>
      <c r="V13" s="74">
        <f>'21'!AD16</f>
        <v>0</v>
      </c>
      <c r="W13" s="74"/>
      <c r="X13" s="74"/>
      <c r="Y13" s="74">
        <f>'24'!AD16</f>
        <v>0</v>
      </c>
      <c r="Z13" s="74">
        <f>'25'!AD16</f>
        <v>0</v>
      </c>
      <c r="AA13" s="74">
        <f>'26'!AD16</f>
        <v>0</v>
      </c>
      <c r="AB13" s="74">
        <f>'27'!AD16</f>
        <v>0</v>
      </c>
      <c r="AC13" s="74">
        <f>'28'!AD16</f>
        <v>0</v>
      </c>
      <c r="AD13" s="74"/>
      <c r="AE13" s="74"/>
      <c r="AF13" s="75">
        <f>'31'!AD16</f>
        <v>0</v>
      </c>
      <c r="AG13" s="76">
        <f t="shared" si="0"/>
        <v>0</v>
      </c>
    </row>
    <row r="14" spans="1:33" ht="21.75" customHeight="1">
      <c r="A14" s="100" t="s">
        <v>71</v>
      </c>
      <c r="B14" s="97"/>
      <c r="C14" s="97"/>
      <c r="D14" s="74">
        <f>'03'!AD17</f>
        <v>1</v>
      </c>
      <c r="E14" s="74">
        <f>'04'!AD17</f>
        <v>1</v>
      </c>
      <c r="F14" s="74">
        <f>'05'!AD17</f>
        <v>1</v>
      </c>
      <c r="G14" s="74">
        <f>'06'!AD17</f>
        <v>1</v>
      </c>
      <c r="H14" s="74">
        <f>'07'!AD17</f>
        <v>0</v>
      </c>
      <c r="I14" s="74">
        <f>'08'!AD17</f>
        <v>0</v>
      </c>
      <c r="J14" s="74"/>
      <c r="K14" s="74">
        <f>'10'!AD17</f>
        <v>0</v>
      </c>
      <c r="L14" s="74">
        <f>'11'!AD17</f>
        <v>0</v>
      </c>
      <c r="M14" s="74">
        <f>'12'!AD17</f>
        <v>0</v>
      </c>
      <c r="N14" s="74">
        <f>'13'!AD17</f>
        <v>0</v>
      </c>
      <c r="O14" s="74">
        <f>'14'!AD17</f>
        <v>0</v>
      </c>
      <c r="P14" s="74">
        <f>'15'!AD17</f>
        <v>0</v>
      </c>
      <c r="Q14" s="74"/>
      <c r="R14" s="74">
        <f>'17'!AD17</f>
        <v>0</v>
      </c>
      <c r="S14" s="74">
        <f>'18'!AD17</f>
        <v>0</v>
      </c>
      <c r="T14" s="74">
        <f>'19'!AD17</f>
        <v>0</v>
      </c>
      <c r="U14" s="74">
        <f>'20'!AD17</f>
        <v>0</v>
      </c>
      <c r="V14" s="74">
        <f>'21'!AD17</f>
        <v>0</v>
      </c>
      <c r="W14" s="74"/>
      <c r="X14" s="74"/>
      <c r="Y14" s="74">
        <f>'24'!AD17</f>
        <v>0</v>
      </c>
      <c r="Z14" s="74">
        <f>'25'!AD17</f>
        <v>0</v>
      </c>
      <c r="AA14" s="74">
        <f>'26'!AD17</f>
        <v>0</v>
      </c>
      <c r="AB14" s="74">
        <f>'27'!AD17</f>
        <v>0</v>
      </c>
      <c r="AC14" s="74">
        <f>'28'!AD17</f>
        <v>0</v>
      </c>
      <c r="AD14" s="74"/>
      <c r="AE14" s="74"/>
      <c r="AF14" s="75">
        <f>'31'!AD17</f>
        <v>0</v>
      </c>
      <c r="AG14" s="76">
        <f t="shared" si="0"/>
        <v>0.12903225806451613</v>
      </c>
    </row>
    <row r="15" spans="1:33" ht="21.75" customHeight="1">
      <c r="A15" s="101" t="s">
        <v>72</v>
      </c>
      <c r="B15" s="98"/>
      <c r="C15" s="98"/>
      <c r="D15" s="77">
        <f>'03'!AD18</f>
        <v>0.70833333333333337</v>
      </c>
      <c r="E15" s="77">
        <f>'04'!AD18</f>
        <v>0.70833333333333337</v>
      </c>
      <c r="F15" s="77">
        <f>'05'!AD18</f>
        <v>0</v>
      </c>
      <c r="G15" s="77">
        <f>'06'!AD18</f>
        <v>0</v>
      </c>
      <c r="H15" s="77">
        <f>'07'!AD18</f>
        <v>0</v>
      </c>
      <c r="I15" s="77">
        <f>'08'!AD18</f>
        <v>0.41666666666666669</v>
      </c>
      <c r="J15" s="77"/>
      <c r="K15" s="77">
        <f>'10'!AD18</f>
        <v>0.875</v>
      </c>
      <c r="L15" s="77">
        <f>'11'!AD18</f>
        <v>0</v>
      </c>
      <c r="M15" s="77">
        <f>'12'!AD18</f>
        <v>0.79166666666666663</v>
      </c>
      <c r="N15" s="77">
        <f>'13'!AD18</f>
        <v>0.54166666666666663</v>
      </c>
      <c r="O15" s="77">
        <f>'14'!AD18</f>
        <v>0.375</v>
      </c>
      <c r="P15" s="77">
        <f>'15'!AD18</f>
        <v>0</v>
      </c>
      <c r="Q15" s="77"/>
      <c r="R15" s="77">
        <f>'17'!AD18</f>
        <v>0</v>
      </c>
      <c r="S15" s="77">
        <f>'18'!AD18</f>
        <v>0</v>
      </c>
      <c r="T15" s="77">
        <f>'19'!AD18</f>
        <v>0</v>
      </c>
      <c r="U15" s="77">
        <f>'20'!AD18</f>
        <v>0</v>
      </c>
      <c r="V15" s="77">
        <f>'21'!AD18</f>
        <v>0</v>
      </c>
      <c r="W15" s="77"/>
      <c r="X15" s="77"/>
      <c r="Y15" s="77">
        <f>'24'!AD18</f>
        <v>0</v>
      </c>
      <c r="Z15" s="77">
        <f>'25'!AD18</f>
        <v>0</v>
      </c>
      <c r="AA15" s="77">
        <f>'26'!AD18</f>
        <v>0</v>
      </c>
      <c r="AB15" s="77">
        <f>'27'!AD18</f>
        <v>0.54166666666666663</v>
      </c>
      <c r="AC15" s="77">
        <f>'28'!AD18</f>
        <v>0</v>
      </c>
      <c r="AD15" s="77"/>
      <c r="AE15" s="77"/>
      <c r="AF15" s="78">
        <f>'31'!AD18</f>
        <v>0.58333333333333337</v>
      </c>
      <c r="AG15" s="79">
        <f t="shared" si="0"/>
        <v>0.17876344086021506</v>
      </c>
    </row>
    <row r="16" spans="1:33" ht="21.75" customHeight="1">
      <c r="A16" s="101" t="s">
        <v>124</v>
      </c>
      <c r="B16" s="98"/>
      <c r="C16" s="98"/>
      <c r="D16" s="77">
        <f>'03'!AD19</f>
        <v>0.83333333333333337</v>
      </c>
      <c r="E16" s="77">
        <f>'04'!AD19</f>
        <v>0.79166666666666663</v>
      </c>
      <c r="F16" s="77">
        <f>'05'!AD19</f>
        <v>0.83333333333333337</v>
      </c>
      <c r="G16" s="77">
        <f>'06'!AD19</f>
        <v>1</v>
      </c>
      <c r="H16" s="77">
        <f>'07'!AD19</f>
        <v>0.75</v>
      </c>
      <c r="I16" s="77">
        <f>'08'!AD19</f>
        <v>1</v>
      </c>
      <c r="J16" s="77"/>
      <c r="K16" s="77">
        <f>'10'!AD19</f>
        <v>1</v>
      </c>
      <c r="L16" s="77">
        <f>'11'!AD19</f>
        <v>0.79166666666666663</v>
      </c>
      <c r="M16" s="77">
        <f>'12'!AD19</f>
        <v>1</v>
      </c>
      <c r="N16" s="77">
        <f>'13'!AD19</f>
        <v>0.33333333333333331</v>
      </c>
      <c r="O16" s="77">
        <f>'14'!AD19</f>
        <v>0.33333333333333331</v>
      </c>
      <c r="P16" s="77">
        <f>'15'!AD19</f>
        <v>0</v>
      </c>
      <c r="Q16" s="77"/>
      <c r="R16" s="77">
        <f>'17'!AD19</f>
        <v>0.875</v>
      </c>
      <c r="S16" s="77">
        <f>'18'!AD19</f>
        <v>0</v>
      </c>
      <c r="T16" s="77">
        <f>'19'!AD19</f>
        <v>0</v>
      </c>
      <c r="U16" s="77">
        <f>'20'!AD19</f>
        <v>0.70833333333333337</v>
      </c>
      <c r="V16" s="77">
        <f>'21'!AD19</f>
        <v>0.58333333333333337</v>
      </c>
      <c r="W16" s="77"/>
      <c r="X16" s="77"/>
      <c r="Y16" s="77">
        <f>'24'!AD19+'24'!AD20+'24'!AD21</f>
        <v>0.5</v>
      </c>
      <c r="Z16" s="77">
        <f>'25'!AD19</f>
        <v>0.91666666666666663</v>
      </c>
      <c r="AA16" s="77">
        <f>'26'!AD19</f>
        <v>1</v>
      </c>
      <c r="AB16" s="77">
        <f>'27'!AD19</f>
        <v>1</v>
      </c>
      <c r="AC16" s="77">
        <f>'28'!AD19</f>
        <v>1</v>
      </c>
      <c r="AD16" s="77"/>
      <c r="AE16" s="77"/>
      <c r="AF16" s="78">
        <f>'31'!AD19</f>
        <v>0.25</v>
      </c>
      <c r="AG16" s="79">
        <f t="shared" si="0"/>
        <v>0.50000000000000011</v>
      </c>
    </row>
    <row r="17" spans="1:33" ht="21.75" customHeight="1">
      <c r="A17" s="101" t="s">
        <v>125</v>
      </c>
      <c r="B17" s="98"/>
      <c r="C17" s="98"/>
      <c r="D17" s="77">
        <f>'03'!AD20</f>
        <v>1</v>
      </c>
      <c r="E17" s="77">
        <f>'04'!AD20</f>
        <v>1</v>
      </c>
      <c r="F17" s="77">
        <f>'05'!AD20</f>
        <v>1</v>
      </c>
      <c r="G17" s="77">
        <f>'06'!AD20</f>
        <v>0</v>
      </c>
      <c r="H17" s="77">
        <f>'07'!AD20</f>
        <v>1</v>
      </c>
      <c r="I17" s="77">
        <f>'08'!AD20</f>
        <v>1</v>
      </c>
      <c r="J17" s="77"/>
      <c r="K17" s="77">
        <f>'10'!AD20</f>
        <v>1</v>
      </c>
      <c r="L17" s="77">
        <f>'11'!AD20</f>
        <v>0.29166666666666669</v>
      </c>
      <c r="M17" s="77">
        <f>'12'!AD20</f>
        <v>0.75</v>
      </c>
      <c r="N17" s="77">
        <f>'13'!AD20</f>
        <v>1</v>
      </c>
      <c r="O17" s="77">
        <f>'14'!AD20</f>
        <v>1</v>
      </c>
      <c r="P17" s="77">
        <f>'15'!AD20</f>
        <v>1</v>
      </c>
      <c r="Q17" s="77"/>
      <c r="R17" s="77">
        <f>'17'!AD20</f>
        <v>0.58333333333333337</v>
      </c>
      <c r="S17" s="77">
        <f>'18'!AD20</f>
        <v>0.16666666666666666</v>
      </c>
      <c r="T17" s="77">
        <f>'19'!AD20</f>
        <v>0.875</v>
      </c>
      <c r="U17" s="77">
        <f>'20'!AD20</f>
        <v>0.70833333333333337</v>
      </c>
      <c r="V17" s="77">
        <f>'21'!AD20</f>
        <v>1</v>
      </c>
      <c r="W17" s="77"/>
      <c r="X17" s="77"/>
      <c r="Y17" s="77">
        <f>'24'!AD22</f>
        <v>0.79166666666666663</v>
      </c>
      <c r="Z17" s="77">
        <f>'25'!AD20</f>
        <v>1</v>
      </c>
      <c r="AA17" s="77">
        <f>'26'!AD20</f>
        <v>1</v>
      </c>
      <c r="AB17" s="77">
        <f>'27'!AD20+'27'!AD21</f>
        <v>0.95833333333333326</v>
      </c>
      <c r="AC17" s="77">
        <f>'28'!AD20</f>
        <v>1</v>
      </c>
      <c r="AD17" s="77"/>
      <c r="AE17" s="77"/>
      <c r="AF17" s="78">
        <f>'31'!AD20</f>
        <v>0.875</v>
      </c>
      <c r="AG17" s="79">
        <f t="shared" si="0"/>
        <v>0.61290322580645162</v>
      </c>
    </row>
    <row r="18" spans="1:33" ht="21.75" customHeight="1" thickBot="1">
      <c r="A18" s="102" t="s">
        <v>126</v>
      </c>
      <c r="B18" s="99"/>
      <c r="C18" s="99"/>
      <c r="D18" s="80">
        <f>'03'!AD21</f>
        <v>0</v>
      </c>
      <c r="E18" s="80">
        <f>'04'!AD21</f>
        <v>0</v>
      </c>
      <c r="F18" s="80">
        <f>'05'!AD21</f>
        <v>0</v>
      </c>
      <c r="G18" s="80">
        <f>'06'!AD21</f>
        <v>0</v>
      </c>
      <c r="H18" s="80">
        <f>'07'!AD21</f>
        <v>0</v>
      </c>
      <c r="I18" s="80">
        <f>'08'!AD21</f>
        <v>0</v>
      </c>
      <c r="J18" s="80"/>
      <c r="K18" s="80">
        <f>'10'!AD21</f>
        <v>0.41666666666666669</v>
      </c>
      <c r="L18" s="80">
        <f>'11'!AD21</f>
        <v>0.54166666666666663</v>
      </c>
      <c r="M18" s="80">
        <f>'12'!AD21</f>
        <v>0</v>
      </c>
      <c r="N18" s="80">
        <f>'13'!AD21</f>
        <v>0</v>
      </c>
      <c r="O18" s="80">
        <f>'14'!AD21</f>
        <v>0</v>
      </c>
      <c r="P18" s="80">
        <f>'15'!AD21</f>
        <v>0</v>
      </c>
      <c r="Q18" s="80"/>
      <c r="R18" s="80">
        <f>'17'!AD21</f>
        <v>0.41666666666666669</v>
      </c>
      <c r="S18" s="80">
        <f>'18'!AD21</f>
        <v>1</v>
      </c>
      <c r="T18" s="80">
        <f>'19'!AD21</f>
        <v>1</v>
      </c>
      <c r="U18" s="80">
        <f>'20'!AD21</f>
        <v>0.41666666666666669</v>
      </c>
      <c r="V18" s="80">
        <f>'21'!AD21</f>
        <v>0</v>
      </c>
      <c r="W18" s="80"/>
      <c r="X18" s="80"/>
      <c r="Y18" s="80">
        <f>'24'!AD23</f>
        <v>0.41666666666666669</v>
      </c>
      <c r="Z18" s="80">
        <f>'25'!AD21</f>
        <v>0.54166666666666663</v>
      </c>
      <c r="AA18" s="80">
        <f>'26'!AD21</f>
        <v>0.54166666666666663</v>
      </c>
      <c r="AB18" s="80">
        <f>'27'!AD22</f>
        <v>0.54166666666666663</v>
      </c>
      <c r="AC18" s="80">
        <f>'28'!AD21</f>
        <v>0</v>
      </c>
      <c r="AD18" s="80"/>
      <c r="AE18" s="80"/>
      <c r="AF18" s="81">
        <f>'31'!AD21</f>
        <v>0.25</v>
      </c>
      <c r="AG18" s="82">
        <f t="shared" si="0"/>
        <v>0.19623655913978497</v>
      </c>
    </row>
    <row r="19" spans="1:33" s="83" customFormat="1" ht="21.75" customHeight="1">
      <c r="A19" s="87" t="s">
        <v>104</v>
      </c>
      <c r="B19" s="91"/>
      <c r="C19" s="91"/>
      <c r="D19" s="92">
        <f>'03'!AD22</f>
        <v>0.39843749999999994</v>
      </c>
      <c r="E19" s="92">
        <f>'04'!AD22</f>
        <v>0.4921875</v>
      </c>
      <c r="F19" s="92">
        <f>'05'!AD22</f>
        <v>0.59895833333333337</v>
      </c>
      <c r="G19" s="92">
        <f>'06'!AD22</f>
        <v>0.49739583333333337</v>
      </c>
      <c r="H19" s="92">
        <f>'07'!AD22</f>
        <v>0.47395833333333331</v>
      </c>
      <c r="I19" s="92">
        <f>'08'!AD22</f>
        <v>0.34895833333333331</v>
      </c>
      <c r="J19" s="92"/>
      <c r="K19" s="92">
        <f>'10'!AD22</f>
        <v>0.44270833333333331</v>
      </c>
      <c r="L19" s="92">
        <f>'11'!AD22</f>
        <v>0.296875</v>
      </c>
      <c r="M19" s="92">
        <f>'12'!AD22</f>
        <v>0.44270833333333331</v>
      </c>
      <c r="N19" s="92">
        <f>'13'!AD22</f>
        <v>0.421875</v>
      </c>
      <c r="O19" s="92">
        <f>'14'!AD22</f>
        <v>0.42708333333333331</v>
      </c>
      <c r="P19" s="92">
        <f>'15'!AD22</f>
        <v>0.3289667137144201</v>
      </c>
      <c r="Q19" s="92"/>
      <c r="R19" s="92">
        <f>'17'!AD22</f>
        <v>0.33072916666666669</v>
      </c>
      <c r="S19" s="92">
        <f>'18'!AD22</f>
        <v>0.29166666666666663</v>
      </c>
      <c r="T19" s="92">
        <f>'19'!AD22</f>
        <v>0.29166666666666663</v>
      </c>
      <c r="U19" s="92">
        <f>'20'!AD22</f>
        <v>0.42708333333333331</v>
      </c>
      <c r="V19" s="92">
        <f>'21'!AD22</f>
        <v>0.35677083333333331</v>
      </c>
      <c r="W19" s="92"/>
      <c r="X19" s="92"/>
      <c r="Y19" s="92">
        <f>'24'!AD24</f>
        <v>0.32870370370370372</v>
      </c>
      <c r="Z19" s="92">
        <f>'25'!AD22</f>
        <v>0.40625000000000006</v>
      </c>
      <c r="AA19" s="92">
        <f>'26'!AD22</f>
        <v>0.43489583333333337</v>
      </c>
      <c r="AB19" s="92">
        <f>'27'!AD23</f>
        <v>0.40931372549019607</v>
      </c>
      <c r="AC19" s="92">
        <f>'28'!AD22</f>
        <v>0.37239583333333337</v>
      </c>
      <c r="AD19" s="92"/>
      <c r="AE19" s="92"/>
      <c r="AF19" s="93">
        <f>'31'!AD22</f>
        <v>0.45833333333333331</v>
      </c>
      <c r="AG19" s="94">
        <f t="shared" si="0"/>
        <v>0.29928779493252655</v>
      </c>
    </row>
    <row r="20" spans="1:33" ht="21.75" customHeight="1" thickBot="1">
      <c r="A20" s="69" t="s">
        <v>108</v>
      </c>
      <c r="B20" s="70">
        <v>0.62</v>
      </c>
      <c r="C20" s="71">
        <v>0.62</v>
      </c>
      <c r="D20" s="71">
        <v>0.62</v>
      </c>
      <c r="E20" s="71">
        <v>0.62</v>
      </c>
      <c r="F20" s="71">
        <v>0.62</v>
      </c>
      <c r="G20" s="71">
        <v>0.62</v>
      </c>
      <c r="H20" s="71">
        <v>0.62</v>
      </c>
      <c r="I20" s="71">
        <v>0.62</v>
      </c>
      <c r="J20" s="71">
        <v>0.62</v>
      </c>
      <c r="K20" s="71">
        <v>0.62</v>
      </c>
      <c r="L20" s="71">
        <v>0.62</v>
      </c>
      <c r="M20" s="71">
        <v>0.62</v>
      </c>
      <c r="N20" s="71">
        <v>0.62</v>
      </c>
      <c r="O20" s="71">
        <v>0.62</v>
      </c>
      <c r="P20" s="71">
        <v>0.62</v>
      </c>
      <c r="Q20" s="71">
        <v>0.62</v>
      </c>
      <c r="R20" s="71">
        <v>0.62</v>
      </c>
      <c r="S20" s="71">
        <v>0.62</v>
      </c>
      <c r="T20" s="71">
        <v>0.62</v>
      </c>
      <c r="U20" s="71">
        <v>0.62</v>
      </c>
      <c r="V20" s="71">
        <v>0.62</v>
      </c>
      <c r="W20" s="71">
        <v>0.62</v>
      </c>
      <c r="X20" s="71">
        <v>0.62</v>
      </c>
      <c r="Y20" s="71">
        <v>0.62</v>
      </c>
      <c r="Z20" s="71">
        <v>0.62</v>
      </c>
      <c r="AA20" s="71">
        <v>0.62</v>
      </c>
      <c r="AB20" s="71">
        <v>0.62</v>
      </c>
      <c r="AC20" s="71">
        <v>0.62</v>
      </c>
      <c r="AD20" s="71">
        <v>0.62</v>
      </c>
      <c r="AE20" s="71">
        <v>0.62</v>
      </c>
      <c r="AF20" s="72">
        <v>0.62</v>
      </c>
      <c r="AG20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15E2-EFCF-468F-A887-027E0C8DCB65}">
  <dimension ref="A1:AF87"/>
  <sheetViews>
    <sheetView view="pageBreakPreview" zoomScale="70" zoomScaleNormal="72" zoomScaleSheetLayoutView="70" workbookViewId="0">
      <selection activeCell="N68" sqref="N68:O6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211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48" t="s">
        <v>17</v>
      </c>
      <c r="L5" s="148" t="s">
        <v>18</v>
      </c>
      <c r="M5" s="148" t="s">
        <v>19</v>
      </c>
      <c r="N5" s="14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166</v>
      </c>
      <c r="F6" s="12" t="s">
        <v>127</v>
      </c>
      <c r="G6" s="12">
        <v>1</v>
      </c>
      <c r="H6" s="13">
        <v>24</v>
      </c>
      <c r="I6" s="31">
        <v>4000</v>
      </c>
      <c r="J6" s="14">
        <v>3718</v>
      </c>
      <c r="K6" s="15">
        <f>L6+1408+3251+3718</f>
        <v>8377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0.59895833333333337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19918</v>
      </c>
      <c r="K7" s="15">
        <f>L7+11840</f>
        <v>31758</v>
      </c>
      <c r="L7" s="15">
        <f>3561*2+3199*4</f>
        <v>19918</v>
      </c>
      <c r="M7" s="15">
        <f t="shared" si="0"/>
        <v>19918</v>
      </c>
      <c r="N7" s="15">
        <v>0</v>
      </c>
      <c r="O7" s="58">
        <f t="shared" si="1"/>
        <v>0</v>
      </c>
      <c r="P7" s="39">
        <f t="shared" si="2"/>
        <v>22</v>
      </c>
      <c r="Q7" s="40">
        <f t="shared" si="3"/>
        <v>2</v>
      </c>
      <c r="R7" s="7"/>
      <c r="S7" s="6">
        <v>2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0.91666666666666663</v>
      </c>
      <c r="AD7" s="10">
        <f t="shared" si="6"/>
        <v>0.91666666666666663</v>
      </c>
      <c r="AE7" s="36">
        <f t="shared" si="7"/>
        <v>0.59895833333333337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23460</v>
      </c>
      <c r="K8" s="15">
        <f>L8+23776+23632+22448+10612+24680+24492+25268+13104+24332+13700+17504+23944+23561+24584</f>
        <v>319097</v>
      </c>
      <c r="L8" s="15">
        <f>2958*4+2907*4</f>
        <v>23460</v>
      </c>
      <c r="M8" s="15">
        <f t="shared" si="0"/>
        <v>23460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0.59895833333333337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0.59895833333333337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18588</v>
      </c>
      <c r="K10" s="15">
        <f>L10+25196+23668+24836+25088+24940+25884+1424+10400</f>
        <v>180024</v>
      </c>
      <c r="L10" s="15">
        <f>3418*4+1229*4</f>
        <v>18588</v>
      </c>
      <c r="M10" s="15">
        <f t="shared" si="0"/>
        <v>18588</v>
      </c>
      <c r="N10" s="15">
        <v>0</v>
      </c>
      <c r="O10" s="58">
        <f t="shared" si="1"/>
        <v>0</v>
      </c>
      <c r="P10" s="39">
        <f t="shared" si="2"/>
        <v>19</v>
      </c>
      <c r="Q10" s="40">
        <f t="shared" si="3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0.79166666666666663</v>
      </c>
      <c r="AD10" s="10">
        <f>AC10*AB10*(1-O10)</f>
        <v>0.79166666666666663</v>
      </c>
      <c r="AE10" s="36">
        <f t="shared" si="7"/>
        <v>0.59895833333333337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122</v>
      </c>
      <c r="D11" s="52" t="s">
        <v>115</v>
      </c>
      <c r="E11" s="53" t="s">
        <v>190</v>
      </c>
      <c r="F11" s="30" t="s">
        <v>191</v>
      </c>
      <c r="G11" s="33">
        <v>1</v>
      </c>
      <c r="H11" s="35">
        <v>24</v>
      </c>
      <c r="I11" s="7">
        <v>11000</v>
      </c>
      <c r="J11" s="14">
        <v>5246</v>
      </c>
      <c r="K11" s="15">
        <f>L11+3348</f>
        <v>8594</v>
      </c>
      <c r="L11" s="15">
        <f>2757+2489</f>
        <v>5246</v>
      </c>
      <c r="M11" s="15">
        <f t="shared" si="0"/>
        <v>5246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9">AC11*AB11*(1-O11)</f>
        <v>1</v>
      </c>
      <c r="AE11" s="36">
        <f t="shared" si="7"/>
        <v>0.59895833333333337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120</v>
      </c>
      <c r="D12" s="52" t="s">
        <v>115</v>
      </c>
      <c r="E12" s="53" t="s">
        <v>152</v>
      </c>
      <c r="F12" s="30" t="s">
        <v>123</v>
      </c>
      <c r="G12" s="12">
        <v>3</v>
      </c>
      <c r="H12" s="13">
        <v>28</v>
      </c>
      <c r="I12" s="31">
        <v>400000</v>
      </c>
      <c r="J12" s="5">
        <v>19812</v>
      </c>
      <c r="K12" s="15">
        <f>L12+24356+25828+27100+24476+20768+27072+26880+9280+9984+18246+20307+18330+20418+9615+17043</f>
        <v>319515</v>
      </c>
      <c r="L12" s="15">
        <f>3488*3+3116*3</f>
        <v>19812</v>
      </c>
      <c r="M12" s="15">
        <f t="shared" si="0"/>
        <v>19812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9"/>
        <v>1</v>
      </c>
      <c r="AE12" s="36">
        <f t="shared" si="7"/>
        <v>0.59895833333333337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130000</v>
      </c>
      <c r="J13" s="5">
        <v>24572</v>
      </c>
      <c r="K13" s="15">
        <f>L13+14284+8352+12576+8310+15524+17860+22424+23088+2420+23364+22844+15980+12148+8056+16415+23304+22652+18028+24560+16004+23972+26116+28148+12884+27980+28568+27912+29148+22636+20804+27276+24808+27356+26324+8180</f>
        <v>714877</v>
      </c>
      <c r="L13" s="15">
        <f>3111*4+3032*4</f>
        <v>24572</v>
      </c>
      <c r="M13" s="15">
        <f t="shared" si="0"/>
        <v>24572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0.59895833333333337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</f>
        <v>150</v>
      </c>
      <c r="L14" s="15">
        <f>150</f>
        <v>150</v>
      </c>
      <c r="M14" s="15">
        <f t="shared" si="0"/>
        <v>150</v>
      </c>
      <c r="N14" s="15">
        <v>0</v>
      </c>
      <c r="O14" s="58">
        <f t="shared" si="1"/>
        <v>0</v>
      </c>
      <c r="P14" s="39">
        <f t="shared" si="2"/>
        <v>4</v>
      </c>
      <c r="Q14" s="40">
        <f t="shared" si="3"/>
        <v>20</v>
      </c>
      <c r="R14" s="7"/>
      <c r="S14" s="6">
        <v>20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0.16666666666666666</v>
      </c>
      <c r="AD14" s="10">
        <f t="shared" si="9"/>
        <v>0.16666666666666666</v>
      </c>
      <c r="AE14" s="36">
        <f t="shared" si="7"/>
        <v>0.59895833333333337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4961</v>
      </c>
      <c r="K15" s="15">
        <f>L15</f>
        <v>4961</v>
      </c>
      <c r="L15" s="15">
        <f>2370+2591</f>
        <v>4961</v>
      </c>
      <c r="M15" s="15">
        <f t="shared" si="0"/>
        <v>4961</v>
      </c>
      <c r="N15" s="15">
        <v>0</v>
      </c>
      <c r="O15" s="58">
        <f t="shared" si="1"/>
        <v>0</v>
      </c>
      <c r="P15" s="39">
        <f t="shared" si="2"/>
        <v>21</v>
      </c>
      <c r="Q15" s="40">
        <f t="shared" si="3"/>
        <v>3</v>
      </c>
      <c r="R15" s="7"/>
      <c r="S15" s="6">
        <v>3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0.875</v>
      </c>
      <c r="AD15" s="10">
        <f t="shared" si="6"/>
        <v>0.875</v>
      </c>
      <c r="AE15" s="36">
        <f t="shared" si="7"/>
        <v>0.59895833333333337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0.59895833333333337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6237</v>
      </c>
      <c r="K17" s="15">
        <f>L17+5525+6064+6153+5650+5997+6224</f>
        <v>41850</v>
      </c>
      <c r="L17" s="15">
        <f>3290+2947</f>
        <v>6237</v>
      </c>
      <c r="M17" s="15">
        <f t="shared" si="0"/>
        <v>6237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0.59895833333333337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115</v>
      </c>
      <c r="E18" s="53" t="s">
        <v>185</v>
      </c>
      <c r="F18" s="30" t="s">
        <v>129</v>
      </c>
      <c r="G18" s="33">
        <v>1</v>
      </c>
      <c r="H18" s="35">
        <v>24</v>
      </c>
      <c r="I18" s="7">
        <v>1600</v>
      </c>
      <c r="J18" s="14">
        <v>3125</v>
      </c>
      <c r="K18" s="15">
        <f>L18+3125</f>
        <v>3125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24</v>
      </c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0.59895833333333337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100000</v>
      </c>
      <c r="J19" s="14">
        <v>18940</v>
      </c>
      <c r="K19" s="15">
        <f>L19+9612+11036+20524+15980</f>
        <v>76092</v>
      </c>
      <c r="L19" s="15">
        <f>3310*4+1425*4</f>
        <v>18940</v>
      </c>
      <c r="M19" s="15">
        <f t="shared" si="0"/>
        <v>18940</v>
      </c>
      <c r="N19" s="15">
        <v>0</v>
      </c>
      <c r="O19" s="58">
        <f t="shared" si="1"/>
        <v>0</v>
      </c>
      <c r="P19" s="39">
        <f t="shared" si="2"/>
        <v>20</v>
      </c>
      <c r="Q19" s="40">
        <f t="shared" si="3"/>
        <v>4</v>
      </c>
      <c r="R19" s="7">
        <v>4</v>
      </c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6">
        <f t="shared" si="7"/>
        <v>0.59895833333333337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131</v>
      </c>
      <c r="E20" s="53" t="s">
        <v>174</v>
      </c>
      <c r="F20" s="30" t="s">
        <v>123</v>
      </c>
      <c r="G20" s="12">
        <v>2</v>
      </c>
      <c r="H20" s="13">
        <v>28</v>
      </c>
      <c r="I20" s="31">
        <v>40000</v>
      </c>
      <c r="J20" s="5">
        <v>12698</v>
      </c>
      <c r="K20" s="15">
        <f>L20+12952+12936+12314+12816</f>
        <v>63716</v>
      </c>
      <c r="L20" s="15">
        <f>3309*2+3040*2</f>
        <v>12698</v>
      </c>
      <c r="M20" s="15">
        <f t="shared" si="0"/>
        <v>12698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0.59895833333333337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0.59895833333333337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2449400</v>
      </c>
      <c r="J22" s="19">
        <f t="shared" si="10"/>
        <v>203464</v>
      </c>
      <c r="K22" s="20">
        <f t="shared" si="10"/>
        <v>1956827</v>
      </c>
      <c r="L22" s="21">
        <f t="shared" si="10"/>
        <v>154582</v>
      </c>
      <c r="M22" s="20">
        <f t="shared" si="10"/>
        <v>154582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230</v>
      </c>
      <c r="Q22" s="43">
        <f t="shared" si="11"/>
        <v>154</v>
      </c>
      <c r="R22" s="23">
        <f t="shared" si="11"/>
        <v>28</v>
      </c>
      <c r="S22" s="24">
        <f t="shared" si="11"/>
        <v>30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24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48</v>
      </c>
      <c r="AB22" s="28">
        <f>AVERAGE(AB6:AB21)</f>
        <v>0.6875</v>
      </c>
      <c r="AC22" s="4">
        <f>AVERAGE(AC6:AC21)</f>
        <v>0.59895833333333337</v>
      </c>
      <c r="AD22" s="4">
        <f>AVERAGE(AD6:AD21)</f>
        <v>0.59895833333333337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213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218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49" t="s">
        <v>46</v>
      </c>
      <c r="D51" s="149" t="s">
        <v>47</v>
      </c>
      <c r="E51" s="149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49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150" t="s">
        <v>196</v>
      </c>
      <c r="D52" s="150" t="s">
        <v>115</v>
      </c>
      <c r="E52" s="152" t="s">
        <v>135</v>
      </c>
      <c r="F52" s="488" t="s">
        <v>200</v>
      </c>
      <c r="G52" s="489"/>
      <c r="H52" s="489"/>
      <c r="I52" s="489"/>
      <c r="J52" s="489"/>
      <c r="K52" s="489"/>
      <c r="L52" s="489"/>
      <c r="M52" s="490"/>
      <c r="N52" s="151" t="s">
        <v>120</v>
      </c>
      <c r="O52" s="157" t="s">
        <v>141</v>
      </c>
      <c r="P52" s="502" t="s">
        <v>115</v>
      </c>
      <c r="Q52" s="503"/>
      <c r="R52" s="502" t="s">
        <v>152</v>
      </c>
      <c r="S52" s="504"/>
      <c r="T52" s="504"/>
      <c r="U52" s="503"/>
      <c r="V52" s="472" t="s">
        <v>219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112</v>
      </c>
      <c r="B53" s="487"/>
      <c r="C53" s="152" t="s">
        <v>151</v>
      </c>
      <c r="D53" s="150" t="s">
        <v>115</v>
      </c>
      <c r="E53" s="152" t="s">
        <v>201</v>
      </c>
      <c r="F53" s="488" t="s">
        <v>214</v>
      </c>
      <c r="G53" s="489"/>
      <c r="H53" s="489"/>
      <c r="I53" s="489"/>
      <c r="J53" s="489"/>
      <c r="K53" s="489"/>
      <c r="L53" s="489"/>
      <c r="M53" s="490"/>
      <c r="N53" s="151" t="s">
        <v>122</v>
      </c>
      <c r="O53" s="157" t="s">
        <v>202</v>
      </c>
      <c r="P53" s="502"/>
      <c r="Q53" s="503"/>
      <c r="R53" s="502" t="s">
        <v>203</v>
      </c>
      <c r="S53" s="504"/>
      <c r="T53" s="504"/>
      <c r="U53" s="503"/>
      <c r="V53" s="472" t="s">
        <v>200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122</v>
      </c>
      <c r="B54" s="487"/>
      <c r="C54" s="152" t="s">
        <v>202</v>
      </c>
      <c r="D54" s="152"/>
      <c r="E54" s="152" t="s">
        <v>203</v>
      </c>
      <c r="F54" s="488" t="s">
        <v>215</v>
      </c>
      <c r="G54" s="489"/>
      <c r="H54" s="489"/>
      <c r="I54" s="489"/>
      <c r="J54" s="489"/>
      <c r="K54" s="489"/>
      <c r="L54" s="489"/>
      <c r="M54" s="490"/>
      <c r="N54" s="151" t="s">
        <v>119</v>
      </c>
      <c r="O54" s="157" t="s">
        <v>147</v>
      </c>
      <c r="P54" s="502" t="s">
        <v>160</v>
      </c>
      <c r="Q54" s="503"/>
      <c r="R54" s="502" t="s">
        <v>167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152" t="s">
        <v>182</v>
      </c>
      <c r="D55" s="152" t="s">
        <v>115</v>
      </c>
      <c r="E55" s="152" t="s">
        <v>157</v>
      </c>
      <c r="F55" s="488" t="s">
        <v>132</v>
      </c>
      <c r="G55" s="489"/>
      <c r="H55" s="489"/>
      <c r="I55" s="489"/>
      <c r="J55" s="489"/>
      <c r="K55" s="489"/>
      <c r="L55" s="489"/>
      <c r="M55" s="490"/>
      <c r="N55" s="151"/>
      <c r="O55" s="157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119</v>
      </c>
      <c r="B56" s="487"/>
      <c r="C56" s="152" t="s">
        <v>147</v>
      </c>
      <c r="D56" s="150" t="s">
        <v>160</v>
      </c>
      <c r="E56" s="152" t="s">
        <v>167</v>
      </c>
      <c r="F56" s="488" t="s">
        <v>216</v>
      </c>
      <c r="G56" s="489"/>
      <c r="H56" s="489"/>
      <c r="I56" s="489"/>
      <c r="J56" s="489"/>
      <c r="K56" s="489"/>
      <c r="L56" s="489"/>
      <c r="M56" s="490"/>
      <c r="N56" s="151"/>
      <c r="O56" s="157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120</v>
      </c>
      <c r="B57" s="501"/>
      <c r="C57" s="150" t="s">
        <v>205</v>
      </c>
      <c r="D57" s="150" t="s">
        <v>131</v>
      </c>
      <c r="E57" s="152" t="s">
        <v>134</v>
      </c>
      <c r="F57" s="488" t="s">
        <v>217</v>
      </c>
      <c r="G57" s="489"/>
      <c r="H57" s="489"/>
      <c r="I57" s="489"/>
      <c r="J57" s="489"/>
      <c r="K57" s="489"/>
      <c r="L57" s="489"/>
      <c r="M57" s="490"/>
      <c r="N57" s="151"/>
      <c r="O57" s="157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150"/>
      <c r="D58" s="150"/>
      <c r="E58" s="152"/>
      <c r="F58" s="488"/>
      <c r="G58" s="489"/>
      <c r="H58" s="489"/>
      <c r="I58" s="489"/>
      <c r="J58" s="489"/>
      <c r="K58" s="489"/>
      <c r="L58" s="489"/>
      <c r="M58" s="490"/>
      <c r="N58" s="151"/>
      <c r="O58" s="157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150"/>
      <c r="D59" s="150"/>
      <c r="E59" s="152"/>
      <c r="F59" s="488"/>
      <c r="G59" s="489"/>
      <c r="H59" s="489"/>
      <c r="I59" s="489"/>
      <c r="J59" s="489"/>
      <c r="K59" s="489"/>
      <c r="L59" s="489"/>
      <c r="M59" s="490"/>
      <c r="N59" s="151"/>
      <c r="O59" s="157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52"/>
      <c r="D60" s="152"/>
      <c r="E60" s="152"/>
      <c r="F60" s="488"/>
      <c r="G60" s="489"/>
      <c r="H60" s="489"/>
      <c r="I60" s="489"/>
      <c r="J60" s="489"/>
      <c r="K60" s="489"/>
      <c r="L60" s="489"/>
      <c r="M60" s="490"/>
      <c r="N60" s="151"/>
      <c r="O60" s="157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53"/>
      <c r="D61" s="154"/>
      <c r="E61" s="154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220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55" t="s">
        <v>2</v>
      </c>
      <c r="D63" s="155" t="s">
        <v>37</v>
      </c>
      <c r="E63" s="155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55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120</v>
      </c>
      <c r="D64" s="159"/>
      <c r="E64" s="156" t="s">
        <v>131</v>
      </c>
      <c r="F64" s="473" t="s">
        <v>221</v>
      </c>
      <c r="G64" s="474"/>
      <c r="H64" s="474"/>
      <c r="I64" s="474"/>
      <c r="J64" s="475"/>
      <c r="K64" s="461" t="s">
        <v>123</v>
      </c>
      <c r="L64" s="461"/>
      <c r="M64" s="51" t="s">
        <v>133</v>
      </c>
      <c r="N64" s="470" t="s">
        <v>149</v>
      </c>
      <c r="O64" s="470"/>
      <c r="P64" s="471">
        <v>200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159"/>
      <c r="E65" s="156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159"/>
      <c r="E66" s="156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159"/>
      <c r="E67" s="156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159"/>
      <c r="E68" s="156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159"/>
      <c r="E69" s="156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59"/>
      <c r="E70" s="156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59"/>
      <c r="E71" s="156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59"/>
      <c r="E72" s="156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59"/>
      <c r="E73" s="156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222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58" t="s">
        <v>2</v>
      </c>
      <c r="D75" s="158" t="s">
        <v>37</v>
      </c>
      <c r="E75" s="158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60" t="s">
        <v>112</v>
      </c>
      <c r="D76" s="160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59"/>
      <c r="D77" s="159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59"/>
      <c r="D78" s="159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59"/>
      <c r="D79" s="159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59"/>
      <c r="D80" s="159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59"/>
      <c r="D81" s="159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59"/>
      <c r="D82" s="159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223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588-CB95-48B3-9FCA-CF859485D799}">
  <dimension ref="A1:AF87"/>
  <sheetViews>
    <sheetView view="pageBreakPreview" zoomScale="70" zoomScaleNormal="72" zoomScaleSheetLayoutView="70" workbookViewId="0">
      <selection activeCell="X15" sqref="X1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224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73" t="s">
        <v>17</v>
      </c>
      <c r="L5" s="173" t="s">
        <v>18</v>
      </c>
      <c r="M5" s="173" t="s">
        <v>19</v>
      </c>
      <c r="N5" s="17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166</v>
      </c>
      <c r="F6" s="12" t="s">
        <v>127</v>
      </c>
      <c r="G6" s="12">
        <v>1</v>
      </c>
      <c r="H6" s="13">
        <v>24</v>
      </c>
      <c r="I6" s="31">
        <v>4000</v>
      </c>
      <c r="J6" s="14">
        <v>3718</v>
      </c>
      <c r="K6" s="15">
        <f>L6+1408+3251+3718</f>
        <v>8377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0.49739583333333337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14488</v>
      </c>
      <c r="K7" s="15">
        <f>L7+11840+19918</f>
        <v>46246</v>
      </c>
      <c r="L7" s="15">
        <f>3798*2+3446*2</f>
        <v>14488</v>
      </c>
      <c r="M7" s="15">
        <f t="shared" si="0"/>
        <v>14488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0.49739583333333337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24448</v>
      </c>
      <c r="K8" s="15">
        <f>L8+23776+23632+22448+10612+24680+24492+25268+13104+24332+13700+17504+23944+23561+24584+23460</f>
        <v>343545</v>
      </c>
      <c r="L8" s="15">
        <f>3230*4+2882*4</f>
        <v>24448</v>
      </c>
      <c r="M8" s="15">
        <f t="shared" si="0"/>
        <v>24448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0.49739583333333337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0.49739583333333337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26072</v>
      </c>
      <c r="K10" s="15">
        <f>L10+25196+23668+24836+25088+24940+25884+1424+10400+18588</f>
        <v>206096</v>
      </c>
      <c r="L10" s="15">
        <f>3439*4+3079*4</f>
        <v>26072</v>
      </c>
      <c r="M10" s="15">
        <f t="shared" si="0"/>
        <v>26072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0.49739583333333337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122</v>
      </c>
      <c r="D11" s="52" t="s">
        <v>115</v>
      </c>
      <c r="E11" s="53" t="s">
        <v>190</v>
      </c>
      <c r="F11" s="30" t="s">
        <v>191</v>
      </c>
      <c r="G11" s="33">
        <v>1</v>
      </c>
      <c r="H11" s="35">
        <v>24</v>
      </c>
      <c r="I11" s="7">
        <v>11000</v>
      </c>
      <c r="J11" s="14">
        <v>5242</v>
      </c>
      <c r="K11" s="15">
        <f>L11+3348+5246</f>
        <v>13836</v>
      </c>
      <c r="L11" s="15">
        <f>2768+2474</f>
        <v>5242</v>
      </c>
      <c r="M11" s="15">
        <f t="shared" si="0"/>
        <v>5242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9">AC11*AB11*(1-O11)</f>
        <v>1</v>
      </c>
      <c r="AE11" s="36">
        <f t="shared" si="7"/>
        <v>0.49739583333333337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120</v>
      </c>
      <c r="D12" s="52" t="s">
        <v>115</v>
      </c>
      <c r="E12" s="53" t="s">
        <v>152</v>
      </c>
      <c r="F12" s="30" t="s">
        <v>123</v>
      </c>
      <c r="G12" s="12">
        <v>3</v>
      </c>
      <c r="H12" s="13">
        <v>28</v>
      </c>
      <c r="I12" s="31">
        <v>400000</v>
      </c>
      <c r="J12" s="5">
        <v>2238</v>
      </c>
      <c r="K12" s="15">
        <f>L12+24356+25828+27100+24476+20768+27072+26880+9280+9984+18246+20307+18330+20418+9615+17043+19812</f>
        <v>321753</v>
      </c>
      <c r="L12" s="15">
        <f>746*3</f>
        <v>2238</v>
      </c>
      <c r="M12" s="15">
        <f t="shared" si="0"/>
        <v>2238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>
        <v>20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si="9"/>
        <v>0.16666666666666666</v>
      </c>
      <c r="AE12" s="36">
        <f t="shared" si="7"/>
        <v>0.49739583333333337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130000</v>
      </c>
      <c r="J13" s="5">
        <v>26784</v>
      </c>
      <c r="K13" s="15">
        <f>L13+14284+8352+12576+8310+15524+17860+22424+23088+2420+23364+22844+15980+12148+8056+16415+23304+22652+18028+24560+16004+23972+26116+28148+12884+27980+28568+27912+29148+22636+20804+27276+24808+27356+26324+8180+24572</f>
        <v>741661</v>
      </c>
      <c r="L13" s="15">
        <f>3444*4+3252*4</f>
        <v>26784</v>
      </c>
      <c r="M13" s="15">
        <f t="shared" si="0"/>
        <v>26784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0.49739583333333337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0.49739583333333337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4134</v>
      </c>
      <c r="K15" s="15">
        <f>L15+4961</f>
        <v>9095</v>
      </c>
      <c r="L15" s="15">
        <f>2995+1139</f>
        <v>4134</v>
      </c>
      <c r="M15" s="15">
        <f t="shared" si="0"/>
        <v>4134</v>
      </c>
      <c r="N15" s="15">
        <v>0</v>
      </c>
      <c r="O15" s="58">
        <f t="shared" si="1"/>
        <v>0</v>
      </c>
      <c r="P15" s="39">
        <f t="shared" si="2"/>
        <v>19</v>
      </c>
      <c r="Q15" s="40">
        <f t="shared" si="3"/>
        <v>5</v>
      </c>
      <c r="R15" s="7"/>
      <c r="S15" s="6">
        <v>5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0.79166666666666663</v>
      </c>
      <c r="AD15" s="10">
        <f t="shared" si="6"/>
        <v>0.79166666666666663</v>
      </c>
      <c r="AE15" s="36">
        <f t="shared" si="7"/>
        <v>0.49739583333333337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0.49739583333333337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</f>
        <v>47797</v>
      </c>
      <c r="L17" s="15">
        <f>2985+2962</f>
        <v>5947</v>
      </c>
      <c r="M17" s="15">
        <f t="shared" si="0"/>
        <v>5947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0.49739583333333337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115</v>
      </c>
      <c r="E18" s="53" t="s">
        <v>185</v>
      </c>
      <c r="F18" s="30" t="s">
        <v>129</v>
      </c>
      <c r="G18" s="33">
        <v>1</v>
      </c>
      <c r="H18" s="35">
        <v>24</v>
      </c>
      <c r="I18" s="7">
        <v>1600</v>
      </c>
      <c r="J18" s="14">
        <v>3125</v>
      </c>
      <c r="K18" s="15">
        <f>L18+3125</f>
        <v>3125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24</v>
      </c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0.49739583333333337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100000</v>
      </c>
      <c r="J19" s="14">
        <v>25128</v>
      </c>
      <c r="K19" s="15">
        <f>L19+9612+11036+20524+15980+18940</f>
        <v>101220</v>
      </c>
      <c r="L19" s="15">
        <f>3290*4+2992*4</f>
        <v>25128</v>
      </c>
      <c r="M19" s="15">
        <f t="shared" si="0"/>
        <v>25128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0.49739583333333337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3</v>
      </c>
      <c r="H20" s="13">
        <v>28</v>
      </c>
      <c r="I20" s="31">
        <v>150000</v>
      </c>
      <c r="J20" s="5">
        <v>12698</v>
      </c>
      <c r="K20" s="15">
        <f>L20</f>
        <v>0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>
        <v>24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 t="shared" si="6"/>
        <v>0</v>
      </c>
      <c r="AE20" s="36">
        <f t="shared" si="7"/>
        <v>0.49739583333333337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0.49739583333333337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2559400</v>
      </c>
      <c r="J22" s="19">
        <f t="shared" si="10"/>
        <v>196211</v>
      </c>
      <c r="K22" s="20">
        <f t="shared" si="10"/>
        <v>2027592</v>
      </c>
      <c r="L22" s="21">
        <f t="shared" si="10"/>
        <v>134481</v>
      </c>
      <c r="M22" s="20">
        <f t="shared" si="10"/>
        <v>134481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191</v>
      </c>
      <c r="Q22" s="43">
        <f t="shared" si="11"/>
        <v>193</v>
      </c>
      <c r="R22" s="23">
        <f t="shared" si="11"/>
        <v>24</v>
      </c>
      <c r="S22" s="24">
        <f t="shared" si="11"/>
        <v>73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24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48</v>
      </c>
      <c r="AB22" s="28">
        <f>AVERAGE(AB6:AB21)</f>
        <v>0.5625</v>
      </c>
      <c r="AC22" s="4">
        <f>AVERAGE(AC6:AC21)</f>
        <v>0.49739583333333337</v>
      </c>
      <c r="AD22" s="4">
        <f>AVERAGE(AD6:AD21)</f>
        <v>0.49739583333333337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225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228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72" t="s">
        <v>46</v>
      </c>
      <c r="D51" s="172" t="s">
        <v>47</v>
      </c>
      <c r="E51" s="172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72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171" t="s">
        <v>226</v>
      </c>
      <c r="D52" s="171" t="s">
        <v>115</v>
      </c>
      <c r="E52" s="168" t="s">
        <v>152</v>
      </c>
      <c r="F52" s="488" t="s">
        <v>227</v>
      </c>
      <c r="G52" s="489"/>
      <c r="H52" s="489"/>
      <c r="I52" s="489"/>
      <c r="J52" s="489"/>
      <c r="K52" s="489"/>
      <c r="L52" s="489"/>
      <c r="M52" s="490"/>
      <c r="N52" s="167" t="s">
        <v>120</v>
      </c>
      <c r="O52" s="165" t="s">
        <v>226</v>
      </c>
      <c r="P52" s="502" t="s">
        <v>115</v>
      </c>
      <c r="Q52" s="503"/>
      <c r="R52" s="502" t="s">
        <v>152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122</v>
      </c>
      <c r="B53" s="487"/>
      <c r="C53" s="168" t="s">
        <v>202</v>
      </c>
      <c r="D53" s="168"/>
      <c r="E53" s="168" t="s">
        <v>203</v>
      </c>
      <c r="F53" s="488" t="s">
        <v>200</v>
      </c>
      <c r="G53" s="489"/>
      <c r="H53" s="489"/>
      <c r="I53" s="489"/>
      <c r="J53" s="489"/>
      <c r="K53" s="489"/>
      <c r="L53" s="489"/>
      <c r="M53" s="490"/>
      <c r="N53" s="167" t="s">
        <v>119</v>
      </c>
      <c r="O53" s="165" t="s">
        <v>150</v>
      </c>
      <c r="P53" s="502" t="s">
        <v>128</v>
      </c>
      <c r="Q53" s="503"/>
      <c r="R53" s="502" t="s">
        <v>176</v>
      </c>
      <c r="S53" s="504"/>
      <c r="T53" s="504"/>
      <c r="U53" s="503"/>
      <c r="V53" s="472" t="s">
        <v>206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/>
      <c r="B54" s="487"/>
      <c r="C54" s="168"/>
      <c r="D54" s="168"/>
      <c r="E54" s="168"/>
      <c r="F54" s="488"/>
      <c r="G54" s="489"/>
      <c r="H54" s="489"/>
      <c r="I54" s="489"/>
      <c r="J54" s="489"/>
      <c r="K54" s="489"/>
      <c r="L54" s="489"/>
      <c r="M54" s="490"/>
      <c r="N54" s="167" t="s">
        <v>119</v>
      </c>
      <c r="O54" s="165" t="s">
        <v>182</v>
      </c>
      <c r="P54" s="502" t="s">
        <v>115</v>
      </c>
      <c r="Q54" s="503"/>
      <c r="R54" s="502" t="s">
        <v>157</v>
      </c>
      <c r="S54" s="504"/>
      <c r="T54" s="504"/>
      <c r="U54" s="503"/>
      <c r="V54" s="472" t="s">
        <v>200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/>
      <c r="B55" s="487"/>
      <c r="C55" s="168"/>
      <c r="D55" s="168"/>
      <c r="E55" s="168"/>
      <c r="F55" s="488"/>
      <c r="G55" s="489"/>
      <c r="H55" s="489"/>
      <c r="I55" s="489"/>
      <c r="J55" s="489"/>
      <c r="K55" s="489"/>
      <c r="L55" s="489"/>
      <c r="M55" s="490"/>
      <c r="N55" s="167"/>
      <c r="O55" s="165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168"/>
      <c r="D56" s="171"/>
      <c r="E56" s="168"/>
      <c r="F56" s="488"/>
      <c r="G56" s="489"/>
      <c r="H56" s="489"/>
      <c r="I56" s="489"/>
      <c r="J56" s="489"/>
      <c r="K56" s="489"/>
      <c r="L56" s="489"/>
      <c r="M56" s="490"/>
      <c r="N56" s="167"/>
      <c r="O56" s="165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171"/>
      <c r="D57" s="171"/>
      <c r="E57" s="168"/>
      <c r="F57" s="488"/>
      <c r="G57" s="489"/>
      <c r="H57" s="489"/>
      <c r="I57" s="489"/>
      <c r="J57" s="489"/>
      <c r="K57" s="489"/>
      <c r="L57" s="489"/>
      <c r="M57" s="490"/>
      <c r="N57" s="167"/>
      <c r="O57" s="165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171"/>
      <c r="D58" s="171"/>
      <c r="E58" s="168"/>
      <c r="F58" s="488"/>
      <c r="G58" s="489"/>
      <c r="H58" s="489"/>
      <c r="I58" s="489"/>
      <c r="J58" s="489"/>
      <c r="K58" s="489"/>
      <c r="L58" s="489"/>
      <c r="M58" s="490"/>
      <c r="N58" s="167"/>
      <c r="O58" s="165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171"/>
      <c r="D59" s="171"/>
      <c r="E59" s="168"/>
      <c r="F59" s="488"/>
      <c r="G59" s="489"/>
      <c r="H59" s="489"/>
      <c r="I59" s="489"/>
      <c r="J59" s="489"/>
      <c r="K59" s="489"/>
      <c r="L59" s="489"/>
      <c r="M59" s="490"/>
      <c r="N59" s="167"/>
      <c r="O59" s="165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68"/>
      <c r="D60" s="168"/>
      <c r="E60" s="168"/>
      <c r="F60" s="488"/>
      <c r="G60" s="489"/>
      <c r="H60" s="489"/>
      <c r="I60" s="489"/>
      <c r="J60" s="489"/>
      <c r="K60" s="489"/>
      <c r="L60" s="489"/>
      <c r="M60" s="490"/>
      <c r="N60" s="167"/>
      <c r="O60" s="165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69"/>
      <c r="D61" s="170"/>
      <c r="E61" s="170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229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66" t="s">
        <v>2</v>
      </c>
      <c r="D63" s="166" t="s">
        <v>37</v>
      </c>
      <c r="E63" s="166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66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161"/>
      <c r="E64" s="164" t="s">
        <v>231</v>
      </c>
      <c r="F64" s="473" t="s">
        <v>230</v>
      </c>
      <c r="G64" s="474"/>
      <c r="H64" s="474"/>
      <c r="I64" s="474"/>
      <c r="J64" s="475"/>
      <c r="K64" s="461" t="s">
        <v>140</v>
      </c>
      <c r="L64" s="461"/>
      <c r="M64" s="51" t="s">
        <v>232</v>
      </c>
      <c r="N64" s="470" t="s">
        <v>208</v>
      </c>
      <c r="O64" s="470"/>
      <c r="P64" s="471">
        <v>100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122</v>
      </c>
      <c r="D65" s="161"/>
      <c r="E65" s="164"/>
      <c r="F65" s="473" t="s">
        <v>233</v>
      </c>
      <c r="G65" s="474"/>
      <c r="H65" s="474"/>
      <c r="I65" s="474"/>
      <c r="J65" s="475"/>
      <c r="K65" s="461" t="s">
        <v>118</v>
      </c>
      <c r="L65" s="461"/>
      <c r="M65" s="51" t="s">
        <v>133</v>
      </c>
      <c r="N65" s="470" t="s">
        <v>141</v>
      </c>
      <c r="O65" s="470"/>
      <c r="P65" s="471">
        <v>50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120</v>
      </c>
      <c r="D66" s="161"/>
      <c r="E66" s="164" t="s">
        <v>115</v>
      </c>
      <c r="F66" s="473" t="s">
        <v>234</v>
      </c>
      <c r="G66" s="474"/>
      <c r="H66" s="474"/>
      <c r="I66" s="474"/>
      <c r="J66" s="475"/>
      <c r="K66" s="461" t="s">
        <v>123</v>
      </c>
      <c r="L66" s="461"/>
      <c r="M66" s="51" t="s">
        <v>133</v>
      </c>
      <c r="N66" s="470" t="s">
        <v>149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161"/>
      <c r="E67" s="164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161"/>
      <c r="E68" s="164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161"/>
      <c r="E69" s="164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61"/>
      <c r="E70" s="164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61"/>
      <c r="E71" s="164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61"/>
      <c r="E72" s="164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61"/>
      <c r="E73" s="164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235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63" t="s">
        <v>2</v>
      </c>
      <c r="D75" s="163" t="s">
        <v>37</v>
      </c>
      <c r="E75" s="163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62" t="s">
        <v>112</v>
      </c>
      <c r="D76" s="162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61"/>
      <c r="D77" s="161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61"/>
      <c r="D78" s="161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61"/>
      <c r="D79" s="161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61"/>
      <c r="D80" s="161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61"/>
      <c r="D81" s="161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61"/>
      <c r="D82" s="161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236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189C-694A-4DB1-AD91-2CD7D48ACBC0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237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3749</v>
      </c>
      <c r="K6" s="15">
        <f>L6</f>
        <v>3749</v>
      </c>
      <c r="L6" s="15">
        <f>3149+600</f>
        <v>3749</v>
      </c>
      <c r="M6" s="15">
        <f t="shared" ref="M6:M21" si="0">L6-N6</f>
        <v>3749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16</v>
      </c>
      <c r="Q6" s="40">
        <f t="shared" ref="Q6:Q21" si="3">SUM(R6:AA6)</f>
        <v>8</v>
      </c>
      <c r="R6" s="7"/>
      <c r="S6" s="6">
        <v>8</v>
      </c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0.66666666666666663</v>
      </c>
      <c r="AD6" s="10">
        <f t="shared" ref="AD6:AD21" si="6">AC6*AB6*(1-O6)</f>
        <v>0.66666666666666663</v>
      </c>
      <c r="AE6" s="36">
        <f t="shared" ref="AE6:AE21" si="7">$AD$22</f>
        <v>0.47395833333333331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4292</v>
      </c>
      <c r="K7" s="15">
        <f>L7+11840+19918+14488</f>
        <v>50538</v>
      </c>
      <c r="L7" s="15">
        <f>2146*2</f>
        <v>4292</v>
      </c>
      <c r="M7" s="15">
        <f t="shared" si="0"/>
        <v>4292</v>
      </c>
      <c r="N7" s="15">
        <v>0</v>
      </c>
      <c r="O7" s="58">
        <f t="shared" si="1"/>
        <v>0</v>
      </c>
      <c r="P7" s="39">
        <f t="shared" si="2"/>
        <v>10</v>
      </c>
      <c r="Q7" s="40">
        <f t="shared" si="3"/>
        <v>14</v>
      </c>
      <c r="R7" s="7"/>
      <c r="S7" s="6">
        <v>14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0.41666666666666669</v>
      </c>
      <c r="AD7" s="10">
        <f t="shared" si="6"/>
        <v>0.41666666666666669</v>
      </c>
      <c r="AE7" s="36">
        <f t="shared" si="7"/>
        <v>0.47395833333333331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</f>
        <v>353393</v>
      </c>
      <c r="L8" s="15">
        <f>2462*4</f>
        <v>9848</v>
      </c>
      <c r="M8" s="15">
        <f t="shared" si="0"/>
        <v>9848</v>
      </c>
      <c r="N8" s="15">
        <v>0</v>
      </c>
      <c r="O8" s="58">
        <f t="shared" si="1"/>
        <v>0</v>
      </c>
      <c r="P8" s="39">
        <f t="shared" si="2"/>
        <v>11</v>
      </c>
      <c r="Q8" s="40">
        <f t="shared" si="3"/>
        <v>13</v>
      </c>
      <c r="R8" s="7"/>
      <c r="S8" s="6">
        <v>13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6">
        <f t="shared" si="7"/>
        <v>0.47395833333333331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0.47395833333333331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25812</v>
      </c>
      <c r="K10" s="15">
        <f>L10+25196+23668+24836+25088+24940+25884+1424+10400+18588+26072</f>
        <v>231908</v>
      </c>
      <c r="L10" s="15">
        <f>3192*4+3261*4</f>
        <v>25812</v>
      </c>
      <c r="M10" s="15">
        <f t="shared" si="0"/>
        <v>25812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0.47395833333333331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122</v>
      </c>
      <c r="D11" s="52" t="s">
        <v>115</v>
      </c>
      <c r="E11" s="53" t="s">
        <v>190</v>
      </c>
      <c r="F11" s="30" t="s">
        <v>191</v>
      </c>
      <c r="G11" s="33">
        <v>1</v>
      </c>
      <c r="H11" s="35">
        <v>24</v>
      </c>
      <c r="I11" s="7">
        <v>11000</v>
      </c>
      <c r="J11" s="14">
        <v>4980</v>
      </c>
      <c r="K11" s="15">
        <f>L11+3348+5246+5242</f>
        <v>18816</v>
      </c>
      <c r="L11" s="15">
        <f>2581+2399</f>
        <v>4980</v>
      </c>
      <c r="M11" s="15">
        <f t="shared" si="0"/>
        <v>4980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ref="AD11:AD14" si="9">AC11*AB11*(1-O11)</f>
        <v>1</v>
      </c>
      <c r="AE11" s="36">
        <f t="shared" si="7"/>
        <v>0.47395833333333331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238</v>
      </c>
      <c r="F12" s="30" t="s">
        <v>239</v>
      </c>
      <c r="G12" s="12">
        <v>1</v>
      </c>
      <c r="H12" s="13">
        <v>28</v>
      </c>
      <c r="I12" s="31">
        <v>1000</v>
      </c>
      <c r="J12" s="5">
        <v>1120</v>
      </c>
      <c r="K12" s="15">
        <f>L12</f>
        <v>1120</v>
      </c>
      <c r="L12" s="15">
        <f>509+611</f>
        <v>1120</v>
      </c>
      <c r="M12" s="15">
        <f t="shared" si="0"/>
        <v>1120</v>
      </c>
      <c r="N12" s="15">
        <v>0</v>
      </c>
      <c r="O12" s="58">
        <f t="shared" si="1"/>
        <v>0</v>
      </c>
      <c r="P12" s="39">
        <f t="shared" si="2"/>
        <v>7</v>
      </c>
      <c r="Q12" s="40">
        <f t="shared" si="3"/>
        <v>17</v>
      </c>
      <c r="R12" s="7"/>
      <c r="S12" s="6"/>
      <c r="T12" s="16"/>
      <c r="U12" s="16"/>
      <c r="V12" s="17"/>
      <c r="W12" s="5">
        <v>17</v>
      </c>
      <c r="X12" s="16"/>
      <c r="Y12" s="16"/>
      <c r="Z12" s="16"/>
      <c r="AA12" s="18"/>
      <c r="AB12" s="8">
        <f t="shared" si="4"/>
        <v>1</v>
      </c>
      <c r="AC12" s="9">
        <f t="shared" si="5"/>
        <v>0.29166666666666669</v>
      </c>
      <c r="AD12" s="10">
        <f t="shared" si="9"/>
        <v>0.29166666666666669</v>
      </c>
      <c r="AE12" s="36">
        <f t="shared" si="7"/>
        <v>0.47395833333333331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800000</v>
      </c>
      <c r="J13" s="5">
        <v>27388</v>
      </c>
      <c r="K13" s="15">
        <f>L13+14284+8352+12576+8310+15524+17860+22424+23088+2420+23364+22844+15980+12148+8056+16415+23304+22652+18028+24560+16004+23972+26116+28148+12884+27980+28568+27912+29148+22636+20804+27276+24808+27356+26324+8180+24572+26784</f>
        <v>769049</v>
      </c>
      <c r="L13" s="15">
        <f>3454*4+3393*4</f>
        <v>27388</v>
      </c>
      <c r="M13" s="15">
        <f t="shared" si="0"/>
        <v>27388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0.47395833333333331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0.47395833333333331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</f>
        <v>14852</v>
      </c>
      <c r="L15" s="15">
        <f>2988+2769</f>
        <v>5757</v>
      </c>
      <c r="M15" s="15">
        <f t="shared" si="0"/>
        <v>5757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0.47395833333333331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0.47395833333333331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0.47395833333333331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131</v>
      </c>
      <c r="E18" s="53" t="s">
        <v>240</v>
      </c>
      <c r="F18" s="30" t="s">
        <v>241</v>
      </c>
      <c r="G18" s="33">
        <v>1</v>
      </c>
      <c r="H18" s="35">
        <v>24</v>
      </c>
      <c r="I18" s="7">
        <v>7000</v>
      </c>
      <c r="J18" s="14">
        <v>3125</v>
      </c>
      <c r="K18" s="15">
        <f>L18</f>
        <v>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0.47395833333333331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18856</v>
      </c>
      <c r="K19" s="15">
        <f>L19+9612+11036+20524+15980+18940+25128</f>
        <v>120076</v>
      </c>
      <c r="L19" s="15">
        <f>3205*4+1509*4</f>
        <v>18856</v>
      </c>
      <c r="M19" s="15">
        <f t="shared" si="0"/>
        <v>18856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6"/>
        <v>0.75</v>
      </c>
      <c r="AE19" s="36">
        <f t="shared" si="7"/>
        <v>0.47395833333333331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3</v>
      </c>
      <c r="H20" s="13">
        <v>28</v>
      </c>
      <c r="I20" s="31">
        <v>150000</v>
      </c>
      <c r="J20" s="5">
        <v>23796</v>
      </c>
      <c r="K20" s="15">
        <f>L20</f>
        <v>23796</v>
      </c>
      <c r="L20" s="15">
        <f>3429*4+2520*4</f>
        <v>23796</v>
      </c>
      <c r="M20" s="15">
        <f t="shared" si="0"/>
        <v>23796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0.47395833333333331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0.47395833333333331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2944800</v>
      </c>
      <c r="J22" s="19">
        <f t="shared" si="10"/>
        <v>176859</v>
      </c>
      <c r="K22" s="20">
        <f t="shared" si="10"/>
        <v>1819935</v>
      </c>
      <c r="L22" s="21">
        <f t="shared" si="10"/>
        <v>125598</v>
      </c>
      <c r="M22" s="20">
        <f t="shared" si="10"/>
        <v>125598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182</v>
      </c>
      <c r="Q22" s="43">
        <f t="shared" si="11"/>
        <v>202</v>
      </c>
      <c r="R22" s="23">
        <f t="shared" si="11"/>
        <v>24</v>
      </c>
      <c r="S22" s="24">
        <f t="shared" si="11"/>
        <v>89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41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0.625</v>
      </c>
      <c r="AC22" s="4">
        <f>AVERAGE(AC6:AC21)</f>
        <v>0.47395833333333331</v>
      </c>
      <c r="AD22" s="4">
        <f>AVERAGE(AD6:AD21)</f>
        <v>0.47395833333333331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242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243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75" t="s">
        <v>46</v>
      </c>
      <c r="D51" s="175" t="s">
        <v>47</v>
      </c>
      <c r="E51" s="175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75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120</v>
      </c>
      <c r="B52" s="501"/>
      <c r="C52" s="176" t="s">
        <v>226</v>
      </c>
      <c r="D52" s="176" t="s">
        <v>115</v>
      </c>
      <c r="E52" s="178" t="s">
        <v>152</v>
      </c>
      <c r="F52" s="488" t="s">
        <v>132</v>
      </c>
      <c r="G52" s="489"/>
      <c r="H52" s="489"/>
      <c r="I52" s="489"/>
      <c r="J52" s="489"/>
      <c r="K52" s="489"/>
      <c r="L52" s="489"/>
      <c r="M52" s="490"/>
      <c r="N52" s="177" t="s">
        <v>119</v>
      </c>
      <c r="O52" s="183" t="s">
        <v>195</v>
      </c>
      <c r="P52" s="502" t="s">
        <v>115</v>
      </c>
      <c r="Q52" s="503"/>
      <c r="R52" s="502" t="s">
        <v>172</v>
      </c>
      <c r="S52" s="504"/>
      <c r="T52" s="504"/>
      <c r="U52" s="503"/>
      <c r="V52" s="472" t="s">
        <v>148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178" t="s">
        <v>150</v>
      </c>
      <c r="D53" s="178" t="s">
        <v>128</v>
      </c>
      <c r="E53" s="178" t="s">
        <v>176</v>
      </c>
      <c r="F53" s="488" t="s">
        <v>206</v>
      </c>
      <c r="G53" s="489"/>
      <c r="H53" s="489"/>
      <c r="I53" s="489"/>
      <c r="J53" s="489"/>
      <c r="K53" s="489"/>
      <c r="L53" s="489"/>
      <c r="M53" s="490"/>
      <c r="N53" s="177" t="s">
        <v>112</v>
      </c>
      <c r="O53" s="183" t="s">
        <v>149</v>
      </c>
      <c r="P53" s="502" t="s">
        <v>130</v>
      </c>
      <c r="Q53" s="503"/>
      <c r="R53" s="502" t="s">
        <v>244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112</v>
      </c>
      <c r="B54" s="487"/>
      <c r="C54" s="178" t="s">
        <v>141</v>
      </c>
      <c r="D54" s="178" t="s">
        <v>115</v>
      </c>
      <c r="E54" s="178" t="s">
        <v>238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177"/>
      <c r="O54" s="183"/>
      <c r="P54" s="502"/>
      <c r="Q54" s="503"/>
      <c r="R54" s="502"/>
      <c r="S54" s="504"/>
      <c r="T54" s="504"/>
      <c r="U54" s="503"/>
      <c r="V54" s="472"/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178" t="s">
        <v>182</v>
      </c>
      <c r="D55" s="178" t="s">
        <v>115</v>
      </c>
      <c r="E55" s="178" t="s">
        <v>157</v>
      </c>
      <c r="F55" s="488" t="s">
        <v>200</v>
      </c>
      <c r="G55" s="489"/>
      <c r="H55" s="489"/>
      <c r="I55" s="489"/>
      <c r="J55" s="489"/>
      <c r="K55" s="489"/>
      <c r="L55" s="489"/>
      <c r="M55" s="490"/>
      <c r="N55" s="177"/>
      <c r="O55" s="183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178"/>
      <c r="D56" s="176"/>
      <c r="E56" s="178"/>
      <c r="F56" s="488"/>
      <c r="G56" s="489"/>
      <c r="H56" s="489"/>
      <c r="I56" s="489"/>
      <c r="J56" s="489"/>
      <c r="K56" s="489"/>
      <c r="L56" s="489"/>
      <c r="M56" s="490"/>
      <c r="N56" s="177"/>
      <c r="O56" s="183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176"/>
      <c r="D57" s="176"/>
      <c r="E57" s="178"/>
      <c r="F57" s="488"/>
      <c r="G57" s="489"/>
      <c r="H57" s="489"/>
      <c r="I57" s="489"/>
      <c r="J57" s="489"/>
      <c r="K57" s="489"/>
      <c r="L57" s="489"/>
      <c r="M57" s="490"/>
      <c r="N57" s="177"/>
      <c r="O57" s="183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176"/>
      <c r="D58" s="176"/>
      <c r="E58" s="178"/>
      <c r="F58" s="488"/>
      <c r="G58" s="489"/>
      <c r="H58" s="489"/>
      <c r="I58" s="489"/>
      <c r="J58" s="489"/>
      <c r="K58" s="489"/>
      <c r="L58" s="489"/>
      <c r="M58" s="490"/>
      <c r="N58" s="177"/>
      <c r="O58" s="183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176"/>
      <c r="D59" s="176"/>
      <c r="E59" s="178"/>
      <c r="F59" s="488"/>
      <c r="G59" s="489"/>
      <c r="H59" s="489"/>
      <c r="I59" s="489"/>
      <c r="J59" s="489"/>
      <c r="K59" s="489"/>
      <c r="L59" s="489"/>
      <c r="M59" s="490"/>
      <c r="N59" s="177"/>
      <c r="O59" s="183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78"/>
      <c r="D60" s="178"/>
      <c r="E60" s="178"/>
      <c r="F60" s="488"/>
      <c r="G60" s="489"/>
      <c r="H60" s="489"/>
      <c r="I60" s="489"/>
      <c r="J60" s="489"/>
      <c r="K60" s="489"/>
      <c r="L60" s="489"/>
      <c r="M60" s="490"/>
      <c r="N60" s="177"/>
      <c r="O60" s="183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79"/>
      <c r="D61" s="180"/>
      <c r="E61" s="180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245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81" t="s">
        <v>2</v>
      </c>
      <c r="D63" s="181" t="s">
        <v>37</v>
      </c>
      <c r="E63" s="181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81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185"/>
      <c r="E64" s="182" t="s">
        <v>131</v>
      </c>
      <c r="F64" s="473" t="s">
        <v>240</v>
      </c>
      <c r="G64" s="474"/>
      <c r="H64" s="474"/>
      <c r="I64" s="474"/>
      <c r="J64" s="475"/>
      <c r="K64" s="461" t="s">
        <v>241</v>
      </c>
      <c r="L64" s="461"/>
      <c r="M64" s="51" t="s">
        <v>246</v>
      </c>
      <c r="N64" s="470" t="s">
        <v>149</v>
      </c>
      <c r="O64" s="470"/>
      <c r="P64" s="471"/>
      <c r="Q64" s="471"/>
      <c r="R64" s="472" t="s">
        <v>247</v>
      </c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 t="s">
        <v>119</v>
      </c>
      <c r="D65" s="185"/>
      <c r="E65" s="182" t="s">
        <v>128</v>
      </c>
      <c r="F65" s="473" t="s">
        <v>176</v>
      </c>
      <c r="G65" s="474"/>
      <c r="H65" s="474"/>
      <c r="I65" s="474"/>
      <c r="J65" s="475"/>
      <c r="K65" s="461" t="s">
        <v>127</v>
      </c>
      <c r="L65" s="461"/>
      <c r="M65" s="51" t="s">
        <v>133</v>
      </c>
      <c r="N65" s="470" t="s">
        <v>150</v>
      </c>
      <c r="O65" s="470"/>
      <c r="P65" s="471">
        <v>50</v>
      </c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 t="s">
        <v>120</v>
      </c>
      <c r="D66" s="185"/>
      <c r="E66" s="182" t="s">
        <v>160</v>
      </c>
      <c r="F66" s="473" t="s">
        <v>248</v>
      </c>
      <c r="G66" s="474"/>
      <c r="H66" s="474"/>
      <c r="I66" s="474"/>
      <c r="J66" s="475"/>
      <c r="K66" s="461" t="s">
        <v>161</v>
      </c>
      <c r="L66" s="461"/>
      <c r="M66" s="51" t="s">
        <v>133</v>
      </c>
      <c r="N66" s="470" t="s">
        <v>150</v>
      </c>
      <c r="O66" s="470"/>
      <c r="P66" s="471">
        <v>50</v>
      </c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 t="s">
        <v>112</v>
      </c>
      <c r="D67" s="185"/>
      <c r="E67" s="182" t="s">
        <v>128</v>
      </c>
      <c r="F67" s="473" t="s">
        <v>249</v>
      </c>
      <c r="G67" s="474"/>
      <c r="H67" s="474"/>
      <c r="I67" s="474"/>
      <c r="J67" s="475"/>
      <c r="K67" s="461">
        <v>8301</v>
      </c>
      <c r="L67" s="461"/>
      <c r="M67" s="51" t="s">
        <v>133</v>
      </c>
      <c r="N67" s="470" t="s">
        <v>250</v>
      </c>
      <c r="O67" s="470"/>
      <c r="P67" s="471">
        <v>50</v>
      </c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 t="s">
        <v>120</v>
      </c>
      <c r="D68" s="185"/>
      <c r="E68" s="182" t="s">
        <v>131</v>
      </c>
      <c r="F68" s="473" t="s">
        <v>251</v>
      </c>
      <c r="G68" s="474"/>
      <c r="H68" s="474"/>
      <c r="I68" s="474"/>
      <c r="J68" s="475"/>
      <c r="K68" s="461" t="s">
        <v>123</v>
      </c>
      <c r="L68" s="461"/>
      <c r="M68" s="51" t="s">
        <v>232</v>
      </c>
      <c r="N68" s="470" t="s">
        <v>208</v>
      </c>
      <c r="O68" s="470"/>
      <c r="P68" s="471">
        <v>200</v>
      </c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 t="s">
        <v>119</v>
      </c>
      <c r="D69" s="185"/>
      <c r="E69" s="182" t="s">
        <v>138</v>
      </c>
      <c r="F69" s="473" t="s">
        <v>252</v>
      </c>
      <c r="G69" s="474"/>
      <c r="H69" s="474"/>
      <c r="I69" s="474"/>
      <c r="J69" s="475"/>
      <c r="K69" s="461" t="s">
        <v>189</v>
      </c>
      <c r="L69" s="461"/>
      <c r="M69" s="51" t="s">
        <v>133</v>
      </c>
      <c r="N69" s="470" t="s">
        <v>147</v>
      </c>
      <c r="O69" s="470"/>
      <c r="P69" s="471">
        <v>200</v>
      </c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85"/>
      <c r="E70" s="182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85"/>
      <c r="E71" s="182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85"/>
      <c r="E72" s="182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85"/>
      <c r="E73" s="182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253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84" t="s">
        <v>2</v>
      </c>
      <c r="D75" s="184" t="s">
        <v>37</v>
      </c>
      <c r="E75" s="184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86" t="s">
        <v>112</v>
      </c>
      <c r="D76" s="186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85"/>
      <c r="D77" s="185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85"/>
      <c r="D78" s="185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85"/>
      <c r="D79" s="185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85"/>
      <c r="D80" s="185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85"/>
      <c r="D81" s="185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85"/>
      <c r="D82" s="185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254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4E90-68B1-46F9-A19B-8E45F39FA254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255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199" t="s">
        <v>17</v>
      </c>
      <c r="L5" s="199" t="s">
        <v>18</v>
      </c>
      <c r="M5" s="199" t="s">
        <v>19</v>
      </c>
      <c r="N5" s="19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6136</v>
      </c>
      <c r="K6" s="15">
        <f>L6+3749</f>
        <v>9885</v>
      </c>
      <c r="L6" s="15">
        <f>3085+3051</f>
        <v>6136</v>
      </c>
      <c r="M6" s="15">
        <f t="shared" ref="M6:M21" si="0">L6-N6</f>
        <v>6136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24</v>
      </c>
      <c r="Q6" s="40">
        <f t="shared" ref="Q6:Q21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1</v>
      </c>
      <c r="AD6" s="10">
        <f t="shared" ref="AD6:AD21" si="6">AC6*AB6*(1-O6)</f>
        <v>1</v>
      </c>
      <c r="AE6" s="36">
        <f t="shared" ref="AE6:AE21" si="7">$AD$22</f>
        <v>0.34895833333333331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4292</v>
      </c>
      <c r="K7" s="15">
        <f>L7+11840+19918+14488+4292</f>
        <v>50538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>
        <v>24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0.34895833333333331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0.34895833333333331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0.34895833333333331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25952</v>
      </c>
      <c r="K10" s="15">
        <f>L10+25196+23668+24836+25088+24940+25884+1424+10400+18588+26072+25812</f>
        <v>257860</v>
      </c>
      <c r="L10" s="15">
        <f>3316*4+3172*4</f>
        <v>25952</v>
      </c>
      <c r="M10" s="15">
        <f t="shared" si="0"/>
        <v>25952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0.34895833333333331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119</v>
      </c>
      <c r="D11" s="52" t="s">
        <v>115</v>
      </c>
      <c r="E11" s="53" t="s">
        <v>172</v>
      </c>
      <c r="F11" s="30" t="s">
        <v>129</v>
      </c>
      <c r="G11" s="33">
        <v>1</v>
      </c>
      <c r="H11" s="35">
        <v>24</v>
      </c>
      <c r="I11" s="7">
        <v>6000</v>
      </c>
      <c r="J11" s="14">
        <v>450</v>
      </c>
      <c r="K11" s="15">
        <f>L11</f>
        <v>450</v>
      </c>
      <c r="L11" s="15">
        <v>450</v>
      </c>
      <c r="M11" s="15">
        <f t="shared" si="0"/>
        <v>450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>
        <v>20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 t="shared" ref="AD11:AD14" si="9">AC11*AB11*(1-O11)</f>
        <v>0.16666666666666666</v>
      </c>
      <c r="AE11" s="36">
        <f t="shared" si="7"/>
        <v>0.34895833333333331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238</v>
      </c>
      <c r="F12" s="30" t="s">
        <v>239</v>
      </c>
      <c r="G12" s="12">
        <v>1</v>
      </c>
      <c r="H12" s="13">
        <v>28</v>
      </c>
      <c r="I12" s="31">
        <v>1000</v>
      </c>
      <c r="J12" s="5">
        <v>1120</v>
      </c>
      <c r="K12" s="15">
        <f>L12+1120</f>
        <v>1120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si="9"/>
        <v>0</v>
      </c>
      <c r="AE12" s="36">
        <f t="shared" si="7"/>
        <v>0.34895833333333331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800000</v>
      </c>
      <c r="J13" s="5">
        <v>26976</v>
      </c>
      <c r="K13" s="15">
        <f>L13+14284+8352+12576+8310+15524+17860+22424+23088+2420+23364+22844+15980+12148+8056+16415+23304+22652+18028+24560+16004+23972+26116+28148+12884+27980+28568+27912+29148+22636+20804+27276+24808+27356+26324+8180+24572+26784+27388</f>
        <v>796025</v>
      </c>
      <c r="L13" s="15">
        <f>3342*4+3402*4</f>
        <v>26976</v>
      </c>
      <c r="M13" s="15">
        <f t="shared" si="0"/>
        <v>26976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0.34895833333333331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0.34895833333333331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0.34895833333333331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0.34895833333333331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0.34895833333333331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130</v>
      </c>
      <c r="E18" s="53" t="s">
        <v>244</v>
      </c>
      <c r="F18" s="30" t="s">
        <v>256</v>
      </c>
      <c r="G18" s="33">
        <v>1</v>
      </c>
      <c r="H18" s="35">
        <v>24</v>
      </c>
      <c r="I18" s="7">
        <v>2500</v>
      </c>
      <c r="J18" s="14">
        <v>1703</v>
      </c>
      <c r="K18" s="15">
        <f>L18</f>
        <v>1703</v>
      </c>
      <c r="L18" s="15">
        <v>1703</v>
      </c>
      <c r="M18" s="15">
        <f t="shared" si="0"/>
        <v>1703</v>
      </c>
      <c r="N18" s="15">
        <v>0</v>
      </c>
      <c r="O18" s="58">
        <f t="shared" si="1"/>
        <v>0</v>
      </c>
      <c r="P18" s="39">
        <f t="shared" si="2"/>
        <v>10</v>
      </c>
      <c r="Q18" s="40">
        <f t="shared" si="3"/>
        <v>14</v>
      </c>
      <c r="R18" s="7"/>
      <c r="S18" s="6">
        <v>14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0.41666666666666669</v>
      </c>
      <c r="AD18" s="10">
        <f t="shared" si="6"/>
        <v>0.41666666666666669</v>
      </c>
      <c r="AE18" s="36">
        <f t="shared" si="7"/>
        <v>0.34895833333333331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25256</v>
      </c>
      <c r="K19" s="15">
        <f>L19+9612+11036+20524+15980+18940+25128+18856</f>
        <v>145332</v>
      </c>
      <c r="L19" s="15">
        <f>3096*4+3218*4</f>
        <v>25256</v>
      </c>
      <c r="M19" s="15">
        <f t="shared" si="0"/>
        <v>25256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0.34895833333333331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3</v>
      </c>
      <c r="H20" s="13">
        <v>28</v>
      </c>
      <c r="I20" s="31">
        <v>150000</v>
      </c>
      <c r="J20" s="5">
        <v>26920</v>
      </c>
      <c r="K20" s="15">
        <f>L20+23796</f>
        <v>50716</v>
      </c>
      <c r="L20" s="15">
        <f>3401*4+3329*4</f>
        <v>26920</v>
      </c>
      <c r="M20" s="15">
        <f t="shared" si="0"/>
        <v>26920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0.34895833333333331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170</v>
      </c>
      <c r="F21" s="12" t="s">
        <v>114</v>
      </c>
      <c r="G21" s="12">
        <v>4</v>
      </c>
      <c r="H21" s="35">
        <v>20</v>
      </c>
      <c r="I21" s="7">
        <v>300000</v>
      </c>
      <c r="J21" s="14">
        <v>36084</v>
      </c>
      <c r="K21" s="15">
        <f>L21+28012+37064+34640+37752+36084</f>
        <v>173552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0.34895833333333331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2935300</v>
      </c>
      <c r="J22" s="19">
        <f t="shared" si="10"/>
        <v>182546</v>
      </c>
      <c r="K22" s="20">
        <f t="shared" si="10"/>
        <v>1914512</v>
      </c>
      <c r="L22" s="21">
        <f t="shared" si="10"/>
        <v>113393</v>
      </c>
      <c r="M22" s="20">
        <f t="shared" si="10"/>
        <v>113393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134</v>
      </c>
      <c r="Q22" s="43">
        <f t="shared" si="11"/>
        <v>250</v>
      </c>
      <c r="R22" s="23">
        <f t="shared" si="11"/>
        <v>24</v>
      </c>
      <c r="S22" s="24">
        <f t="shared" si="11"/>
        <v>106</v>
      </c>
      <c r="T22" s="24">
        <f t="shared" si="11"/>
        <v>0</v>
      </c>
      <c r="U22" s="24">
        <f t="shared" si="11"/>
        <v>0</v>
      </c>
      <c r="V22" s="25">
        <f t="shared" si="11"/>
        <v>24</v>
      </c>
      <c r="W22" s="26">
        <f t="shared" si="11"/>
        <v>72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0.4375</v>
      </c>
      <c r="AC22" s="4">
        <f>AVERAGE(AC6:AC21)</f>
        <v>0.34895833333333331</v>
      </c>
      <c r="AD22" s="4">
        <f>AVERAGE(AD6:AD21)</f>
        <v>0.34895833333333331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257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261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198" t="s">
        <v>46</v>
      </c>
      <c r="D51" s="198" t="s">
        <v>47</v>
      </c>
      <c r="E51" s="198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198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112</v>
      </c>
      <c r="B52" s="501"/>
      <c r="C52" s="197" t="s">
        <v>149</v>
      </c>
      <c r="D52" s="197" t="s">
        <v>130</v>
      </c>
      <c r="E52" s="194" t="s">
        <v>244</v>
      </c>
      <c r="F52" s="488" t="s">
        <v>258</v>
      </c>
      <c r="G52" s="489"/>
      <c r="H52" s="489"/>
      <c r="I52" s="489"/>
      <c r="J52" s="489"/>
      <c r="K52" s="489"/>
      <c r="L52" s="489"/>
      <c r="M52" s="490"/>
      <c r="N52" s="193" t="s">
        <v>119</v>
      </c>
      <c r="O52" s="191" t="s">
        <v>195</v>
      </c>
      <c r="P52" s="502" t="s">
        <v>115</v>
      </c>
      <c r="Q52" s="503"/>
      <c r="R52" s="502" t="s">
        <v>172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194" t="s">
        <v>195</v>
      </c>
      <c r="D53" s="194" t="s">
        <v>115</v>
      </c>
      <c r="E53" s="194" t="s">
        <v>259</v>
      </c>
      <c r="F53" s="488" t="s">
        <v>260</v>
      </c>
      <c r="G53" s="489"/>
      <c r="H53" s="489"/>
      <c r="I53" s="489"/>
      <c r="J53" s="489"/>
      <c r="K53" s="489"/>
      <c r="L53" s="489"/>
      <c r="M53" s="490"/>
      <c r="N53" s="193" t="s">
        <v>112</v>
      </c>
      <c r="O53" s="191" t="s">
        <v>141</v>
      </c>
      <c r="P53" s="502" t="s">
        <v>130</v>
      </c>
      <c r="Q53" s="503"/>
      <c r="R53" s="502" t="s">
        <v>244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/>
      <c r="B54" s="487"/>
      <c r="C54" s="194"/>
      <c r="D54" s="194"/>
      <c r="E54" s="194"/>
      <c r="F54" s="488"/>
      <c r="G54" s="489"/>
      <c r="H54" s="489"/>
      <c r="I54" s="489"/>
      <c r="J54" s="489"/>
      <c r="K54" s="489"/>
      <c r="L54" s="489"/>
      <c r="M54" s="490"/>
      <c r="N54" s="193" t="s">
        <v>119</v>
      </c>
      <c r="O54" s="191" t="s">
        <v>147</v>
      </c>
      <c r="P54" s="502" t="s">
        <v>160</v>
      </c>
      <c r="Q54" s="503"/>
      <c r="R54" s="502" t="s">
        <v>167</v>
      </c>
      <c r="S54" s="504"/>
      <c r="T54" s="504"/>
      <c r="U54" s="503"/>
      <c r="V54" s="472" t="s">
        <v>132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/>
      <c r="B55" s="487"/>
      <c r="C55" s="194"/>
      <c r="D55" s="194"/>
      <c r="E55" s="194"/>
      <c r="F55" s="488"/>
      <c r="G55" s="489"/>
      <c r="H55" s="489"/>
      <c r="I55" s="489"/>
      <c r="J55" s="489"/>
      <c r="K55" s="489"/>
      <c r="L55" s="489"/>
      <c r="M55" s="490"/>
      <c r="N55" s="193"/>
      <c r="O55" s="191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194"/>
      <c r="D56" s="197"/>
      <c r="E56" s="194"/>
      <c r="F56" s="488"/>
      <c r="G56" s="489"/>
      <c r="H56" s="489"/>
      <c r="I56" s="489"/>
      <c r="J56" s="489"/>
      <c r="K56" s="489"/>
      <c r="L56" s="489"/>
      <c r="M56" s="490"/>
      <c r="N56" s="193"/>
      <c r="O56" s="191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197"/>
      <c r="D57" s="197"/>
      <c r="E57" s="194"/>
      <c r="F57" s="488"/>
      <c r="G57" s="489"/>
      <c r="H57" s="489"/>
      <c r="I57" s="489"/>
      <c r="J57" s="489"/>
      <c r="K57" s="489"/>
      <c r="L57" s="489"/>
      <c r="M57" s="490"/>
      <c r="N57" s="193"/>
      <c r="O57" s="191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197"/>
      <c r="D58" s="197"/>
      <c r="E58" s="194"/>
      <c r="F58" s="488"/>
      <c r="G58" s="489"/>
      <c r="H58" s="489"/>
      <c r="I58" s="489"/>
      <c r="J58" s="489"/>
      <c r="K58" s="489"/>
      <c r="L58" s="489"/>
      <c r="M58" s="490"/>
      <c r="N58" s="193"/>
      <c r="O58" s="191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197"/>
      <c r="D59" s="197"/>
      <c r="E59" s="194"/>
      <c r="F59" s="488"/>
      <c r="G59" s="489"/>
      <c r="H59" s="489"/>
      <c r="I59" s="489"/>
      <c r="J59" s="489"/>
      <c r="K59" s="489"/>
      <c r="L59" s="489"/>
      <c r="M59" s="490"/>
      <c r="N59" s="193"/>
      <c r="O59" s="191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194"/>
      <c r="D60" s="194"/>
      <c r="E60" s="194"/>
      <c r="F60" s="488"/>
      <c r="G60" s="489"/>
      <c r="H60" s="489"/>
      <c r="I60" s="489"/>
      <c r="J60" s="489"/>
      <c r="K60" s="489"/>
      <c r="L60" s="489"/>
      <c r="M60" s="490"/>
      <c r="N60" s="193"/>
      <c r="O60" s="191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195"/>
      <c r="D61" s="196"/>
      <c r="E61" s="196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262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192" t="s">
        <v>2</v>
      </c>
      <c r="D63" s="192" t="s">
        <v>37</v>
      </c>
      <c r="E63" s="192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192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/>
      <c r="D64" s="187"/>
      <c r="E64" s="190"/>
      <c r="F64" s="473"/>
      <c r="G64" s="474"/>
      <c r="H64" s="474"/>
      <c r="I64" s="474"/>
      <c r="J64" s="475"/>
      <c r="K64" s="461"/>
      <c r="L64" s="461"/>
      <c r="M64" s="51"/>
      <c r="N64" s="470"/>
      <c r="O64" s="470"/>
      <c r="P64" s="471"/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187"/>
      <c r="E65" s="190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187"/>
      <c r="E66" s="190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187"/>
      <c r="E67" s="190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187"/>
      <c r="E68" s="190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187"/>
      <c r="E69" s="190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187"/>
      <c r="E70" s="190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187"/>
      <c r="E71" s="190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187"/>
      <c r="E72" s="190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187"/>
      <c r="E73" s="190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263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189" t="s">
        <v>2</v>
      </c>
      <c r="D75" s="189" t="s">
        <v>37</v>
      </c>
      <c r="E75" s="189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188" t="s">
        <v>112</v>
      </c>
      <c r="D76" s="188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187"/>
      <c r="D77" s="187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187"/>
      <c r="D78" s="187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187"/>
      <c r="D79" s="187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187"/>
      <c r="D80" s="187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187"/>
      <c r="D81" s="187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187"/>
      <c r="D82" s="187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264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3752-C082-42C4-A40D-7CC96613D0DF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265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00" t="s">
        <v>17</v>
      </c>
      <c r="L5" s="200" t="s">
        <v>18</v>
      </c>
      <c r="M5" s="200" t="s">
        <v>19</v>
      </c>
      <c r="N5" s="20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6101</v>
      </c>
      <c r="K6" s="15">
        <f>L6+3749+6136</f>
        <v>15986</v>
      </c>
      <c r="L6" s="15">
        <f>3217+2884</f>
        <v>6101</v>
      </c>
      <c r="M6" s="15">
        <f t="shared" ref="M6:M21" si="0">L6-N6</f>
        <v>6101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24</v>
      </c>
      <c r="Q6" s="40">
        <f t="shared" ref="Q6:Q21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1</v>
      </c>
      <c r="AD6" s="10">
        <f t="shared" ref="AD6:AD21" si="6">AC6*AB6*(1-O6)</f>
        <v>1</v>
      </c>
      <c r="AE6" s="36">
        <f t="shared" ref="AE6:AE21" si="7">$AD$22</f>
        <v>0.44270833333333331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19516</v>
      </c>
      <c r="K7" s="15">
        <f>L7+11840+19918+14488+4292</f>
        <v>70054</v>
      </c>
      <c r="L7" s="15">
        <f>3663*4+1216*4</f>
        <v>19516</v>
      </c>
      <c r="M7" s="15">
        <f t="shared" si="0"/>
        <v>19516</v>
      </c>
      <c r="N7" s="15">
        <v>0</v>
      </c>
      <c r="O7" s="58">
        <f t="shared" si="1"/>
        <v>0</v>
      </c>
      <c r="P7" s="39">
        <f t="shared" si="2"/>
        <v>18</v>
      </c>
      <c r="Q7" s="40">
        <f t="shared" si="3"/>
        <v>6</v>
      </c>
      <c r="R7" s="7"/>
      <c r="S7" s="6">
        <v>6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0.75</v>
      </c>
      <c r="AD7" s="10">
        <f t="shared" si="6"/>
        <v>0.75</v>
      </c>
      <c r="AE7" s="36">
        <f t="shared" si="7"/>
        <v>0.44270833333333331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0.44270833333333331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0.44270833333333331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25244</v>
      </c>
      <c r="K10" s="15">
        <f>L10+25196+23668+24836+25088+24940+25884+1424+10400+18588+26072+25812+25952</f>
        <v>283104</v>
      </c>
      <c r="L10" s="15">
        <f>3336*4+2975*4</f>
        <v>25244</v>
      </c>
      <c r="M10" s="15">
        <f t="shared" si="0"/>
        <v>25244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0.44270833333333331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119</v>
      </c>
      <c r="D11" s="52" t="s">
        <v>115</v>
      </c>
      <c r="E11" s="53" t="s">
        <v>172</v>
      </c>
      <c r="F11" s="30" t="s">
        <v>129</v>
      </c>
      <c r="G11" s="33">
        <v>1</v>
      </c>
      <c r="H11" s="35">
        <v>24</v>
      </c>
      <c r="I11" s="7">
        <v>6000</v>
      </c>
      <c r="J11" s="14">
        <v>450</v>
      </c>
      <c r="K11" s="15">
        <f>L11+450</f>
        <v>450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ref="AD11:AD14" si="9">AC11*AB11*(1-O11)</f>
        <v>0</v>
      </c>
      <c r="AE11" s="36">
        <f t="shared" si="7"/>
        <v>0.44270833333333331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900</v>
      </c>
      <c r="K12" s="15">
        <f>L12</f>
        <v>900</v>
      </c>
      <c r="L12" s="15">
        <v>900</v>
      </c>
      <c r="M12" s="15">
        <f t="shared" si="0"/>
        <v>900</v>
      </c>
      <c r="N12" s="15">
        <v>0</v>
      </c>
      <c r="O12" s="58">
        <f t="shared" si="1"/>
        <v>0</v>
      </c>
      <c r="P12" s="39">
        <f t="shared" si="2"/>
        <v>6</v>
      </c>
      <c r="Q12" s="40">
        <f t="shared" si="3"/>
        <v>18</v>
      </c>
      <c r="R12" s="7"/>
      <c r="S12" s="6">
        <v>18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0.25</v>
      </c>
      <c r="AD12" s="10">
        <f t="shared" si="9"/>
        <v>0.25</v>
      </c>
      <c r="AE12" s="36">
        <f t="shared" si="7"/>
        <v>0.44270833333333331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800000</v>
      </c>
      <c r="J13" s="5">
        <v>20216</v>
      </c>
      <c r="K13" s="15">
        <f>L13+14284+8352+12576+8310+15524+17860+22424+23088+2420+23364+22844+15980+12148+8056+16415+23304+22652+18028+24560+16004+23972+26116+28148+12884+27980+28568+27912+29148+22636+20804+27276+24808+27356+26324+8180+24572+26784+27388+26976</f>
        <v>816241</v>
      </c>
      <c r="L13" s="15">
        <f>1510*4+3544*4</f>
        <v>20216</v>
      </c>
      <c r="M13" s="15">
        <f t="shared" si="0"/>
        <v>20216</v>
      </c>
      <c r="N13" s="15">
        <v>0</v>
      </c>
      <c r="O13" s="58">
        <f t="shared" si="1"/>
        <v>0</v>
      </c>
      <c r="P13" s="39">
        <f t="shared" si="2"/>
        <v>19</v>
      </c>
      <c r="Q13" s="40">
        <f t="shared" si="3"/>
        <v>5</v>
      </c>
      <c r="R13" s="7"/>
      <c r="S13" s="6">
        <v>5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0.79166666666666663</v>
      </c>
      <c r="AD13" s="10">
        <f>AC13*AB13*(1-O13)</f>
        <v>0.79166666666666663</v>
      </c>
      <c r="AE13" s="36">
        <f t="shared" si="7"/>
        <v>0.44270833333333331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0.44270833333333331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0.44270833333333331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0.44270833333333331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0.44270833333333331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130</v>
      </c>
      <c r="E18" s="53" t="s">
        <v>244</v>
      </c>
      <c r="F18" s="30" t="s">
        <v>256</v>
      </c>
      <c r="G18" s="33">
        <v>1</v>
      </c>
      <c r="H18" s="35">
        <v>24</v>
      </c>
      <c r="I18" s="7">
        <v>2500</v>
      </c>
      <c r="J18" s="14">
        <v>4686</v>
      </c>
      <c r="K18" s="15">
        <f>L18+1703</f>
        <v>6389</v>
      </c>
      <c r="L18" s="15">
        <f>1139+3547</f>
        <v>4686</v>
      </c>
      <c r="M18" s="15">
        <f t="shared" si="0"/>
        <v>4686</v>
      </c>
      <c r="N18" s="15">
        <v>0</v>
      </c>
      <c r="O18" s="58">
        <f t="shared" si="1"/>
        <v>0</v>
      </c>
      <c r="P18" s="39">
        <f t="shared" si="2"/>
        <v>21</v>
      </c>
      <c r="Q18" s="40">
        <f t="shared" si="3"/>
        <v>3</v>
      </c>
      <c r="R18" s="7"/>
      <c r="S18" s="6">
        <v>3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0.875</v>
      </c>
      <c r="AD18" s="10">
        <f t="shared" si="6"/>
        <v>0.875</v>
      </c>
      <c r="AE18" s="36">
        <f t="shared" si="7"/>
        <v>0.44270833333333331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23464</v>
      </c>
      <c r="K19" s="15">
        <f>L19+9612+11036+20524+15980+18940+25128+18856+25256</f>
        <v>168796</v>
      </c>
      <c r="L19" s="15">
        <f>2580*4+3286*4</f>
        <v>23464</v>
      </c>
      <c r="M19" s="15">
        <f t="shared" si="0"/>
        <v>23464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0.44270833333333331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3</v>
      </c>
      <c r="H20" s="13">
        <v>28</v>
      </c>
      <c r="I20" s="31">
        <v>150000</v>
      </c>
      <c r="J20" s="5">
        <v>25064</v>
      </c>
      <c r="K20" s="15">
        <f>L20+23796+26920</f>
        <v>75780</v>
      </c>
      <c r="L20" s="15">
        <f>3500*4+2766*4</f>
        <v>25064</v>
      </c>
      <c r="M20" s="15">
        <f t="shared" si="0"/>
        <v>25064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0.44270833333333331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28876</v>
      </c>
      <c r="K21" s="15">
        <f>L21</f>
        <v>28876</v>
      </c>
      <c r="L21" s="15">
        <f>7219*4</f>
        <v>28876</v>
      </c>
      <c r="M21" s="15">
        <f t="shared" si="0"/>
        <v>28876</v>
      </c>
      <c r="N21" s="15">
        <v>0</v>
      </c>
      <c r="O21" s="58">
        <f t="shared" si="1"/>
        <v>0</v>
      </c>
      <c r="P21" s="39">
        <f t="shared" si="2"/>
        <v>10</v>
      </c>
      <c r="Q21" s="40">
        <f t="shared" si="3"/>
        <v>14</v>
      </c>
      <c r="R21" s="7"/>
      <c r="S21" s="6"/>
      <c r="T21" s="16"/>
      <c r="U21" s="16"/>
      <c r="V21" s="17">
        <v>14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0.41666666666666669</v>
      </c>
      <c r="AD21" s="10">
        <f t="shared" si="6"/>
        <v>0.41666666666666669</v>
      </c>
      <c r="AE21" s="36">
        <f t="shared" si="7"/>
        <v>0.44270833333333331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2957300</v>
      </c>
      <c r="J22" s="19">
        <f t="shared" si="10"/>
        <v>182174</v>
      </c>
      <c r="K22" s="20">
        <f t="shared" si="10"/>
        <v>1893907</v>
      </c>
      <c r="L22" s="21">
        <f t="shared" si="10"/>
        <v>154067</v>
      </c>
      <c r="M22" s="20">
        <f t="shared" si="10"/>
        <v>154067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170</v>
      </c>
      <c r="Q22" s="43">
        <f t="shared" si="11"/>
        <v>214</v>
      </c>
      <c r="R22" s="23">
        <f t="shared" si="11"/>
        <v>24</v>
      </c>
      <c r="S22" s="24">
        <f t="shared" si="11"/>
        <v>104</v>
      </c>
      <c r="T22" s="24">
        <f t="shared" si="11"/>
        <v>0</v>
      </c>
      <c r="U22" s="24">
        <f t="shared" si="11"/>
        <v>0</v>
      </c>
      <c r="V22" s="25">
        <f t="shared" si="11"/>
        <v>14</v>
      </c>
      <c r="W22" s="26">
        <f t="shared" si="11"/>
        <v>48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24</v>
      </c>
      <c r="AB22" s="28">
        <f>AVERAGE(AB6:AB21)</f>
        <v>0.5625</v>
      </c>
      <c r="AC22" s="4">
        <f>AVERAGE(AC6:AC21)</f>
        <v>0.44270833333333331</v>
      </c>
      <c r="AD22" s="4">
        <f>AVERAGE(AD6:AD21)</f>
        <v>0.44270833333333331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268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277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01" t="s">
        <v>46</v>
      </c>
      <c r="D51" s="201" t="s">
        <v>47</v>
      </c>
      <c r="E51" s="201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01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500" t="s">
        <v>112</v>
      </c>
      <c r="B52" s="501"/>
      <c r="C52" s="202" t="s">
        <v>149</v>
      </c>
      <c r="D52" s="202" t="s">
        <v>130</v>
      </c>
      <c r="E52" s="204" t="s">
        <v>244</v>
      </c>
      <c r="F52" s="488" t="s">
        <v>132</v>
      </c>
      <c r="G52" s="489"/>
      <c r="H52" s="489"/>
      <c r="I52" s="489"/>
      <c r="J52" s="489"/>
      <c r="K52" s="489"/>
      <c r="L52" s="489"/>
      <c r="M52" s="490"/>
      <c r="N52" s="203" t="s">
        <v>119</v>
      </c>
      <c r="O52" s="209" t="s">
        <v>149</v>
      </c>
      <c r="P52" s="502" t="s">
        <v>115</v>
      </c>
      <c r="Q52" s="503"/>
      <c r="R52" s="502" t="s">
        <v>172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119</v>
      </c>
      <c r="B53" s="487"/>
      <c r="C53" s="204" t="s">
        <v>195</v>
      </c>
      <c r="D53" s="204" t="s">
        <v>115</v>
      </c>
      <c r="E53" s="204" t="s">
        <v>259</v>
      </c>
      <c r="F53" s="488" t="s">
        <v>269</v>
      </c>
      <c r="G53" s="489"/>
      <c r="H53" s="489"/>
      <c r="I53" s="489"/>
      <c r="J53" s="489"/>
      <c r="K53" s="489"/>
      <c r="L53" s="489"/>
      <c r="M53" s="490"/>
      <c r="N53" s="203" t="s">
        <v>120</v>
      </c>
      <c r="O53" s="209" t="s">
        <v>205</v>
      </c>
      <c r="P53" s="502" t="s">
        <v>131</v>
      </c>
      <c r="Q53" s="503"/>
      <c r="R53" s="502" t="s">
        <v>273</v>
      </c>
      <c r="S53" s="504"/>
      <c r="T53" s="504"/>
      <c r="U53" s="503"/>
      <c r="V53" s="472" t="s">
        <v>132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486" t="s">
        <v>112</v>
      </c>
      <c r="B54" s="487"/>
      <c r="C54" s="204" t="s">
        <v>149</v>
      </c>
      <c r="D54" s="204" t="s">
        <v>115</v>
      </c>
      <c r="E54" s="204" t="s">
        <v>270</v>
      </c>
      <c r="F54" s="488" t="s">
        <v>271</v>
      </c>
      <c r="G54" s="489"/>
      <c r="H54" s="489"/>
      <c r="I54" s="489"/>
      <c r="J54" s="489"/>
      <c r="K54" s="489"/>
      <c r="L54" s="489"/>
      <c r="M54" s="490"/>
      <c r="N54" s="203" t="s">
        <v>119</v>
      </c>
      <c r="O54" s="209" t="s">
        <v>182</v>
      </c>
      <c r="P54" s="502" t="s">
        <v>115</v>
      </c>
      <c r="Q54" s="503"/>
      <c r="R54" s="502" t="s">
        <v>157</v>
      </c>
      <c r="S54" s="504"/>
      <c r="T54" s="504"/>
      <c r="U54" s="503"/>
      <c r="V54" s="472" t="s">
        <v>200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204" t="s">
        <v>147</v>
      </c>
      <c r="D55" s="204" t="s">
        <v>160</v>
      </c>
      <c r="E55" s="204" t="s">
        <v>167</v>
      </c>
      <c r="F55" s="488" t="s">
        <v>272</v>
      </c>
      <c r="G55" s="489"/>
      <c r="H55" s="489"/>
      <c r="I55" s="489"/>
      <c r="J55" s="489"/>
      <c r="K55" s="489"/>
      <c r="L55" s="489"/>
      <c r="M55" s="490"/>
      <c r="N55" s="203"/>
      <c r="O55" s="209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120</v>
      </c>
      <c r="B56" s="487"/>
      <c r="C56" s="204" t="s">
        <v>205</v>
      </c>
      <c r="D56" s="202" t="s">
        <v>131</v>
      </c>
      <c r="E56" s="204" t="s">
        <v>273</v>
      </c>
      <c r="F56" s="488" t="s">
        <v>274</v>
      </c>
      <c r="G56" s="489"/>
      <c r="H56" s="489"/>
      <c r="I56" s="489"/>
      <c r="J56" s="489"/>
      <c r="K56" s="489"/>
      <c r="L56" s="489"/>
      <c r="M56" s="490"/>
      <c r="N56" s="203"/>
      <c r="O56" s="209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 t="s">
        <v>112</v>
      </c>
      <c r="B57" s="501"/>
      <c r="C57" s="202" t="s">
        <v>141</v>
      </c>
      <c r="D57" s="202" t="s">
        <v>138</v>
      </c>
      <c r="E57" s="204" t="s">
        <v>266</v>
      </c>
      <c r="F57" s="488" t="s">
        <v>275</v>
      </c>
      <c r="G57" s="489"/>
      <c r="H57" s="489"/>
      <c r="I57" s="489"/>
      <c r="J57" s="489"/>
      <c r="K57" s="489"/>
      <c r="L57" s="489"/>
      <c r="M57" s="490"/>
      <c r="N57" s="203"/>
      <c r="O57" s="209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 t="s">
        <v>120</v>
      </c>
      <c r="B58" s="501"/>
      <c r="C58" s="202" t="s">
        <v>196</v>
      </c>
      <c r="D58" s="202" t="s">
        <v>115</v>
      </c>
      <c r="E58" s="204" t="s">
        <v>199</v>
      </c>
      <c r="F58" s="488" t="s">
        <v>200</v>
      </c>
      <c r="G58" s="489"/>
      <c r="H58" s="489"/>
      <c r="I58" s="489"/>
      <c r="J58" s="489"/>
      <c r="K58" s="489"/>
      <c r="L58" s="489"/>
      <c r="M58" s="490"/>
      <c r="N58" s="203"/>
      <c r="O58" s="209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 t="s">
        <v>113</v>
      </c>
      <c r="B59" s="501"/>
      <c r="C59" s="202" t="s">
        <v>276</v>
      </c>
      <c r="D59" s="202"/>
      <c r="E59" s="204" t="s">
        <v>267</v>
      </c>
      <c r="F59" s="488" t="s">
        <v>148</v>
      </c>
      <c r="G59" s="489"/>
      <c r="H59" s="489"/>
      <c r="I59" s="489"/>
      <c r="J59" s="489"/>
      <c r="K59" s="489"/>
      <c r="L59" s="489"/>
      <c r="M59" s="490"/>
      <c r="N59" s="203"/>
      <c r="O59" s="209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04"/>
      <c r="D60" s="204"/>
      <c r="E60" s="204"/>
      <c r="F60" s="488"/>
      <c r="G60" s="489"/>
      <c r="H60" s="489"/>
      <c r="I60" s="489"/>
      <c r="J60" s="489"/>
      <c r="K60" s="489"/>
      <c r="L60" s="489"/>
      <c r="M60" s="490"/>
      <c r="N60" s="203"/>
      <c r="O60" s="209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05"/>
      <c r="D61" s="206"/>
      <c r="E61" s="206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278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07" t="s">
        <v>2</v>
      </c>
      <c r="D63" s="207" t="s">
        <v>37</v>
      </c>
      <c r="E63" s="207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07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112</v>
      </c>
      <c r="D64" s="211"/>
      <c r="E64" s="208" t="s">
        <v>138</v>
      </c>
      <c r="F64" s="473" t="s">
        <v>266</v>
      </c>
      <c r="G64" s="474"/>
      <c r="H64" s="474"/>
      <c r="I64" s="474"/>
      <c r="J64" s="475"/>
      <c r="K64" s="461" t="s">
        <v>140</v>
      </c>
      <c r="L64" s="461"/>
      <c r="M64" s="51" t="s">
        <v>133</v>
      </c>
      <c r="N64" s="470" t="s">
        <v>141</v>
      </c>
      <c r="O64" s="470"/>
      <c r="P64" s="471">
        <v>400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211"/>
      <c r="E65" s="208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211"/>
      <c r="E66" s="208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11"/>
      <c r="E67" s="208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11"/>
      <c r="E68" s="208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11"/>
      <c r="E69" s="208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11"/>
      <c r="E70" s="208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11"/>
      <c r="E71" s="208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11"/>
      <c r="E72" s="208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11"/>
      <c r="E73" s="208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279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10" t="s">
        <v>2</v>
      </c>
      <c r="D75" s="210" t="s">
        <v>37</v>
      </c>
      <c r="E75" s="210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12" t="s">
        <v>112</v>
      </c>
      <c r="D76" s="212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11"/>
      <c r="D77" s="211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11"/>
      <c r="D78" s="211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11"/>
      <c r="D79" s="211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11"/>
      <c r="D80" s="211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11"/>
      <c r="D81" s="211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11"/>
      <c r="D82" s="211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280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FAF7-95EB-4A08-9F35-01E12FFB4AF4}">
  <dimension ref="A1:AF87"/>
  <sheetViews>
    <sheetView view="pageBreakPreview" topLeftCell="A4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281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25" t="s">
        <v>17</v>
      </c>
      <c r="L5" s="225" t="s">
        <v>18</v>
      </c>
      <c r="M5" s="225" t="s">
        <v>19</v>
      </c>
      <c r="N5" s="2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</f>
        <v>16623</v>
      </c>
      <c r="L6" s="15">
        <f>637</f>
        <v>637</v>
      </c>
      <c r="M6" s="15">
        <f t="shared" ref="M6:M21" si="0">L6-N6</f>
        <v>637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4</v>
      </c>
      <c r="Q6" s="40">
        <f t="shared" ref="Q6:Q21" si="3">SUM(R6:AA6)</f>
        <v>20</v>
      </c>
      <c r="R6" s="7"/>
      <c r="S6" s="6"/>
      <c r="T6" s="16"/>
      <c r="U6" s="16"/>
      <c r="V6" s="17"/>
      <c r="W6" s="5">
        <v>20</v>
      </c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0.16666666666666666</v>
      </c>
      <c r="AD6" s="10">
        <f t="shared" ref="AD6:AD21" si="6">AC6*AB6*(1-O6)</f>
        <v>0.16666666666666666</v>
      </c>
      <c r="AE6" s="36">
        <f t="shared" ref="AE6:AE21" si="7">$AD$22</f>
        <v>0.296875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28064</v>
      </c>
      <c r="K7" s="15">
        <f>L7+11840+19918+14488+4292+19516</f>
        <v>98118</v>
      </c>
      <c r="L7" s="15">
        <f>3607*4+3409*4</f>
        <v>28064</v>
      </c>
      <c r="M7" s="15">
        <f t="shared" si="0"/>
        <v>28064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0.296875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0.296875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130</v>
      </c>
      <c r="E9" s="53" t="s">
        <v>173</v>
      </c>
      <c r="F9" s="30" t="s">
        <v>129</v>
      </c>
      <c r="G9" s="33">
        <v>1</v>
      </c>
      <c r="H9" s="35">
        <v>24</v>
      </c>
      <c r="I9" s="7">
        <v>10000</v>
      </c>
      <c r="J9" s="14">
        <v>5460</v>
      </c>
      <c r="K9" s="15">
        <f>L9+5184+5460</f>
        <v>10644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0.296875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12548</v>
      </c>
      <c r="K10" s="15">
        <f>L10+25196+23668+24836+25088+24940+25884+1424+10400+18588+26072+25812+25952+25244</f>
        <v>295652</v>
      </c>
      <c r="L10" s="15">
        <f>2810*4+327*4</f>
        <v>12548</v>
      </c>
      <c r="M10" s="15">
        <f t="shared" si="0"/>
        <v>12548</v>
      </c>
      <c r="N10" s="15">
        <v>0</v>
      </c>
      <c r="O10" s="58">
        <f t="shared" si="1"/>
        <v>0</v>
      </c>
      <c r="P10" s="39">
        <f t="shared" si="2"/>
        <v>13</v>
      </c>
      <c r="Q10" s="40">
        <f t="shared" si="3"/>
        <v>11</v>
      </c>
      <c r="R10" s="7"/>
      <c r="S10" s="6">
        <v>11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0.54166666666666663</v>
      </c>
      <c r="AD10" s="10">
        <f>AC10*AB10*(1-O10)</f>
        <v>0.54166666666666663</v>
      </c>
      <c r="AE10" s="36">
        <f t="shared" si="7"/>
        <v>0.296875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119</v>
      </c>
      <c r="D11" s="52" t="s">
        <v>115</v>
      </c>
      <c r="E11" s="53" t="s">
        <v>172</v>
      </c>
      <c r="F11" s="30" t="s">
        <v>129</v>
      </c>
      <c r="G11" s="33">
        <v>1</v>
      </c>
      <c r="H11" s="35">
        <v>24</v>
      </c>
      <c r="I11" s="7">
        <v>6000</v>
      </c>
      <c r="J11" s="14">
        <v>450</v>
      </c>
      <c r="K11" s="15">
        <f>L11+450</f>
        <v>450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ref="AD11:AD14" si="9">AC11*AB11*(1-O11)</f>
        <v>0</v>
      </c>
      <c r="AE11" s="36">
        <f t="shared" si="7"/>
        <v>0.296875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1698</v>
      </c>
      <c r="K12" s="15">
        <f>L12+900</f>
        <v>2598</v>
      </c>
      <c r="L12" s="15">
        <v>1698</v>
      </c>
      <c r="M12" s="15">
        <f t="shared" si="0"/>
        <v>1698</v>
      </c>
      <c r="N12" s="15">
        <v>0</v>
      </c>
      <c r="O12" s="58">
        <f t="shared" si="1"/>
        <v>0</v>
      </c>
      <c r="P12" s="39">
        <f t="shared" si="2"/>
        <v>10</v>
      </c>
      <c r="Q12" s="40">
        <f t="shared" si="3"/>
        <v>14</v>
      </c>
      <c r="R12" s="7"/>
      <c r="S12" s="6">
        <v>14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0.41666666666666669</v>
      </c>
      <c r="AD12" s="10">
        <f t="shared" si="9"/>
        <v>0.41666666666666669</v>
      </c>
      <c r="AE12" s="36">
        <f t="shared" si="7"/>
        <v>0.296875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800000</v>
      </c>
      <c r="J13" s="5">
        <v>27216</v>
      </c>
      <c r="K13" s="15">
        <f>L13+14284+8352+12576+8310+15524+17860+22424+23088+2420+23364+22844+15980+12148+8056+16415+23304+22652+18028+24560+16004+23972+26116+28148+12884+27980+28568+27912+29148+22636+20804+27276+24808+27356+26324+8180+24572+26784+27388+26976+20216</f>
        <v>843457</v>
      </c>
      <c r="L13" s="15">
        <f>3469*4+3335*4</f>
        <v>27216</v>
      </c>
      <c r="M13" s="15">
        <f t="shared" si="0"/>
        <v>27216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0.296875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0.296875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0.296875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0.296875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0.296875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450</v>
      </c>
      <c r="K18" s="15">
        <f>L18+450</f>
        <v>450</v>
      </c>
      <c r="L18" s="15"/>
      <c r="M18" s="15">
        <f t="shared" ref="M18" si="10">L18-N18</f>
        <v>0</v>
      </c>
      <c r="N18" s="15">
        <v>0</v>
      </c>
      <c r="O18" s="58" t="str">
        <f t="shared" ref="O18" si="11">IF(L18=0,"0",N18/L18)</f>
        <v>0</v>
      </c>
      <c r="P18" s="39" t="str">
        <f t="shared" ref="P18" si="12">IF(L18=0,"0",(24-Q18))</f>
        <v>0</v>
      </c>
      <c r="Q18" s="40">
        <f t="shared" ref="Q18" si="13">SUM(R18:AA18)</f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ref="AB18" si="14">IF(J18=0,"0",(L18/J18))</f>
        <v>0</v>
      </c>
      <c r="AC18" s="9">
        <f t="shared" ref="AC18" si="15">IF(P18=0,"0",(P18/24))</f>
        <v>0</v>
      </c>
      <c r="AD18" s="10">
        <f t="shared" si="6"/>
        <v>0</v>
      </c>
      <c r="AE18" s="36">
        <f t="shared" si="7"/>
        <v>0.296875</v>
      </c>
      <c r="AF18" s="84">
        <f t="shared" ref="AF18" si="16">A18</f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17440</v>
      </c>
      <c r="K19" s="15">
        <f>L19+9612+11036+20524+15980+18940+25128+18856+25256+23464</f>
        <v>186236</v>
      </c>
      <c r="L19" s="15">
        <f>3213*4+1147*4</f>
        <v>17440</v>
      </c>
      <c r="M19" s="15">
        <f t="shared" si="0"/>
        <v>17440</v>
      </c>
      <c r="N19" s="15">
        <v>0</v>
      </c>
      <c r="O19" s="58">
        <f t="shared" si="1"/>
        <v>0</v>
      </c>
      <c r="P19" s="39">
        <f t="shared" si="2"/>
        <v>19</v>
      </c>
      <c r="Q19" s="40">
        <f t="shared" si="3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0.79166666666666663</v>
      </c>
      <c r="AD19" s="10">
        <f t="shared" si="6"/>
        <v>0.79166666666666663</v>
      </c>
      <c r="AE19" s="36">
        <f t="shared" si="7"/>
        <v>0.296875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4</v>
      </c>
      <c r="H20" s="13">
        <v>28</v>
      </c>
      <c r="I20" s="31">
        <v>150000</v>
      </c>
      <c r="J20" s="5">
        <v>6512</v>
      </c>
      <c r="K20" s="15">
        <f>L20+23796+26920+25064</f>
        <v>82292</v>
      </c>
      <c r="L20" s="15">
        <f>1628*4</f>
        <v>6512</v>
      </c>
      <c r="M20" s="15">
        <f t="shared" si="0"/>
        <v>6512</v>
      </c>
      <c r="N20" s="15">
        <v>0</v>
      </c>
      <c r="O20" s="58">
        <f t="shared" si="1"/>
        <v>0</v>
      </c>
      <c r="P20" s="39">
        <f t="shared" si="2"/>
        <v>7</v>
      </c>
      <c r="Q20" s="40">
        <f t="shared" si="3"/>
        <v>17</v>
      </c>
      <c r="R20" s="7"/>
      <c r="S20" s="6">
        <v>17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0.29166666666666669</v>
      </c>
      <c r="AD20" s="10">
        <f t="shared" si="6"/>
        <v>0.29166666666666669</v>
      </c>
      <c r="AE20" s="36">
        <f t="shared" si="7"/>
        <v>0.296875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33668</v>
      </c>
      <c r="K21" s="15">
        <f>L21+28876</f>
        <v>62544</v>
      </c>
      <c r="L21" s="15">
        <f>8417*4</f>
        <v>33668</v>
      </c>
      <c r="M21" s="15">
        <f t="shared" si="0"/>
        <v>33668</v>
      </c>
      <c r="N21" s="15">
        <v>0</v>
      </c>
      <c r="O21" s="58">
        <f t="shared" si="1"/>
        <v>0</v>
      </c>
      <c r="P21" s="39">
        <f t="shared" si="2"/>
        <v>13</v>
      </c>
      <c r="Q21" s="40">
        <f t="shared" si="3"/>
        <v>11</v>
      </c>
      <c r="R21" s="7"/>
      <c r="S21" s="6"/>
      <c r="T21" s="16"/>
      <c r="U21" s="16"/>
      <c r="V21" s="17">
        <v>11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0.54166666666666663</v>
      </c>
      <c r="AD21" s="10">
        <f t="shared" si="6"/>
        <v>0.54166666666666663</v>
      </c>
      <c r="AE21" s="36">
        <f t="shared" si="7"/>
        <v>0.296875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7">SUM(I6:I21)</f>
        <v>2960800</v>
      </c>
      <c r="J22" s="19">
        <f t="shared" si="17"/>
        <v>156340</v>
      </c>
      <c r="K22" s="20">
        <f t="shared" si="17"/>
        <v>2015751</v>
      </c>
      <c r="L22" s="21">
        <f t="shared" si="17"/>
        <v>127783</v>
      </c>
      <c r="M22" s="20">
        <f t="shared" si="17"/>
        <v>127783</v>
      </c>
      <c r="N22" s="21">
        <f t="shared" si="17"/>
        <v>0</v>
      </c>
      <c r="O22" s="41">
        <f t="shared" si="1"/>
        <v>0</v>
      </c>
      <c r="P22" s="42">
        <f t="shared" ref="P22:AA22" si="18">SUM(P6:P21)</f>
        <v>114</v>
      </c>
      <c r="Q22" s="43">
        <f t="shared" si="18"/>
        <v>270</v>
      </c>
      <c r="R22" s="23">
        <f t="shared" si="18"/>
        <v>24</v>
      </c>
      <c r="S22" s="24">
        <f t="shared" si="18"/>
        <v>143</v>
      </c>
      <c r="T22" s="24">
        <f t="shared" si="18"/>
        <v>0</v>
      </c>
      <c r="U22" s="24">
        <f t="shared" si="18"/>
        <v>0</v>
      </c>
      <c r="V22" s="25">
        <f t="shared" si="18"/>
        <v>11</v>
      </c>
      <c r="W22" s="26">
        <f t="shared" si="18"/>
        <v>68</v>
      </c>
      <c r="X22" s="27">
        <f t="shared" si="18"/>
        <v>0</v>
      </c>
      <c r="Y22" s="27">
        <f t="shared" si="18"/>
        <v>0</v>
      </c>
      <c r="Z22" s="27">
        <f t="shared" si="18"/>
        <v>0</v>
      </c>
      <c r="AA22" s="27">
        <f t="shared" si="18"/>
        <v>24</v>
      </c>
      <c r="AB22" s="28">
        <f>AVERAGE(AB6:AB21)</f>
        <v>0.5</v>
      </c>
      <c r="AC22" s="4">
        <f>AVERAGE(AC6:AC21)</f>
        <v>0.296875</v>
      </c>
      <c r="AD22" s="4">
        <f>AVERAGE(AD6:AD21)</f>
        <v>0.296875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282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285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24" t="s">
        <v>46</v>
      </c>
      <c r="D51" s="224" t="s">
        <v>47</v>
      </c>
      <c r="E51" s="224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24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486" t="s">
        <v>119</v>
      </c>
      <c r="B52" s="487"/>
      <c r="C52" s="220" t="s">
        <v>149</v>
      </c>
      <c r="D52" s="220" t="s">
        <v>115</v>
      </c>
      <c r="E52" s="220" t="s">
        <v>259</v>
      </c>
      <c r="F52" s="488" t="s">
        <v>283</v>
      </c>
      <c r="G52" s="489"/>
      <c r="H52" s="489"/>
      <c r="I52" s="489"/>
      <c r="J52" s="489"/>
      <c r="K52" s="489"/>
      <c r="L52" s="489"/>
      <c r="M52" s="490"/>
      <c r="N52" s="219" t="s">
        <v>119</v>
      </c>
      <c r="O52" s="217" t="s">
        <v>149</v>
      </c>
      <c r="P52" s="502" t="s">
        <v>115</v>
      </c>
      <c r="Q52" s="503"/>
      <c r="R52" s="502" t="s">
        <v>172</v>
      </c>
      <c r="S52" s="504"/>
      <c r="T52" s="504"/>
      <c r="U52" s="503"/>
      <c r="V52" s="472" t="s">
        <v>132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486" t="s">
        <v>120</v>
      </c>
      <c r="B53" s="487"/>
      <c r="C53" s="220" t="s">
        <v>205</v>
      </c>
      <c r="D53" s="223" t="s">
        <v>131</v>
      </c>
      <c r="E53" s="220" t="s">
        <v>273</v>
      </c>
      <c r="F53" s="488" t="s">
        <v>132</v>
      </c>
      <c r="G53" s="489"/>
      <c r="H53" s="489"/>
      <c r="I53" s="489"/>
      <c r="J53" s="489"/>
      <c r="K53" s="489"/>
      <c r="L53" s="489"/>
      <c r="M53" s="490"/>
      <c r="N53" s="219" t="s">
        <v>119</v>
      </c>
      <c r="O53" s="217" t="s">
        <v>208</v>
      </c>
      <c r="P53" s="502" t="s">
        <v>160</v>
      </c>
      <c r="Q53" s="503"/>
      <c r="R53" s="502" t="s">
        <v>286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120</v>
      </c>
      <c r="B54" s="501"/>
      <c r="C54" s="223" t="s">
        <v>226</v>
      </c>
      <c r="D54" s="223" t="s">
        <v>115</v>
      </c>
      <c r="E54" s="220" t="s">
        <v>152</v>
      </c>
      <c r="F54" s="488" t="s">
        <v>197</v>
      </c>
      <c r="G54" s="489"/>
      <c r="H54" s="489"/>
      <c r="I54" s="489"/>
      <c r="J54" s="489"/>
      <c r="K54" s="489"/>
      <c r="L54" s="489"/>
      <c r="M54" s="490"/>
      <c r="N54" s="219" t="s">
        <v>120</v>
      </c>
      <c r="O54" s="217" t="s">
        <v>226</v>
      </c>
      <c r="P54" s="502" t="s">
        <v>115</v>
      </c>
      <c r="Q54" s="503"/>
      <c r="R54" s="502" t="s">
        <v>287</v>
      </c>
      <c r="S54" s="504"/>
      <c r="T54" s="504"/>
      <c r="U54" s="503"/>
      <c r="V54" s="472" t="s">
        <v>200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112</v>
      </c>
      <c r="B55" s="487"/>
      <c r="C55" s="220" t="s">
        <v>141</v>
      </c>
      <c r="D55" s="220" t="s">
        <v>138</v>
      </c>
      <c r="E55" s="220" t="s">
        <v>266</v>
      </c>
      <c r="F55" s="488" t="s">
        <v>284</v>
      </c>
      <c r="G55" s="489"/>
      <c r="H55" s="489"/>
      <c r="I55" s="489"/>
      <c r="J55" s="489"/>
      <c r="K55" s="489"/>
      <c r="L55" s="489"/>
      <c r="M55" s="490"/>
      <c r="N55" s="219"/>
      <c r="O55" s="217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 t="s">
        <v>119</v>
      </c>
      <c r="B56" s="487"/>
      <c r="C56" s="220" t="s">
        <v>182</v>
      </c>
      <c r="D56" s="223" t="s">
        <v>115</v>
      </c>
      <c r="E56" s="220" t="s">
        <v>157</v>
      </c>
      <c r="F56" s="488" t="s">
        <v>200</v>
      </c>
      <c r="G56" s="489"/>
      <c r="H56" s="489"/>
      <c r="I56" s="489"/>
      <c r="J56" s="489"/>
      <c r="K56" s="489"/>
      <c r="L56" s="489"/>
      <c r="M56" s="490"/>
      <c r="N56" s="219"/>
      <c r="O56" s="217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23"/>
      <c r="D57" s="223"/>
      <c r="E57" s="220"/>
      <c r="F57" s="488"/>
      <c r="G57" s="489"/>
      <c r="H57" s="489"/>
      <c r="I57" s="489"/>
      <c r="J57" s="489"/>
      <c r="K57" s="489"/>
      <c r="L57" s="489"/>
      <c r="M57" s="490"/>
      <c r="N57" s="219"/>
      <c r="O57" s="217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23"/>
      <c r="D58" s="223"/>
      <c r="E58" s="220"/>
      <c r="F58" s="488"/>
      <c r="G58" s="489"/>
      <c r="H58" s="489"/>
      <c r="I58" s="489"/>
      <c r="J58" s="489"/>
      <c r="K58" s="489"/>
      <c r="L58" s="489"/>
      <c r="M58" s="490"/>
      <c r="N58" s="219"/>
      <c r="O58" s="217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23"/>
      <c r="D59" s="223"/>
      <c r="E59" s="220"/>
      <c r="F59" s="488"/>
      <c r="G59" s="489"/>
      <c r="H59" s="489"/>
      <c r="I59" s="489"/>
      <c r="J59" s="489"/>
      <c r="K59" s="489"/>
      <c r="L59" s="489"/>
      <c r="M59" s="490"/>
      <c r="N59" s="219"/>
      <c r="O59" s="217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20"/>
      <c r="D60" s="220"/>
      <c r="E60" s="220"/>
      <c r="F60" s="488"/>
      <c r="G60" s="489"/>
      <c r="H60" s="489"/>
      <c r="I60" s="489"/>
      <c r="J60" s="489"/>
      <c r="K60" s="489"/>
      <c r="L60" s="489"/>
      <c r="M60" s="490"/>
      <c r="N60" s="219"/>
      <c r="O60" s="217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21"/>
      <c r="D61" s="222"/>
      <c r="E61" s="222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288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18" t="s">
        <v>2</v>
      </c>
      <c r="D63" s="218" t="s">
        <v>37</v>
      </c>
      <c r="E63" s="218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18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 t="s">
        <v>119</v>
      </c>
      <c r="D64" s="213"/>
      <c r="E64" s="216" t="s">
        <v>128</v>
      </c>
      <c r="F64" s="473" t="s">
        <v>289</v>
      </c>
      <c r="G64" s="474"/>
      <c r="H64" s="474"/>
      <c r="I64" s="474"/>
      <c r="J64" s="475"/>
      <c r="K64" s="461" t="s">
        <v>140</v>
      </c>
      <c r="L64" s="461"/>
      <c r="M64" s="51" t="s">
        <v>232</v>
      </c>
      <c r="N64" s="470" t="s">
        <v>195</v>
      </c>
      <c r="O64" s="470"/>
      <c r="P64" s="471">
        <v>50</v>
      </c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213"/>
      <c r="E65" s="216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213"/>
      <c r="E66" s="216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13"/>
      <c r="E67" s="216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13"/>
      <c r="E68" s="216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13"/>
      <c r="E69" s="216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13"/>
      <c r="E70" s="216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13"/>
      <c r="E71" s="216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13"/>
      <c r="E72" s="216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13"/>
      <c r="E73" s="216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290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15" t="s">
        <v>2</v>
      </c>
      <c r="D75" s="215" t="s">
        <v>37</v>
      </c>
      <c r="E75" s="215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14" t="s">
        <v>112</v>
      </c>
      <c r="D76" s="214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13"/>
      <c r="D77" s="213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9">A77+1</f>
        <v>3</v>
      </c>
      <c r="B78" s="429"/>
      <c r="C78" s="213"/>
      <c r="D78" s="213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9"/>
        <v>4</v>
      </c>
      <c r="B79" s="429"/>
      <c r="C79" s="213"/>
      <c r="D79" s="213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9"/>
        <v>5</v>
      </c>
      <c r="B80" s="429"/>
      <c r="C80" s="213"/>
      <c r="D80" s="213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9"/>
        <v>6</v>
      </c>
      <c r="B81" s="429"/>
      <c r="C81" s="213"/>
      <c r="D81" s="213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9"/>
        <v>7</v>
      </c>
      <c r="B82" s="429"/>
      <c r="C82" s="213"/>
      <c r="D82" s="213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291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7A40-3919-41C7-ABBB-206F4BD62BFB}">
  <dimension ref="A1:AF87"/>
  <sheetViews>
    <sheetView view="pageBreakPreview" zoomScale="70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2" width="7.75" style="50" bestFit="1" customWidth="1"/>
    <col min="23" max="23" width="9.25" style="50" bestFit="1" customWidth="1"/>
    <col min="24" max="24" width="7.25" style="50" bestFit="1" customWidth="1"/>
    <col min="25" max="26" width="6.25" style="50" bestFit="1" customWidth="1"/>
    <col min="27" max="27" width="7.7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33" t="s">
        <v>292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34"/>
      <c r="B3" s="534"/>
      <c r="C3" s="534"/>
      <c r="D3" s="534"/>
      <c r="E3" s="534"/>
      <c r="F3" s="534"/>
      <c r="G3" s="534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35" t="s">
        <v>0</v>
      </c>
      <c r="B4" s="537" t="s">
        <v>1</v>
      </c>
      <c r="C4" s="537" t="s">
        <v>2</v>
      </c>
      <c r="D4" s="540" t="s">
        <v>3</v>
      </c>
      <c r="E4" s="542" t="s">
        <v>4</v>
      </c>
      <c r="F4" s="540" t="s">
        <v>5</v>
      </c>
      <c r="G4" s="537" t="s">
        <v>6</v>
      </c>
      <c r="H4" s="543" t="s">
        <v>7</v>
      </c>
      <c r="I4" s="523" t="s">
        <v>8</v>
      </c>
      <c r="J4" s="524"/>
      <c r="K4" s="524"/>
      <c r="L4" s="524"/>
      <c r="M4" s="524"/>
      <c r="N4" s="524"/>
      <c r="O4" s="525"/>
      <c r="P4" s="526" t="s">
        <v>9</v>
      </c>
      <c r="Q4" s="527"/>
      <c r="R4" s="528" t="s">
        <v>10</v>
      </c>
      <c r="S4" s="528"/>
      <c r="T4" s="528"/>
      <c r="U4" s="528"/>
      <c r="V4" s="528"/>
      <c r="W4" s="529" t="s">
        <v>11</v>
      </c>
      <c r="X4" s="528"/>
      <c r="Y4" s="528"/>
      <c r="Z4" s="528"/>
      <c r="AA4" s="530"/>
      <c r="AB4" s="531" t="s">
        <v>12</v>
      </c>
      <c r="AC4" s="505" t="s">
        <v>13</v>
      </c>
      <c r="AD4" s="505" t="s">
        <v>14</v>
      </c>
      <c r="AE4" s="54"/>
    </row>
    <row r="5" spans="1:32" ht="51" customHeight="1" thickBot="1">
      <c r="A5" s="536"/>
      <c r="B5" s="538"/>
      <c r="C5" s="539"/>
      <c r="D5" s="541"/>
      <c r="E5" s="541"/>
      <c r="F5" s="541"/>
      <c r="G5" s="538"/>
      <c r="H5" s="544"/>
      <c r="I5" s="55" t="s">
        <v>15</v>
      </c>
      <c r="J5" s="56" t="s">
        <v>16</v>
      </c>
      <c r="K5" s="226" t="s">
        <v>17</v>
      </c>
      <c r="L5" s="226" t="s">
        <v>18</v>
      </c>
      <c r="M5" s="226" t="s">
        <v>19</v>
      </c>
      <c r="N5" s="22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32"/>
      <c r="AC5" s="506"/>
      <c r="AD5" s="506"/>
      <c r="AE5" s="54"/>
    </row>
    <row r="6" spans="1:32" ht="27" customHeight="1">
      <c r="A6" s="113">
        <v>1</v>
      </c>
      <c r="B6" s="11" t="s">
        <v>57</v>
      </c>
      <c r="C6" s="34" t="s">
        <v>119</v>
      </c>
      <c r="D6" s="52" t="s">
        <v>128</v>
      </c>
      <c r="E6" s="53" t="s">
        <v>176</v>
      </c>
      <c r="F6" s="12" t="s">
        <v>127</v>
      </c>
      <c r="G6" s="12">
        <v>1</v>
      </c>
      <c r="H6" s="13">
        <v>24</v>
      </c>
      <c r="I6" s="31">
        <v>13000</v>
      </c>
      <c r="J6" s="14">
        <v>637</v>
      </c>
      <c r="K6" s="15">
        <f>L6+3749+6136+6101+637</f>
        <v>16623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0.44270833333333331</v>
      </c>
      <c r="AF6" s="84">
        <f t="shared" ref="AF6:AF21" si="8">A6</f>
        <v>1</v>
      </c>
    </row>
    <row r="7" spans="1:32" ht="27" customHeight="1">
      <c r="A7" s="113">
        <v>2</v>
      </c>
      <c r="B7" s="11" t="s">
        <v>57</v>
      </c>
      <c r="C7" s="34" t="s">
        <v>119</v>
      </c>
      <c r="D7" s="52" t="s">
        <v>160</v>
      </c>
      <c r="E7" s="53" t="s">
        <v>167</v>
      </c>
      <c r="F7" s="12" t="s">
        <v>189</v>
      </c>
      <c r="G7" s="12">
        <v>2</v>
      </c>
      <c r="H7" s="13">
        <v>24</v>
      </c>
      <c r="I7" s="31">
        <v>200000</v>
      </c>
      <c r="J7" s="14">
        <v>28556</v>
      </c>
      <c r="K7" s="15">
        <f>L7+11840+19918+14488+4292+19516+28064</f>
        <v>126674</v>
      </c>
      <c r="L7" s="15">
        <f>3537*4+3602*4</f>
        <v>28556</v>
      </c>
      <c r="M7" s="15">
        <f t="shared" si="0"/>
        <v>28556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0.44270833333333331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130</v>
      </c>
      <c r="E8" s="53" t="s">
        <v>136</v>
      </c>
      <c r="F8" s="30" t="s">
        <v>123</v>
      </c>
      <c r="G8" s="33">
        <v>4</v>
      </c>
      <c r="H8" s="35">
        <v>24</v>
      </c>
      <c r="I8" s="7">
        <v>600000</v>
      </c>
      <c r="J8" s="14">
        <v>9848</v>
      </c>
      <c r="K8" s="15">
        <f>L8+23776+23632+22448+10612+24680+24492+25268+13104+24332+13700+17504+23944+23561+24584+23460+24448+9848</f>
        <v>353393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0.44270833333333331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119</v>
      </c>
      <c r="D9" s="52" t="s">
        <v>160</v>
      </c>
      <c r="E9" s="53" t="s">
        <v>286</v>
      </c>
      <c r="F9" s="30" t="s">
        <v>293</v>
      </c>
      <c r="G9" s="33">
        <v>1</v>
      </c>
      <c r="H9" s="35">
        <v>24</v>
      </c>
      <c r="I9" s="7">
        <v>200</v>
      </c>
      <c r="J9" s="14">
        <v>665</v>
      </c>
      <c r="K9" s="15">
        <f>L9</f>
        <v>665</v>
      </c>
      <c r="L9" s="15">
        <v>665</v>
      </c>
      <c r="M9" s="15">
        <f t="shared" si="0"/>
        <v>665</v>
      </c>
      <c r="N9" s="15">
        <v>0</v>
      </c>
      <c r="O9" s="58">
        <f t="shared" si="1"/>
        <v>0</v>
      </c>
      <c r="P9" s="39">
        <f t="shared" si="2"/>
        <v>5</v>
      </c>
      <c r="Q9" s="40">
        <f t="shared" si="3"/>
        <v>19</v>
      </c>
      <c r="R9" s="7"/>
      <c r="S9" s="6">
        <v>8</v>
      </c>
      <c r="T9" s="16"/>
      <c r="U9" s="16"/>
      <c r="V9" s="17"/>
      <c r="W9" s="5">
        <v>11</v>
      </c>
      <c r="X9" s="16"/>
      <c r="Y9" s="16"/>
      <c r="Z9" s="16"/>
      <c r="AA9" s="18"/>
      <c r="AB9" s="8">
        <f t="shared" si="4"/>
        <v>1</v>
      </c>
      <c r="AC9" s="9">
        <f t="shared" si="5"/>
        <v>0.20833333333333334</v>
      </c>
      <c r="AD9" s="10">
        <f t="shared" si="6"/>
        <v>0.20833333333333334</v>
      </c>
      <c r="AE9" s="36">
        <f t="shared" si="7"/>
        <v>0.44270833333333331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120</v>
      </c>
      <c r="D10" s="52" t="s">
        <v>131</v>
      </c>
      <c r="E10" s="53" t="s">
        <v>134</v>
      </c>
      <c r="F10" s="30" t="s">
        <v>123</v>
      </c>
      <c r="G10" s="33">
        <v>4</v>
      </c>
      <c r="H10" s="35">
        <v>24</v>
      </c>
      <c r="I10" s="7">
        <v>600000</v>
      </c>
      <c r="J10" s="5">
        <v>24568</v>
      </c>
      <c r="K10" s="15">
        <f>L10+25196+23668+24836+25088+24940+25884+1424+10400+18588+26072+25812+25952+25244+12548</f>
        <v>320220</v>
      </c>
      <c r="L10" s="15">
        <f>3218*4+2924*4</f>
        <v>24568</v>
      </c>
      <c r="M10" s="15">
        <f t="shared" si="0"/>
        <v>24568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0.44270833333333331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112</v>
      </c>
      <c r="D11" s="52" t="s">
        <v>294</v>
      </c>
      <c r="E11" s="53" t="s">
        <v>295</v>
      </c>
      <c r="F11" s="30" t="s">
        <v>140</v>
      </c>
      <c r="G11" s="33">
        <v>1</v>
      </c>
      <c r="H11" s="35">
        <v>24</v>
      </c>
      <c r="I11" s="7">
        <v>500</v>
      </c>
      <c r="J11" s="14">
        <v>1112</v>
      </c>
      <c r="K11" s="15">
        <f>L11</f>
        <v>1112</v>
      </c>
      <c r="L11" s="15">
        <f>682+430</f>
        <v>1112</v>
      </c>
      <c r="M11" s="15">
        <f t="shared" si="0"/>
        <v>1112</v>
      </c>
      <c r="N11" s="15">
        <v>0</v>
      </c>
      <c r="O11" s="58">
        <f t="shared" si="1"/>
        <v>0</v>
      </c>
      <c r="P11" s="39">
        <f t="shared" si="2"/>
        <v>8</v>
      </c>
      <c r="Q11" s="40">
        <f t="shared" si="3"/>
        <v>16</v>
      </c>
      <c r="R11" s="7"/>
      <c r="S11" s="6"/>
      <c r="T11" s="16">
        <v>16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0.33333333333333331</v>
      </c>
      <c r="AD11" s="10">
        <f t="shared" ref="AD11:AD14" si="9">AC11*AB11*(1-O11)</f>
        <v>0.33333333333333331</v>
      </c>
      <c r="AE11" s="36">
        <f t="shared" si="7"/>
        <v>0.44270833333333331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138</v>
      </c>
      <c r="E12" s="53" t="s">
        <v>266</v>
      </c>
      <c r="F12" s="30" t="s">
        <v>140</v>
      </c>
      <c r="G12" s="12">
        <v>1</v>
      </c>
      <c r="H12" s="13">
        <v>28</v>
      </c>
      <c r="I12" s="31">
        <v>23000</v>
      </c>
      <c r="J12" s="5">
        <v>5633</v>
      </c>
      <c r="K12" s="15">
        <f>L12+900+1698</f>
        <v>8231</v>
      </c>
      <c r="L12" s="15">
        <f>2793+2840</f>
        <v>5633</v>
      </c>
      <c r="M12" s="15">
        <f t="shared" si="0"/>
        <v>5633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9"/>
        <v>1</v>
      </c>
      <c r="AE12" s="36">
        <f t="shared" si="7"/>
        <v>0.44270833333333331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34" t="s">
        <v>120</v>
      </c>
      <c r="D13" s="52" t="s">
        <v>115</v>
      </c>
      <c r="E13" s="53" t="s">
        <v>135</v>
      </c>
      <c r="F13" s="30" t="s">
        <v>123</v>
      </c>
      <c r="G13" s="12">
        <v>4</v>
      </c>
      <c r="H13" s="13">
        <v>28</v>
      </c>
      <c r="I13" s="31">
        <v>800000</v>
      </c>
      <c r="J13" s="5">
        <v>23444</v>
      </c>
      <c r="K13" s="15">
        <f>L13+14284+8352+12576+8310+15524+17860+22424+23088+2420+23364+22844+15980+12148+8056+16415+23304+22652+18028+24560+16004+23972+26116+28148+12884+27980+28568+27912+29148+22636+20804+27276+24808+27356+26324+8180+24572+26784+27388+26976+20216+27216</f>
        <v>866901</v>
      </c>
      <c r="L13" s="15">
        <f>3123*4+2738*4</f>
        <v>23444</v>
      </c>
      <c r="M13" s="15">
        <f t="shared" si="0"/>
        <v>23444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>AC13*AB13*(1-O13)</f>
        <v>1</v>
      </c>
      <c r="AE13" s="36">
        <f t="shared" si="7"/>
        <v>0.44270833333333331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201</v>
      </c>
      <c r="F14" s="30" t="s">
        <v>129</v>
      </c>
      <c r="G14" s="33">
        <v>1</v>
      </c>
      <c r="H14" s="35">
        <v>60</v>
      </c>
      <c r="I14" s="7">
        <v>300</v>
      </c>
      <c r="J14" s="5">
        <v>150</v>
      </c>
      <c r="K14" s="15">
        <f>L14+150</f>
        <v>150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0.44270833333333331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203</v>
      </c>
      <c r="F15" s="12" t="s">
        <v>212</v>
      </c>
      <c r="G15" s="12">
        <v>1</v>
      </c>
      <c r="H15" s="13">
        <v>24</v>
      </c>
      <c r="I15" s="31">
        <v>11000</v>
      </c>
      <c r="J15" s="14">
        <v>5757</v>
      </c>
      <c r="K15" s="15">
        <f>L15+4961+4134+5757</f>
        <v>14852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0.44270833333333331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119</v>
      </c>
      <c r="D16" s="52" t="s">
        <v>138</v>
      </c>
      <c r="E16" s="53" t="s">
        <v>139</v>
      </c>
      <c r="F16" s="30" t="s">
        <v>140</v>
      </c>
      <c r="G16" s="12">
        <v>1</v>
      </c>
      <c r="H16" s="13">
        <v>24</v>
      </c>
      <c r="I16" s="7">
        <v>500</v>
      </c>
      <c r="J16" s="14">
        <v>495</v>
      </c>
      <c r="K16" s="15">
        <f>L16+495</f>
        <v>495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0.44270833333333331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119</v>
      </c>
      <c r="D17" s="52" t="s">
        <v>128</v>
      </c>
      <c r="E17" s="53" t="s">
        <v>171</v>
      </c>
      <c r="F17" s="30" t="s">
        <v>161</v>
      </c>
      <c r="G17" s="12">
        <v>1</v>
      </c>
      <c r="H17" s="13">
        <v>24</v>
      </c>
      <c r="I17" s="7">
        <v>41000</v>
      </c>
      <c r="J17" s="14">
        <v>5947</v>
      </c>
      <c r="K17" s="15">
        <f>L17+5525+6064+6153+5650+5997+6224+6237+5947</f>
        <v>47797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0.44270833333333331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119</v>
      </c>
      <c r="D18" s="52" t="s">
        <v>115</v>
      </c>
      <c r="E18" s="53" t="s">
        <v>172</v>
      </c>
      <c r="F18" s="30" t="s">
        <v>129</v>
      </c>
      <c r="G18" s="33">
        <v>1</v>
      </c>
      <c r="H18" s="35">
        <v>24</v>
      </c>
      <c r="I18" s="7">
        <v>6000</v>
      </c>
      <c r="J18" s="14">
        <v>4173</v>
      </c>
      <c r="K18" s="15">
        <f>L18+450</f>
        <v>4623</v>
      </c>
      <c r="L18" s="15">
        <f>976+3197</f>
        <v>4173</v>
      </c>
      <c r="M18" s="15">
        <f t="shared" si="0"/>
        <v>4173</v>
      </c>
      <c r="N18" s="15">
        <v>0</v>
      </c>
      <c r="O18" s="58">
        <f t="shared" si="1"/>
        <v>0</v>
      </c>
      <c r="P18" s="39">
        <f t="shared" si="2"/>
        <v>19</v>
      </c>
      <c r="Q18" s="40">
        <f t="shared" si="3"/>
        <v>5</v>
      </c>
      <c r="R18" s="7"/>
      <c r="S18" s="6">
        <v>5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0.79166666666666663</v>
      </c>
      <c r="AD18" s="10">
        <f t="shared" si="6"/>
        <v>0.79166666666666663</v>
      </c>
      <c r="AE18" s="36">
        <f t="shared" si="7"/>
        <v>0.44270833333333331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119</v>
      </c>
      <c r="D19" s="52" t="s">
        <v>115</v>
      </c>
      <c r="E19" s="53" t="s">
        <v>157</v>
      </c>
      <c r="F19" s="30" t="s">
        <v>118</v>
      </c>
      <c r="G19" s="33">
        <v>4</v>
      </c>
      <c r="H19" s="35">
        <v>24</v>
      </c>
      <c r="I19" s="7">
        <v>200000</v>
      </c>
      <c r="J19" s="14">
        <v>25360</v>
      </c>
      <c r="K19" s="15">
        <f>L19+9612+11036+20524+15980+18940+25128+18856+25256+23464+17440</f>
        <v>211596</v>
      </c>
      <c r="L19" s="15">
        <f>3152*4+3188*4</f>
        <v>25360</v>
      </c>
      <c r="M19" s="15">
        <f t="shared" si="0"/>
        <v>25360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0.44270833333333331</v>
      </c>
      <c r="AF19" s="84">
        <f t="shared" si="8"/>
        <v>14</v>
      </c>
    </row>
    <row r="20" spans="1:32" ht="27" customHeight="1">
      <c r="A20" s="113">
        <v>15</v>
      </c>
      <c r="B20" s="11" t="s">
        <v>57</v>
      </c>
      <c r="C20" s="34" t="s">
        <v>120</v>
      </c>
      <c r="D20" s="52" t="s">
        <v>115</v>
      </c>
      <c r="E20" s="53" t="s">
        <v>152</v>
      </c>
      <c r="F20" s="30" t="s">
        <v>123</v>
      </c>
      <c r="G20" s="12">
        <v>4</v>
      </c>
      <c r="H20" s="13">
        <v>28</v>
      </c>
      <c r="I20" s="31">
        <v>150000</v>
      </c>
      <c r="J20" s="5">
        <v>18364</v>
      </c>
      <c r="K20" s="15">
        <f>L20+23796+26920+25064+6512</f>
        <v>100656</v>
      </c>
      <c r="L20" s="15">
        <f>1183*4+3408*4</f>
        <v>18364</v>
      </c>
      <c r="M20" s="15">
        <f t="shared" si="0"/>
        <v>18364</v>
      </c>
      <c r="N20" s="15">
        <v>0</v>
      </c>
      <c r="O20" s="58">
        <f t="shared" si="1"/>
        <v>0</v>
      </c>
      <c r="P20" s="39">
        <f t="shared" si="2"/>
        <v>18</v>
      </c>
      <c r="Q20" s="40">
        <f t="shared" si="3"/>
        <v>6</v>
      </c>
      <c r="R20" s="7"/>
      <c r="S20" s="6">
        <v>6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0.75</v>
      </c>
      <c r="AD20" s="10">
        <f t="shared" si="6"/>
        <v>0.75</v>
      </c>
      <c r="AE20" s="36">
        <f t="shared" si="7"/>
        <v>0.44270833333333331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267</v>
      </c>
      <c r="F21" s="12" t="s">
        <v>114</v>
      </c>
      <c r="G21" s="12">
        <v>4</v>
      </c>
      <c r="H21" s="35">
        <v>20</v>
      </c>
      <c r="I21" s="7">
        <v>300000</v>
      </c>
      <c r="J21" s="14">
        <v>33668</v>
      </c>
      <c r="K21" s="15">
        <f>L21+28876+33668</f>
        <v>62544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0.44270833333333331</v>
      </c>
      <c r="AF21" s="84">
        <f t="shared" si="8"/>
        <v>16</v>
      </c>
    </row>
    <row r="22" spans="1:32" ht="31.5" customHeight="1" thickBot="1">
      <c r="A22" s="507" t="s">
        <v>34</v>
      </c>
      <c r="B22" s="508"/>
      <c r="C22" s="508"/>
      <c r="D22" s="508"/>
      <c r="E22" s="508"/>
      <c r="F22" s="508"/>
      <c r="G22" s="508"/>
      <c r="H22" s="509"/>
      <c r="I22" s="22">
        <f t="shared" ref="I22:N22" si="10">SUM(I6:I21)</f>
        <v>2945500</v>
      </c>
      <c r="J22" s="19">
        <f t="shared" si="10"/>
        <v>188377</v>
      </c>
      <c r="K22" s="20">
        <f t="shared" si="10"/>
        <v>2136532</v>
      </c>
      <c r="L22" s="21">
        <f t="shared" si="10"/>
        <v>131875</v>
      </c>
      <c r="M22" s="20">
        <f t="shared" si="10"/>
        <v>131875</v>
      </c>
      <c r="N22" s="21">
        <f t="shared" si="10"/>
        <v>0</v>
      </c>
      <c r="O22" s="41">
        <f t="shared" si="1"/>
        <v>0</v>
      </c>
      <c r="P22" s="42">
        <f t="shared" ref="P22:AA22" si="11">SUM(P6:P21)</f>
        <v>170</v>
      </c>
      <c r="Q22" s="43">
        <f t="shared" si="11"/>
        <v>214</v>
      </c>
      <c r="R22" s="23">
        <f t="shared" si="11"/>
        <v>24</v>
      </c>
      <c r="S22" s="24">
        <f t="shared" si="11"/>
        <v>67</v>
      </c>
      <c r="T22" s="24">
        <f t="shared" si="11"/>
        <v>16</v>
      </c>
      <c r="U22" s="24">
        <f t="shared" si="11"/>
        <v>0</v>
      </c>
      <c r="V22" s="25">
        <f t="shared" si="11"/>
        <v>24</v>
      </c>
      <c r="W22" s="26">
        <f t="shared" si="11"/>
        <v>83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AVERAGE(AB6:AB21)</f>
        <v>0.5625</v>
      </c>
      <c r="AC22" s="4">
        <f>AVERAGE(AC6:AC21)</f>
        <v>0.44270833333333331</v>
      </c>
      <c r="AD22" s="4">
        <f>AVERAGE(AD6:AD21)</f>
        <v>0.44270833333333331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510" t="s">
        <v>45</v>
      </c>
      <c r="B49" s="510"/>
      <c r="C49" s="510"/>
      <c r="D49" s="510"/>
      <c r="E49" s="51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511" t="s">
        <v>296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3"/>
      <c r="N50" s="514" t="s">
        <v>299</v>
      </c>
      <c r="O50" s="515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5"/>
      <c r="AA50" s="515"/>
      <c r="AB50" s="515"/>
      <c r="AC50" s="515"/>
      <c r="AD50" s="516"/>
    </row>
    <row r="51" spans="1:32" ht="27" customHeight="1">
      <c r="A51" s="517" t="s">
        <v>2</v>
      </c>
      <c r="B51" s="518"/>
      <c r="C51" s="227" t="s">
        <v>46</v>
      </c>
      <c r="D51" s="227" t="s">
        <v>47</v>
      </c>
      <c r="E51" s="227" t="s">
        <v>107</v>
      </c>
      <c r="F51" s="519" t="s">
        <v>106</v>
      </c>
      <c r="G51" s="520"/>
      <c r="H51" s="520"/>
      <c r="I51" s="520"/>
      <c r="J51" s="520"/>
      <c r="K51" s="520"/>
      <c r="L51" s="520"/>
      <c r="M51" s="521"/>
      <c r="N51" s="67" t="s">
        <v>110</v>
      </c>
      <c r="O51" s="227" t="s">
        <v>46</v>
      </c>
      <c r="P51" s="519" t="s">
        <v>47</v>
      </c>
      <c r="Q51" s="522"/>
      <c r="R51" s="519" t="s">
        <v>38</v>
      </c>
      <c r="S51" s="520"/>
      <c r="T51" s="520"/>
      <c r="U51" s="522"/>
      <c r="V51" s="519" t="s">
        <v>48</v>
      </c>
      <c r="W51" s="520"/>
      <c r="X51" s="520"/>
      <c r="Y51" s="520"/>
      <c r="Z51" s="520"/>
      <c r="AA51" s="520"/>
      <c r="AB51" s="520"/>
      <c r="AC51" s="520"/>
      <c r="AD51" s="521"/>
    </row>
    <row r="52" spans="1:32" ht="27" customHeight="1">
      <c r="A52" s="486" t="s">
        <v>119</v>
      </c>
      <c r="B52" s="487"/>
      <c r="C52" s="230" t="s">
        <v>149</v>
      </c>
      <c r="D52" s="230" t="s">
        <v>115</v>
      </c>
      <c r="E52" s="230" t="s">
        <v>259</v>
      </c>
      <c r="F52" s="488" t="s">
        <v>297</v>
      </c>
      <c r="G52" s="489"/>
      <c r="H52" s="489"/>
      <c r="I52" s="489"/>
      <c r="J52" s="489"/>
      <c r="K52" s="489"/>
      <c r="L52" s="489"/>
      <c r="M52" s="490"/>
      <c r="N52" s="229" t="s">
        <v>119</v>
      </c>
      <c r="O52" s="235" t="s">
        <v>208</v>
      </c>
      <c r="P52" s="502" t="s">
        <v>301</v>
      </c>
      <c r="Q52" s="503"/>
      <c r="R52" s="502" t="s">
        <v>300</v>
      </c>
      <c r="S52" s="504"/>
      <c r="T52" s="504"/>
      <c r="U52" s="503"/>
      <c r="V52" s="472" t="s">
        <v>148</v>
      </c>
      <c r="W52" s="472"/>
      <c r="X52" s="472"/>
      <c r="Y52" s="472"/>
      <c r="Z52" s="472"/>
      <c r="AA52" s="472"/>
      <c r="AB52" s="472"/>
      <c r="AC52" s="472"/>
      <c r="AD52" s="491"/>
    </row>
    <row r="53" spans="1:32" ht="27" customHeight="1">
      <c r="A53" s="500" t="s">
        <v>120</v>
      </c>
      <c r="B53" s="501"/>
      <c r="C53" s="228" t="s">
        <v>226</v>
      </c>
      <c r="D53" s="228" t="s">
        <v>115</v>
      </c>
      <c r="E53" s="230" t="s">
        <v>152</v>
      </c>
      <c r="F53" s="488" t="s">
        <v>200</v>
      </c>
      <c r="G53" s="489"/>
      <c r="H53" s="489"/>
      <c r="I53" s="489"/>
      <c r="J53" s="489"/>
      <c r="K53" s="489"/>
      <c r="L53" s="489"/>
      <c r="M53" s="490"/>
      <c r="N53" s="229" t="s">
        <v>120</v>
      </c>
      <c r="O53" s="235" t="s">
        <v>195</v>
      </c>
      <c r="P53" s="502" t="s">
        <v>115</v>
      </c>
      <c r="Q53" s="503"/>
      <c r="R53" s="502" t="s">
        <v>234</v>
      </c>
      <c r="S53" s="504"/>
      <c r="T53" s="504"/>
      <c r="U53" s="503"/>
      <c r="V53" s="472" t="s">
        <v>148</v>
      </c>
      <c r="W53" s="472"/>
      <c r="X53" s="472"/>
      <c r="Y53" s="472"/>
      <c r="Z53" s="472"/>
      <c r="AA53" s="472"/>
      <c r="AB53" s="472"/>
      <c r="AC53" s="472"/>
      <c r="AD53" s="491"/>
    </row>
    <row r="54" spans="1:32" ht="27" customHeight="1">
      <c r="A54" s="500" t="s">
        <v>112</v>
      </c>
      <c r="B54" s="501"/>
      <c r="C54" s="228" t="s">
        <v>195</v>
      </c>
      <c r="D54" s="228" t="s">
        <v>294</v>
      </c>
      <c r="E54" s="230" t="s">
        <v>295</v>
      </c>
      <c r="F54" s="488" t="s">
        <v>148</v>
      </c>
      <c r="G54" s="489"/>
      <c r="H54" s="489"/>
      <c r="I54" s="489"/>
      <c r="J54" s="489"/>
      <c r="K54" s="489"/>
      <c r="L54" s="489"/>
      <c r="M54" s="490"/>
      <c r="N54" s="229" t="s">
        <v>122</v>
      </c>
      <c r="O54" s="235" t="s">
        <v>196</v>
      </c>
      <c r="P54" s="502" t="s">
        <v>115</v>
      </c>
      <c r="Q54" s="503"/>
      <c r="R54" s="502" t="s">
        <v>302</v>
      </c>
      <c r="S54" s="504"/>
      <c r="T54" s="504"/>
      <c r="U54" s="503"/>
      <c r="V54" s="472" t="s">
        <v>148</v>
      </c>
      <c r="W54" s="472"/>
      <c r="X54" s="472"/>
      <c r="Y54" s="472"/>
      <c r="Z54" s="472"/>
      <c r="AA54" s="472"/>
      <c r="AB54" s="472"/>
      <c r="AC54" s="472"/>
      <c r="AD54" s="491"/>
    </row>
    <row r="55" spans="1:32" ht="27" customHeight="1">
      <c r="A55" s="486" t="s">
        <v>119</v>
      </c>
      <c r="B55" s="487"/>
      <c r="C55" s="230" t="s">
        <v>208</v>
      </c>
      <c r="D55" s="230" t="s">
        <v>160</v>
      </c>
      <c r="E55" s="230" t="s">
        <v>286</v>
      </c>
      <c r="F55" s="488" t="s">
        <v>298</v>
      </c>
      <c r="G55" s="489"/>
      <c r="H55" s="489"/>
      <c r="I55" s="489"/>
      <c r="J55" s="489"/>
      <c r="K55" s="489"/>
      <c r="L55" s="489"/>
      <c r="M55" s="490"/>
      <c r="N55" s="229"/>
      <c r="O55" s="235"/>
      <c r="P55" s="502"/>
      <c r="Q55" s="503"/>
      <c r="R55" s="502"/>
      <c r="S55" s="504"/>
      <c r="T55" s="504"/>
      <c r="U55" s="503"/>
      <c r="V55" s="472"/>
      <c r="W55" s="472"/>
      <c r="X55" s="472"/>
      <c r="Y55" s="472"/>
      <c r="Z55" s="472"/>
      <c r="AA55" s="472"/>
      <c r="AB55" s="472"/>
      <c r="AC55" s="472"/>
      <c r="AD55" s="491"/>
    </row>
    <row r="56" spans="1:32" ht="27" customHeight="1">
      <c r="A56" s="486"/>
      <c r="B56" s="487"/>
      <c r="C56" s="230"/>
      <c r="D56" s="228"/>
      <c r="E56" s="230"/>
      <c r="F56" s="488"/>
      <c r="G56" s="489"/>
      <c r="H56" s="489"/>
      <c r="I56" s="489"/>
      <c r="J56" s="489"/>
      <c r="K56" s="489"/>
      <c r="L56" s="489"/>
      <c r="M56" s="490"/>
      <c r="N56" s="229"/>
      <c r="O56" s="235"/>
      <c r="P56" s="502"/>
      <c r="Q56" s="503"/>
      <c r="R56" s="502"/>
      <c r="S56" s="504"/>
      <c r="T56" s="504"/>
      <c r="U56" s="503"/>
      <c r="V56" s="472"/>
      <c r="W56" s="472"/>
      <c r="X56" s="472"/>
      <c r="Y56" s="472"/>
      <c r="Z56" s="472"/>
      <c r="AA56" s="472"/>
      <c r="AB56" s="472"/>
      <c r="AC56" s="472"/>
      <c r="AD56" s="491"/>
    </row>
    <row r="57" spans="1:32" ht="27" customHeight="1">
      <c r="A57" s="500"/>
      <c r="B57" s="501"/>
      <c r="C57" s="228"/>
      <c r="D57" s="228"/>
      <c r="E57" s="230"/>
      <c r="F57" s="488"/>
      <c r="G57" s="489"/>
      <c r="H57" s="489"/>
      <c r="I57" s="489"/>
      <c r="J57" s="489"/>
      <c r="K57" s="489"/>
      <c r="L57" s="489"/>
      <c r="M57" s="490"/>
      <c r="N57" s="229"/>
      <c r="O57" s="235"/>
      <c r="P57" s="502"/>
      <c r="Q57" s="503"/>
      <c r="R57" s="502"/>
      <c r="S57" s="504"/>
      <c r="T57" s="504"/>
      <c r="U57" s="503"/>
      <c r="V57" s="488"/>
      <c r="W57" s="489"/>
      <c r="X57" s="489"/>
      <c r="Y57" s="489"/>
      <c r="Z57" s="489"/>
      <c r="AA57" s="489"/>
      <c r="AB57" s="489"/>
      <c r="AC57" s="489"/>
      <c r="AD57" s="490"/>
    </row>
    <row r="58" spans="1:32" ht="27" customHeight="1">
      <c r="A58" s="500"/>
      <c r="B58" s="501"/>
      <c r="C58" s="228"/>
      <c r="D58" s="228"/>
      <c r="E58" s="230"/>
      <c r="F58" s="488"/>
      <c r="G58" s="489"/>
      <c r="H58" s="489"/>
      <c r="I58" s="489"/>
      <c r="J58" s="489"/>
      <c r="K58" s="489"/>
      <c r="L58" s="489"/>
      <c r="M58" s="490"/>
      <c r="N58" s="229"/>
      <c r="O58" s="235"/>
      <c r="P58" s="502"/>
      <c r="Q58" s="503"/>
      <c r="R58" s="487"/>
      <c r="S58" s="487"/>
      <c r="T58" s="487"/>
      <c r="U58" s="487"/>
      <c r="V58" s="472"/>
      <c r="W58" s="472"/>
      <c r="X58" s="472"/>
      <c r="Y58" s="472"/>
      <c r="Z58" s="472"/>
      <c r="AA58" s="472"/>
      <c r="AB58" s="472"/>
      <c r="AC58" s="472"/>
      <c r="AD58" s="491"/>
    </row>
    <row r="59" spans="1:32" ht="27" customHeight="1">
      <c r="A59" s="500"/>
      <c r="B59" s="501"/>
      <c r="C59" s="228"/>
      <c r="D59" s="228"/>
      <c r="E59" s="230"/>
      <c r="F59" s="488"/>
      <c r="G59" s="489"/>
      <c r="H59" s="489"/>
      <c r="I59" s="489"/>
      <c r="J59" s="489"/>
      <c r="K59" s="489"/>
      <c r="L59" s="489"/>
      <c r="M59" s="490"/>
      <c r="N59" s="229"/>
      <c r="O59" s="235"/>
      <c r="P59" s="502"/>
      <c r="Q59" s="503"/>
      <c r="R59" s="487"/>
      <c r="S59" s="487"/>
      <c r="T59" s="487"/>
      <c r="U59" s="487"/>
      <c r="V59" s="472"/>
      <c r="W59" s="472"/>
      <c r="X59" s="472"/>
      <c r="Y59" s="472"/>
      <c r="Z59" s="472"/>
      <c r="AA59" s="472"/>
      <c r="AB59" s="472"/>
      <c r="AC59" s="472"/>
      <c r="AD59" s="491"/>
    </row>
    <row r="60" spans="1:32" ht="27" customHeight="1">
      <c r="A60" s="486"/>
      <c r="B60" s="487"/>
      <c r="C60" s="230"/>
      <c r="D60" s="230"/>
      <c r="E60" s="230"/>
      <c r="F60" s="488"/>
      <c r="G60" s="489"/>
      <c r="H60" s="489"/>
      <c r="I60" s="489"/>
      <c r="J60" s="489"/>
      <c r="K60" s="489"/>
      <c r="L60" s="489"/>
      <c r="M60" s="490"/>
      <c r="N60" s="229"/>
      <c r="O60" s="235"/>
      <c r="P60" s="487"/>
      <c r="Q60" s="487"/>
      <c r="R60" s="487"/>
      <c r="S60" s="487"/>
      <c r="T60" s="487"/>
      <c r="U60" s="487"/>
      <c r="V60" s="472"/>
      <c r="W60" s="472"/>
      <c r="X60" s="472"/>
      <c r="Y60" s="472"/>
      <c r="Z60" s="472"/>
      <c r="AA60" s="472"/>
      <c r="AB60" s="472"/>
      <c r="AC60" s="472"/>
      <c r="AD60" s="491"/>
      <c r="AF60" s="84">
        <f>8*3000</f>
        <v>24000</v>
      </c>
    </row>
    <row r="61" spans="1:32" ht="27" customHeight="1" thickBot="1">
      <c r="A61" s="492"/>
      <c r="B61" s="493"/>
      <c r="C61" s="231"/>
      <c r="D61" s="232"/>
      <c r="E61" s="232"/>
      <c r="F61" s="494"/>
      <c r="G61" s="495"/>
      <c r="H61" s="495"/>
      <c r="I61" s="495"/>
      <c r="J61" s="495"/>
      <c r="K61" s="495"/>
      <c r="L61" s="495"/>
      <c r="M61" s="496"/>
      <c r="N61" s="112"/>
      <c r="O61" s="103"/>
      <c r="P61" s="497"/>
      <c r="Q61" s="497"/>
      <c r="R61" s="497"/>
      <c r="S61" s="497"/>
      <c r="T61" s="497"/>
      <c r="U61" s="497"/>
      <c r="V61" s="498"/>
      <c r="W61" s="498"/>
      <c r="X61" s="498"/>
      <c r="Y61" s="498"/>
      <c r="Z61" s="498"/>
      <c r="AA61" s="498"/>
      <c r="AB61" s="498"/>
      <c r="AC61" s="498"/>
      <c r="AD61" s="499"/>
      <c r="AF61" s="84">
        <f>16*3000</f>
        <v>48000</v>
      </c>
    </row>
    <row r="62" spans="1:32" ht="27.75" thickBot="1">
      <c r="A62" s="484" t="s">
        <v>303</v>
      </c>
      <c r="B62" s="484"/>
      <c r="C62" s="484"/>
      <c r="D62" s="484"/>
      <c r="E62" s="48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85" t="s">
        <v>111</v>
      </c>
      <c r="B63" s="479"/>
      <c r="C63" s="233" t="s">
        <v>2</v>
      </c>
      <c r="D63" s="233" t="s">
        <v>37</v>
      </c>
      <c r="E63" s="233" t="s">
        <v>3</v>
      </c>
      <c r="F63" s="479" t="s">
        <v>109</v>
      </c>
      <c r="G63" s="479"/>
      <c r="H63" s="479"/>
      <c r="I63" s="479"/>
      <c r="J63" s="479"/>
      <c r="K63" s="479" t="s">
        <v>39</v>
      </c>
      <c r="L63" s="479"/>
      <c r="M63" s="233" t="s">
        <v>40</v>
      </c>
      <c r="N63" s="479" t="s">
        <v>41</v>
      </c>
      <c r="O63" s="479"/>
      <c r="P63" s="476" t="s">
        <v>42</v>
      </c>
      <c r="Q63" s="478"/>
      <c r="R63" s="476" t="s">
        <v>43</v>
      </c>
      <c r="S63" s="477"/>
      <c r="T63" s="477"/>
      <c r="U63" s="477"/>
      <c r="V63" s="477"/>
      <c r="W63" s="477"/>
      <c r="X63" s="477"/>
      <c r="Y63" s="477"/>
      <c r="Z63" s="477"/>
      <c r="AA63" s="478"/>
      <c r="AB63" s="479" t="s">
        <v>44</v>
      </c>
      <c r="AC63" s="479"/>
      <c r="AD63" s="480"/>
      <c r="AF63" s="84">
        <f>SUM(AF60:AF62)</f>
        <v>96000</v>
      </c>
    </row>
    <row r="64" spans="1:32" ht="25.5" customHeight="1">
      <c r="A64" s="467">
        <v>1</v>
      </c>
      <c r="B64" s="468"/>
      <c r="C64" s="105"/>
      <c r="D64" s="237"/>
      <c r="E64" s="234"/>
      <c r="F64" s="473"/>
      <c r="G64" s="474"/>
      <c r="H64" s="474"/>
      <c r="I64" s="474"/>
      <c r="J64" s="475"/>
      <c r="K64" s="461"/>
      <c r="L64" s="461"/>
      <c r="M64" s="51"/>
      <c r="N64" s="470"/>
      <c r="O64" s="470"/>
      <c r="P64" s="471"/>
      <c r="Q64" s="471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81"/>
      <c r="AC64" s="482"/>
      <c r="AD64" s="483"/>
      <c r="AF64" s="50"/>
    </row>
    <row r="65" spans="1:32" ht="25.5" customHeight="1">
      <c r="A65" s="467">
        <v>2</v>
      </c>
      <c r="B65" s="468"/>
      <c r="C65" s="105"/>
      <c r="D65" s="237"/>
      <c r="E65" s="234"/>
      <c r="F65" s="473"/>
      <c r="G65" s="474"/>
      <c r="H65" s="474"/>
      <c r="I65" s="474"/>
      <c r="J65" s="475"/>
      <c r="K65" s="461"/>
      <c r="L65" s="461"/>
      <c r="M65" s="51"/>
      <c r="N65" s="470"/>
      <c r="O65" s="470"/>
      <c r="P65" s="471"/>
      <c r="Q65" s="471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61"/>
      <c r="AC65" s="461"/>
      <c r="AD65" s="462"/>
      <c r="AF65" s="50"/>
    </row>
    <row r="66" spans="1:32" ht="25.5" customHeight="1">
      <c r="A66" s="467">
        <v>3</v>
      </c>
      <c r="B66" s="468"/>
      <c r="C66" s="105"/>
      <c r="D66" s="237"/>
      <c r="E66" s="234"/>
      <c r="F66" s="473"/>
      <c r="G66" s="474"/>
      <c r="H66" s="474"/>
      <c r="I66" s="474"/>
      <c r="J66" s="475"/>
      <c r="K66" s="461"/>
      <c r="L66" s="461"/>
      <c r="M66" s="51"/>
      <c r="N66" s="470"/>
      <c r="O66" s="470"/>
      <c r="P66" s="471"/>
      <c r="Q66" s="471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61"/>
      <c r="AC66" s="461"/>
      <c r="AD66" s="462"/>
      <c r="AF66" s="50"/>
    </row>
    <row r="67" spans="1:32" ht="25.5" customHeight="1">
      <c r="A67" s="467">
        <v>4</v>
      </c>
      <c r="B67" s="468"/>
      <c r="C67" s="105"/>
      <c r="D67" s="237"/>
      <c r="E67" s="234"/>
      <c r="F67" s="473"/>
      <c r="G67" s="474"/>
      <c r="H67" s="474"/>
      <c r="I67" s="474"/>
      <c r="J67" s="475"/>
      <c r="K67" s="461"/>
      <c r="L67" s="461"/>
      <c r="M67" s="51"/>
      <c r="N67" s="470"/>
      <c r="O67" s="470"/>
      <c r="P67" s="471"/>
      <c r="Q67" s="471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61"/>
      <c r="AC67" s="461"/>
      <c r="AD67" s="462"/>
      <c r="AF67" s="50"/>
    </row>
    <row r="68" spans="1:32" ht="25.5" customHeight="1">
      <c r="A68" s="467">
        <v>5</v>
      </c>
      <c r="B68" s="468"/>
      <c r="C68" s="105"/>
      <c r="D68" s="237"/>
      <c r="E68" s="234"/>
      <c r="F68" s="473"/>
      <c r="G68" s="474"/>
      <c r="H68" s="474"/>
      <c r="I68" s="474"/>
      <c r="J68" s="475"/>
      <c r="K68" s="461"/>
      <c r="L68" s="461"/>
      <c r="M68" s="51"/>
      <c r="N68" s="470"/>
      <c r="O68" s="470"/>
      <c r="P68" s="471"/>
      <c r="Q68" s="471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61"/>
      <c r="AC68" s="461"/>
      <c r="AD68" s="462"/>
      <c r="AF68" s="50"/>
    </row>
    <row r="69" spans="1:32" ht="25.5" customHeight="1">
      <c r="A69" s="467">
        <v>6</v>
      </c>
      <c r="B69" s="468"/>
      <c r="C69" s="105"/>
      <c r="D69" s="237"/>
      <c r="E69" s="234"/>
      <c r="F69" s="473"/>
      <c r="G69" s="474"/>
      <c r="H69" s="474"/>
      <c r="I69" s="474"/>
      <c r="J69" s="475"/>
      <c r="K69" s="461"/>
      <c r="L69" s="461"/>
      <c r="M69" s="51"/>
      <c r="N69" s="470"/>
      <c r="O69" s="470"/>
      <c r="P69" s="471"/>
      <c r="Q69" s="471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61"/>
      <c r="AC69" s="461"/>
      <c r="AD69" s="462"/>
      <c r="AF69" s="50"/>
    </row>
    <row r="70" spans="1:32" ht="25.5" customHeight="1">
      <c r="A70" s="467">
        <v>7</v>
      </c>
      <c r="B70" s="468"/>
      <c r="C70" s="105"/>
      <c r="D70" s="237"/>
      <c r="E70" s="234"/>
      <c r="F70" s="469"/>
      <c r="G70" s="461"/>
      <c r="H70" s="461"/>
      <c r="I70" s="461"/>
      <c r="J70" s="461"/>
      <c r="K70" s="461"/>
      <c r="L70" s="461"/>
      <c r="M70" s="51"/>
      <c r="N70" s="470"/>
      <c r="O70" s="470"/>
      <c r="P70" s="471"/>
      <c r="Q70" s="471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61"/>
      <c r="AC70" s="461"/>
      <c r="AD70" s="462"/>
      <c r="AF70" s="50"/>
    </row>
    <row r="71" spans="1:32" ht="25.5" customHeight="1">
      <c r="A71" s="467">
        <v>8</v>
      </c>
      <c r="B71" s="468"/>
      <c r="C71" s="105"/>
      <c r="D71" s="237"/>
      <c r="E71" s="234"/>
      <c r="F71" s="469"/>
      <c r="G71" s="461"/>
      <c r="H71" s="461"/>
      <c r="I71" s="461"/>
      <c r="J71" s="461"/>
      <c r="K71" s="461"/>
      <c r="L71" s="461"/>
      <c r="M71" s="51"/>
      <c r="N71" s="470"/>
      <c r="O71" s="470"/>
      <c r="P71" s="471"/>
      <c r="Q71" s="471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61"/>
      <c r="AC71" s="461"/>
      <c r="AD71" s="462"/>
      <c r="AF71" s="50"/>
    </row>
    <row r="72" spans="1:32" ht="25.5" customHeight="1">
      <c r="A72" s="467">
        <v>9</v>
      </c>
      <c r="B72" s="468"/>
      <c r="C72" s="105"/>
      <c r="D72" s="237"/>
      <c r="E72" s="234"/>
      <c r="F72" s="469"/>
      <c r="G72" s="461"/>
      <c r="H72" s="461"/>
      <c r="I72" s="461"/>
      <c r="J72" s="461"/>
      <c r="K72" s="461"/>
      <c r="L72" s="461"/>
      <c r="M72" s="51"/>
      <c r="N72" s="470"/>
      <c r="O72" s="470"/>
      <c r="P72" s="471"/>
      <c r="Q72" s="471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61"/>
      <c r="AC72" s="461"/>
      <c r="AD72" s="462"/>
      <c r="AF72" s="50"/>
    </row>
    <row r="73" spans="1:32" ht="25.5" customHeight="1">
      <c r="A73" s="467">
        <v>10</v>
      </c>
      <c r="B73" s="468"/>
      <c r="C73" s="105"/>
      <c r="D73" s="237"/>
      <c r="E73" s="234"/>
      <c r="F73" s="469"/>
      <c r="G73" s="461"/>
      <c r="H73" s="461"/>
      <c r="I73" s="461"/>
      <c r="J73" s="461"/>
      <c r="K73" s="461"/>
      <c r="L73" s="461"/>
      <c r="M73" s="51"/>
      <c r="N73" s="470"/>
      <c r="O73" s="470"/>
      <c r="P73" s="471"/>
      <c r="Q73" s="471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61"/>
      <c r="AC73" s="461"/>
      <c r="AD73" s="462"/>
      <c r="AF73" s="50"/>
    </row>
    <row r="74" spans="1:32" ht="26.25" customHeight="1" thickBot="1">
      <c r="A74" s="441" t="s">
        <v>304</v>
      </c>
      <c r="B74" s="441"/>
      <c r="C74" s="441"/>
      <c r="D74" s="441"/>
      <c r="E74" s="441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42" t="s">
        <v>175</v>
      </c>
      <c r="B75" s="443"/>
      <c r="C75" s="236" t="s">
        <v>2</v>
      </c>
      <c r="D75" s="236" t="s">
        <v>37</v>
      </c>
      <c r="E75" s="236" t="s">
        <v>142</v>
      </c>
      <c r="F75" s="443" t="s">
        <v>38</v>
      </c>
      <c r="G75" s="443"/>
      <c r="H75" s="443"/>
      <c r="I75" s="443"/>
      <c r="J75" s="443"/>
      <c r="K75" s="463" t="s">
        <v>58</v>
      </c>
      <c r="L75" s="464"/>
      <c r="M75" s="464"/>
      <c r="N75" s="464"/>
      <c r="O75" s="464"/>
      <c r="P75" s="464"/>
      <c r="Q75" s="464"/>
      <c r="R75" s="464"/>
      <c r="S75" s="465"/>
      <c r="T75" s="443" t="s">
        <v>49</v>
      </c>
      <c r="U75" s="443"/>
      <c r="V75" s="463" t="s">
        <v>50</v>
      </c>
      <c r="W75" s="465"/>
      <c r="X75" s="464" t="s">
        <v>51</v>
      </c>
      <c r="Y75" s="464"/>
      <c r="Z75" s="464"/>
      <c r="AA75" s="464"/>
      <c r="AB75" s="464"/>
      <c r="AC75" s="464"/>
      <c r="AD75" s="466"/>
      <c r="AF75" s="50"/>
    </row>
    <row r="76" spans="1:32" ht="33.75" customHeight="1">
      <c r="A76" s="435">
        <v>1</v>
      </c>
      <c r="B76" s="436"/>
      <c r="C76" s="238" t="s">
        <v>112</v>
      </c>
      <c r="D76" s="238"/>
      <c r="E76" s="65" t="s">
        <v>117</v>
      </c>
      <c r="F76" s="450" t="s">
        <v>116</v>
      </c>
      <c r="G76" s="451"/>
      <c r="H76" s="451"/>
      <c r="I76" s="451"/>
      <c r="J76" s="452"/>
      <c r="K76" s="453" t="s">
        <v>121</v>
      </c>
      <c r="L76" s="454"/>
      <c r="M76" s="454"/>
      <c r="N76" s="454"/>
      <c r="O76" s="454"/>
      <c r="P76" s="454"/>
      <c r="Q76" s="454"/>
      <c r="R76" s="454"/>
      <c r="S76" s="455"/>
      <c r="T76" s="456">
        <v>43675</v>
      </c>
      <c r="U76" s="457"/>
      <c r="V76" s="458"/>
      <c r="W76" s="458"/>
      <c r="X76" s="459"/>
      <c r="Y76" s="459"/>
      <c r="Z76" s="459"/>
      <c r="AA76" s="459"/>
      <c r="AB76" s="459"/>
      <c r="AC76" s="459"/>
      <c r="AD76" s="460"/>
      <c r="AF76" s="50"/>
    </row>
    <row r="77" spans="1:32" ht="30" customHeight="1">
      <c r="A77" s="428">
        <f>A76+1</f>
        <v>2</v>
      </c>
      <c r="B77" s="429"/>
      <c r="C77" s="237"/>
      <c r="D77" s="237"/>
      <c r="E77" s="32"/>
      <c r="F77" s="429"/>
      <c r="G77" s="429"/>
      <c r="H77" s="429"/>
      <c r="I77" s="429"/>
      <c r="J77" s="429"/>
      <c r="K77" s="444"/>
      <c r="L77" s="445"/>
      <c r="M77" s="445"/>
      <c r="N77" s="445"/>
      <c r="O77" s="445"/>
      <c r="P77" s="445"/>
      <c r="Q77" s="445"/>
      <c r="R77" s="445"/>
      <c r="S77" s="446"/>
      <c r="T77" s="447"/>
      <c r="U77" s="447"/>
      <c r="V77" s="447"/>
      <c r="W77" s="447"/>
      <c r="X77" s="448"/>
      <c r="Y77" s="448"/>
      <c r="Z77" s="448"/>
      <c r="AA77" s="448"/>
      <c r="AB77" s="448"/>
      <c r="AC77" s="448"/>
      <c r="AD77" s="449"/>
      <c r="AF77" s="50"/>
    </row>
    <row r="78" spans="1:32" ht="30" customHeight="1">
      <c r="A78" s="428">
        <f t="shared" ref="A78:A82" si="12">A77+1</f>
        <v>3</v>
      </c>
      <c r="B78" s="429"/>
      <c r="C78" s="237"/>
      <c r="D78" s="237"/>
      <c r="E78" s="32"/>
      <c r="F78" s="429"/>
      <c r="G78" s="429"/>
      <c r="H78" s="429"/>
      <c r="I78" s="429"/>
      <c r="J78" s="429"/>
      <c r="K78" s="444"/>
      <c r="L78" s="445"/>
      <c r="M78" s="445"/>
      <c r="N78" s="445"/>
      <c r="O78" s="445"/>
      <c r="P78" s="445"/>
      <c r="Q78" s="445"/>
      <c r="R78" s="445"/>
      <c r="S78" s="446"/>
      <c r="T78" s="447"/>
      <c r="U78" s="447"/>
      <c r="V78" s="447"/>
      <c r="W78" s="447"/>
      <c r="X78" s="448"/>
      <c r="Y78" s="448"/>
      <c r="Z78" s="448"/>
      <c r="AA78" s="448"/>
      <c r="AB78" s="448"/>
      <c r="AC78" s="448"/>
      <c r="AD78" s="449"/>
      <c r="AF78" s="50"/>
    </row>
    <row r="79" spans="1:32" ht="30" customHeight="1">
      <c r="A79" s="428">
        <f t="shared" si="12"/>
        <v>4</v>
      </c>
      <c r="B79" s="429"/>
      <c r="C79" s="237"/>
      <c r="D79" s="237"/>
      <c r="E79" s="32"/>
      <c r="F79" s="429"/>
      <c r="G79" s="429"/>
      <c r="H79" s="429"/>
      <c r="I79" s="429"/>
      <c r="J79" s="429"/>
      <c r="K79" s="444"/>
      <c r="L79" s="445"/>
      <c r="M79" s="445"/>
      <c r="N79" s="445"/>
      <c r="O79" s="445"/>
      <c r="P79" s="445"/>
      <c r="Q79" s="445"/>
      <c r="R79" s="445"/>
      <c r="S79" s="446"/>
      <c r="T79" s="447"/>
      <c r="U79" s="447"/>
      <c r="V79" s="447"/>
      <c r="W79" s="447"/>
      <c r="X79" s="448"/>
      <c r="Y79" s="448"/>
      <c r="Z79" s="448"/>
      <c r="AA79" s="448"/>
      <c r="AB79" s="448"/>
      <c r="AC79" s="448"/>
      <c r="AD79" s="449"/>
      <c r="AF79" s="50"/>
    </row>
    <row r="80" spans="1:32" ht="30" customHeight="1">
      <c r="A80" s="428">
        <f t="shared" si="12"/>
        <v>5</v>
      </c>
      <c r="B80" s="429"/>
      <c r="C80" s="237"/>
      <c r="D80" s="237"/>
      <c r="E80" s="32"/>
      <c r="F80" s="429"/>
      <c r="G80" s="429"/>
      <c r="H80" s="429"/>
      <c r="I80" s="429"/>
      <c r="J80" s="429"/>
      <c r="K80" s="444"/>
      <c r="L80" s="445"/>
      <c r="M80" s="445"/>
      <c r="N80" s="445"/>
      <c r="O80" s="445"/>
      <c r="P80" s="445"/>
      <c r="Q80" s="445"/>
      <c r="R80" s="445"/>
      <c r="S80" s="446"/>
      <c r="T80" s="447"/>
      <c r="U80" s="447"/>
      <c r="V80" s="447"/>
      <c r="W80" s="447"/>
      <c r="X80" s="448"/>
      <c r="Y80" s="448"/>
      <c r="Z80" s="448"/>
      <c r="AA80" s="448"/>
      <c r="AB80" s="448"/>
      <c r="AC80" s="448"/>
      <c r="AD80" s="449"/>
      <c r="AF80" s="50"/>
    </row>
    <row r="81" spans="1:32" ht="30" customHeight="1">
      <c r="A81" s="428">
        <f t="shared" si="12"/>
        <v>6</v>
      </c>
      <c r="B81" s="429"/>
      <c r="C81" s="237"/>
      <c r="D81" s="237"/>
      <c r="E81" s="32"/>
      <c r="F81" s="429"/>
      <c r="G81" s="429"/>
      <c r="H81" s="429"/>
      <c r="I81" s="429"/>
      <c r="J81" s="429"/>
      <c r="K81" s="444"/>
      <c r="L81" s="445"/>
      <c r="M81" s="445"/>
      <c r="N81" s="445"/>
      <c r="O81" s="445"/>
      <c r="P81" s="445"/>
      <c r="Q81" s="445"/>
      <c r="R81" s="445"/>
      <c r="S81" s="446"/>
      <c r="T81" s="447"/>
      <c r="U81" s="447"/>
      <c r="V81" s="447"/>
      <c r="W81" s="447"/>
      <c r="X81" s="448"/>
      <c r="Y81" s="448"/>
      <c r="Z81" s="448"/>
      <c r="AA81" s="448"/>
      <c r="AB81" s="448"/>
      <c r="AC81" s="448"/>
      <c r="AD81" s="449"/>
      <c r="AF81" s="50"/>
    </row>
    <row r="82" spans="1:32" ht="30" customHeight="1">
      <c r="A82" s="428">
        <f t="shared" si="12"/>
        <v>7</v>
      </c>
      <c r="B82" s="429"/>
      <c r="C82" s="237"/>
      <c r="D82" s="237"/>
      <c r="E82" s="32"/>
      <c r="F82" s="429"/>
      <c r="G82" s="429"/>
      <c r="H82" s="429"/>
      <c r="I82" s="429"/>
      <c r="J82" s="429"/>
      <c r="K82" s="444"/>
      <c r="L82" s="445"/>
      <c r="M82" s="445"/>
      <c r="N82" s="445"/>
      <c r="O82" s="445"/>
      <c r="P82" s="445"/>
      <c r="Q82" s="445"/>
      <c r="R82" s="445"/>
      <c r="S82" s="446"/>
      <c r="T82" s="447"/>
      <c r="U82" s="447"/>
      <c r="V82" s="447"/>
      <c r="W82" s="447"/>
      <c r="X82" s="448"/>
      <c r="Y82" s="448"/>
      <c r="Z82" s="448"/>
      <c r="AA82" s="448"/>
      <c r="AB82" s="448"/>
      <c r="AC82" s="448"/>
      <c r="AD82" s="449"/>
      <c r="AF82" s="50"/>
    </row>
    <row r="83" spans="1:32" ht="36" thickBot="1">
      <c r="A83" s="441" t="s">
        <v>305</v>
      </c>
      <c r="B83" s="441"/>
      <c r="C83" s="441"/>
      <c r="D83" s="441"/>
      <c r="E83" s="44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42" t="s">
        <v>111</v>
      </c>
      <c r="B84" s="443"/>
      <c r="C84" s="433" t="s">
        <v>52</v>
      </c>
      <c r="D84" s="433"/>
      <c r="E84" s="433" t="s">
        <v>53</v>
      </c>
      <c r="F84" s="433"/>
      <c r="G84" s="433"/>
      <c r="H84" s="433"/>
      <c r="I84" s="433"/>
      <c r="J84" s="433"/>
      <c r="K84" s="433" t="s">
        <v>54</v>
      </c>
      <c r="L84" s="433"/>
      <c r="M84" s="433"/>
      <c r="N84" s="433"/>
      <c r="O84" s="433"/>
      <c r="P84" s="433"/>
      <c r="Q84" s="433"/>
      <c r="R84" s="433"/>
      <c r="S84" s="433"/>
      <c r="T84" s="433" t="s">
        <v>55</v>
      </c>
      <c r="U84" s="433"/>
      <c r="V84" s="433" t="s">
        <v>56</v>
      </c>
      <c r="W84" s="433"/>
      <c r="X84" s="433"/>
      <c r="Y84" s="433" t="s">
        <v>51</v>
      </c>
      <c r="Z84" s="433"/>
      <c r="AA84" s="433"/>
      <c r="AB84" s="433"/>
      <c r="AC84" s="433"/>
      <c r="AD84" s="434"/>
      <c r="AF84" s="50"/>
    </row>
    <row r="85" spans="1:32" ht="30.75" customHeight="1">
      <c r="A85" s="435">
        <v>1</v>
      </c>
      <c r="B85" s="436"/>
      <c r="C85" s="437">
        <v>11</v>
      </c>
      <c r="D85" s="437"/>
      <c r="E85" s="437" t="s">
        <v>143</v>
      </c>
      <c r="F85" s="437"/>
      <c r="G85" s="437"/>
      <c r="H85" s="437"/>
      <c r="I85" s="437"/>
      <c r="J85" s="437"/>
      <c r="K85" s="437" t="s">
        <v>145</v>
      </c>
      <c r="L85" s="437"/>
      <c r="M85" s="437"/>
      <c r="N85" s="437"/>
      <c r="O85" s="437"/>
      <c r="P85" s="437"/>
      <c r="Q85" s="437"/>
      <c r="R85" s="437"/>
      <c r="S85" s="437"/>
      <c r="T85" s="437" t="s">
        <v>144</v>
      </c>
      <c r="U85" s="437"/>
      <c r="V85" s="438"/>
      <c r="W85" s="438"/>
      <c r="X85" s="438"/>
      <c r="Y85" s="439" t="s">
        <v>146</v>
      </c>
      <c r="Z85" s="439"/>
      <c r="AA85" s="439"/>
      <c r="AB85" s="439"/>
      <c r="AC85" s="439"/>
      <c r="AD85" s="440"/>
      <c r="AF85" s="50"/>
    </row>
    <row r="86" spans="1:32" ht="30.75" customHeight="1">
      <c r="A86" s="428">
        <v>2</v>
      </c>
      <c r="B86" s="429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1"/>
      <c r="U86" s="431"/>
      <c r="V86" s="432"/>
      <c r="W86" s="432"/>
      <c r="X86" s="432"/>
      <c r="Y86" s="421"/>
      <c r="Z86" s="421"/>
      <c r="AA86" s="421"/>
      <c r="AB86" s="421"/>
      <c r="AC86" s="421"/>
      <c r="AD86" s="422"/>
      <c r="AF86" s="50"/>
    </row>
    <row r="87" spans="1:32" ht="30.75" customHeight="1" thickBot="1">
      <c r="A87" s="423">
        <v>3</v>
      </c>
      <c r="B87" s="424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6"/>
      <c r="Z87" s="426"/>
      <c r="AA87" s="426"/>
      <c r="AB87" s="426"/>
      <c r="AC87" s="426"/>
      <c r="AD87" s="427"/>
      <c r="AF87" s="50"/>
    </row>
  </sheetData>
  <mergeCells count="232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47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 지정된 범위</vt:lpstr>
      </vt:variant>
      <vt:variant>
        <vt:i4>46</vt:i4>
      </vt:variant>
    </vt:vector>
  </HeadingPairs>
  <TitlesOfParts>
    <vt:vector size="70" baseType="lpstr">
      <vt:lpstr>03</vt:lpstr>
      <vt:lpstr>04</vt:lpstr>
      <vt:lpstr>05</vt:lpstr>
      <vt:lpstr>06</vt:lpstr>
      <vt:lpstr>07</vt:lpstr>
      <vt:lpstr>08</vt:lpstr>
      <vt:lpstr>10</vt:lpstr>
      <vt:lpstr>11</vt:lpstr>
      <vt:lpstr>12</vt:lpstr>
      <vt:lpstr>13</vt:lpstr>
      <vt:lpstr>14</vt:lpstr>
      <vt:lpstr>15</vt:lpstr>
      <vt:lpstr>17</vt:lpstr>
      <vt:lpstr>18</vt:lpstr>
      <vt:lpstr>19</vt:lpstr>
      <vt:lpstr>20</vt:lpstr>
      <vt:lpstr>21</vt:lpstr>
      <vt:lpstr>24</vt:lpstr>
      <vt:lpstr>25</vt:lpstr>
      <vt:lpstr>26</vt:lpstr>
      <vt:lpstr>27</vt:lpstr>
      <vt:lpstr>28</vt:lpstr>
      <vt:lpstr>31</vt:lpstr>
      <vt:lpstr>총괄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'17'!Print_Area</vt:lpstr>
      <vt:lpstr>'18'!Print_Area</vt:lpstr>
      <vt:lpstr>'19'!Print_Area</vt:lpstr>
      <vt:lpstr>'20'!Print_Area</vt:lpstr>
      <vt:lpstr>'21'!Print_Area</vt:lpstr>
      <vt:lpstr>'24'!Print_Area</vt:lpstr>
      <vt:lpstr>'25'!Print_Area</vt:lpstr>
      <vt:lpstr>'26'!Print_Area</vt:lpstr>
      <vt:lpstr>'27'!Print_Area</vt:lpstr>
      <vt:lpstr>'28'!Print_Area</vt:lpstr>
      <vt:lpstr>'31'!Print_Area</vt:lpstr>
      <vt:lpstr>'03'!ㅁ1</vt:lpstr>
      <vt:lpstr>'04'!ㅁ1</vt:lpstr>
      <vt:lpstr>'05'!ㅁ1</vt:lpstr>
      <vt:lpstr>'06'!ㅁ1</vt:lpstr>
      <vt:lpstr>'07'!ㅁ1</vt:lpstr>
      <vt:lpstr>'08'!ㅁ1</vt:lpstr>
      <vt:lpstr>'10'!ㅁ1</vt:lpstr>
      <vt:lpstr>'11'!ㅁ1</vt:lpstr>
      <vt:lpstr>'12'!ㅁ1</vt:lpstr>
      <vt:lpstr>'13'!ㅁ1</vt:lpstr>
      <vt:lpstr>'14'!ㅁ1</vt:lpstr>
      <vt:lpstr>'15'!ㅁ1</vt:lpstr>
      <vt:lpstr>'17'!ㅁ1</vt:lpstr>
      <vt:lpstr>'18'!ㅁ1</vt:lpstr>
      <vt:lpstr>'19'!ㅁ1</vt:lpstr>
      <vt:lpstr>'20'!ㅁ1</vt:lpstr>
      <vt:lpstr>'21'!ㅁ1</vt:lpstr>
      <vt:lpstr>'24'!ㅁ1</vt:lpstr>
      <vt:lpstr>'25'!ㅁ1</vt:lpstr>
      <vt:lpstr>'26'!ㅁ1</vt:lpstr>
      <vt:lpstr>'27'!ㅁ1</vt:lpstr>
      <vt:lpstr>'28'!ㅁ1</vt:lpstr>
      <vt:lpstr>'31'!ㅁ1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2020-03-30T05:00:42Z</cp:lastPrinted>
  <dcterms:created xsi:type="dcterms:W3CDTF">2014-05-16T00:06:55Z</dcterms:created>
  <dcterms:modified xsi:type="dcterms:W3CDTF">2020-08-31T23:51:46Z</dcterms:modified>
</cp:coreProperties>
</file>