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0년도\일일업무\생산일보\"/>
    </mc:Choice>
  </mc:AlternateContent>
  <xr:revisionPtr revIDLastSave="0" documentId="13_ncr:1_{0A6481C5-B44C-4A5E-B8B7-A9C2F3CE579E}" xr6:coauthVersionLast="45" xr6:coauthVersionMax="45" xr10:uidLastSave="{00000000-0000-0000-0000-000000000000}"/>
  <bookViews>
    <workbookView xWindow="-120" yWindow="-120" windowWidth="29040" windowHeight="15840" firstSheet="2" activeTab="24" xr2:uid="{00000000-000D-0000-FFFF-FFFF00000000}"/>
  </bookViews>
  <sheets>
    <sheet name="01" sheetId="1821" r:id="rId1"/>
    <sheet name="02" sheetId="1822" r:id="rId2"/>
    <sheet name="03" sheetId="1823" r:id="rId3"/>
    <sheet name="04" sheetId="1824" r:id="rId4"/>
    <sheet name="05" sheetId="1825" r:id="rId5"/>
    <sheet name="07" sheetId="1826" r:id="rId6"/>
    <sheet name="08" sheetId="1827" r:id="rId7"/>
    <sheet name="09" sheetId="1828" r:id="rId8"/>
    <sheet name="10" sheetId="1829" r:id="rId9"/>
    <sheet name="11" sheetId="1830" r:id="rId10"/>
    <sheet name="12" sheetId="1831" r:id="rId11"/>
    <sheet name="14" sheetId="1832" r:id="rId12"/>
    <sheet name="15" sheetId="1833" r:id="rId13"/>
    <sheet name="16" sheetId="1834" r:id="rId14"/>
    <sheet name="17" sheetId="1835" r:id="rId15"/>
    <sheet name="18" sheetId="1836" r:id="rId16"/>
    <sheet name="21" sheetId="1837" r:id="rId17"/>
    <sheet name="22" sheetId="1838" r:id="rId18"/>
    <sheet name="23" sheetId="1839" r:id="rId19"/>
    <sheet name="24" sheetId="1840" r:id="rId20"/>
    <sheet name="25" sheetId="1841" r:id="rId21"/>
    <sheet name="26" sheetId="1842" r:id="rId22"/>
    <sheet name="27" sheetId="1843" r:id="rId23"/>
    <sheet name="28" sheetId="1844" r:id="rId24"/>
    <sheet name="29" sheetId="1845" r:id="rId25"/>
    <sheet name="총괄" sheetId="16" r:id="rId26"/>
  </sheets>
  <definedNames>
    <definedName name="_xlnm.Print_Area" localSheetId="0">'01'!$A$1:$AD$87</definedName>
    <definedName name="_xlnm.Print_Area" localSheetId="1">'02'!$A$1:$AD$88</definedName>
    <definedName name="_xlnm.Print_Area" localSheetId="2">'03'!$A$1:$AD$89</definedName>
    <definedName name="_xlnm.Print_Area" localSheetId="3">'04'!$A$1:$AD$87</definedName>
    <definedName name="_xlnm.Print_Area" localSheetId="4">'05'!$A$1:$AD$87</definedName>
    <definedName name="_xlnm.Print_Area" localSheetId="5">'07'!$A$1:$AD$87</definedName>
    <definedName name="_xlnm.Print_Area" localSheetId="6">'08'!$A$1:$AD$88</definedName>
    <definedName name="_xlnm.Print_Area" localSheetId="7">'09'!$A$1:$AD$87</definedName>
    <definedName name="_xlnm.Print_Area" localSheetId="8">'10'!$A$1:$AD$87</definedName>
    <definedName name="_xlnm.Print_Area" localSheetId="9">'11'!$A$1:$AD$87</definedName>
    <definedName name="_xlnm.Print_Area" localSheetId="10">'12'!$A$1:$AD$87</definedName>
    <definedName name="_xlnm.Print_Area" localSheetId="11">'14'!$A$1:$AD$87</definedName>
    <definedName name="_xlnm.Print_Area" localSheetId="12">'15'!$A$1:$AD$87</definedName>
    <definedName name="_xlnm.Print_Area" localSheetId="13">'16'!$A$1:$AD$87</definedName>
    <definedName name="_xlnm.Print_Area" localSheetId="14">'17'!$A$1:$AD$87</definedName>
    <definedName name="_xlnm.Print_Area" localSheetId="15">'18'!$A$1:$AD$87</definedName>
    <definedName name="_xlnm.Print_Area" localSheetId="16">'21'!$A$1:$AD$88</definedName>
    <definedName name="_xlnm.Print_Area" localSheetId="17">'22'!$A$1:$AD$88</definedName>
    <definedName name="_xlnm.Print_Area" localSheetId="18">'23'!$A$1:$AD$87</definedName>
    <definedName name="_xlnm.Print_Area" localSheetId="19">'24'!$A$1:$AD$88</definedName>
    <definedName name="_xlnm.Print_Area" localSheetId="20">'25'!$A$1:$AD$88</definedName>
    <definedName name="_xlnm.Print_Area" localSheetId="21">'26'!$A$1:$AD$87</definedName>
    <definedName name="_xlnm.Print_Area" localSheetId="22">'27'!$A$1:$AD$87</definedName>
    <definedName name="_xlnm.Print_Area" localSheetId="23">'28'!$A$1:$AD$87</definedName>
    <definedName name="_xlnm.Print_Area" localSheetId="24">'29'!$A$1:$AD$87</definedName>
    <definedName name="ㅁ1" localSheetId="0">'01'!$M$1048522:$M$1048576</definedName>
    <definedName name="ㅁ1" localSheetId="1">'02'!$M$1048523:$M$1048576</definedName>
    <definedName name="ㅁ1" localSheetId="2">'03'!$M$1048524:$M$1048576</definedName>
    <definedName name="ㅁ1" localSheetId="3">'04'!$M$1048522:$M$1048576</definedName>
    <definedName name="ㅁ1" localSheetId="4">'05'!$M$1048522:$M$1048576</definedName>
    <definedName name="ㅁ1" localSheetId="5">'07'!$M$1048522:$M$1048576</definedName>
    <definedName name="ㅁ1" localSheetId="6">'08'!$M$1048523:$M$1048576</definedName>
    <definedName name="ㅁ1" localSheetId="7">'09'!$M$1048522:$M$1048576</definedName>
    <definedName name="ㅁ1" localSheetId="8">'10'!$M$1048522:$M$1048576</definedName>
    <definedName name="ㅁ1" localSheetId="9">'11'!$M$1048522:$M$1048576</definedName>
    <definedName name="ㅁ1" localSheetId="10">'12'!$M$1048522:$M$1048576</definedName>
    <definedName name="ㅁ1" localSheetId="11">'14'!$M$1048522:$M$1048576</definedName>
    <definedName name="ㅁ1" localSheetId="12">'15'!$M$1048522:$M$1048576</definedName>
    <definedName name="ㅁ1" localSheetId="13">'16'!$M$1048522:$M$1048576</definedName>
    <definedName name="ㅁ1" localSheetId="14">'17'!$M$1048522:$M$1048576</definedName>
    <definedName name="ㅁ1" localSheetId="15">'18'!$M$1048522:$M$1048576</definedName>
    <definedName name="ㅁ1" localSheetId="16">'21'!$M$1048523:$M$1048576</definedName>
    <definedName name="ㅁ1" localSheetId="17">'22'!$M$1048523:$M$1048576</definedName>
    <definedName name="ㅁ1" localSheetId="18">'23'!$M$1048522:$M$1048576</definedName>
    <definedName name="ㅁ1" localSheetId="19">'24'!$M$1048523:$M$1048576</definedName>
    <definedName name="ㅁ1" localSheetId="20">'25'!$M$1048523:$M$1048576</definedName>
    <definedName name="ㅁ1" localSheetId="21">'26'!$M$1048522:$M$1048576</definedName>
    <definedName name="ㅁ1" localSheetId="22">'27'!$M$1048522:$M$1048576</definedName>
    <definedName name="ㅁ1" localSheetId="23">'28'!$M$1048522:$M$1048576</definedName>
    <definedName name="ㅁ1" localSheetId="24">'29'!$M$1048522:$M$1048576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D19" i="16" l="1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19" i="1845"/>
  <c r="K19" i="1845"/>
  <c r="L18" i="1845"/>
  <c r="L16" i="1845"/>
  <c r="K14" i="1845"/>
  <c r="L11" i="1845" l="1"/>
  <c r="AB11" i="1845" s="1"/>
  <c r="L10" i="1845"/>
  <c r="K10" i="1845" s="1"/>
  <c r="L9" i="1845"/>
  <c r="K9" i="1845" s="1"/>
  <c r="L8" i="1845"/>
  <c r="K8" i="1845" s="1"/>
  <c r="K20" i="1845"/>
  <c r="K18" i="1845"/>
  <c r="K16" i="1845"/>
  <c r="A77" i="1845"/>
  <c r="A78" i="1845" s="1"/>
  <c r="A79" i="1845" s="1"/>
  <c r="A80" i="1845" s="1"/>
  <c r="A81" i="1845" s="1"/>
  <c r="A82" i="1845" s="1"/>
  <c r="AF61" i="1845"/>
  <c r="AF63" i="1845" s="1"/>
  <c r="AF60" i="1845"/>
  <c r="AA22" i="1845"/>
  <c r="Z22" i="1845"/>
  <c r="Y22" i="1845"/>
  <c r="X22" i="1845"/>
  <c r="W22" i="1845"/>
  <c r="V22" i="1845"/>
  <c r="U22" i="1845"/>
  <c r="T22" i="1845"/>
  <c r="S22" i="1845"/>
  <c r="R22" i="1845"/>
  <c r="N22" i="1845"/>
  <c r="J22" i="1845"/>
  <c r="AF21" i="1845"/>
  <c r="AB21" i="1845"/>
  <c r="Q21" i="1845"/>
  <c r="P21" i="1845"/>
  <c r="AC21" i="1845" s="1"/>
  <c r="AD21" i="1845" s="1"/>
  <c r="O21" i="1845"/>
  <c r="M21" i="1845"/>
  <c r="K21" i="1845"/>
  <c r="AF20" i="1845"/>
  <c r="AB20" i="1845"/>
  <c r="Q20" i="1845"/>
  <c r="P20" i="1845"/>
  <c r="AC20" i="1845" s="1"/>
  <c r="M20" i="1845"/>
  <c r="O20" i="1845"/>
  <c r="AF19" i="1845"/>
  <c r="Q19" i="1845"/>
  <c r="O19" i="1845"/>
  <c r="AB19" i="1845"/>
  <c r="AF18" i="1845"/>
  <c r="AB18" i="1845"/>
  <c r="Q18" i="1845"/>
  <c r="P18" i="1845"/>
  <c r="AC18" i="1845" s="1"/>
  <c r="O18" i="1845"/>
  <c r="M18" i="1845"/>
  <c r="AF17" i="1845"/>
  <c r="AB17" i="1845"/>
  <c r="Q17" i="1845"/>
  <c r="P17" i="1845"/>
  <c r="AC17" i="1845" s="1"/>
  <c r="AD17" i="1845" s="1"/>
  <c r="O17" i="1845"/>
  <c r="M17" i="1845"/>
  <c r="K17" i="1845"/>
  <c r="AF16" i="1845"/>
  <c r="Q16" i="1845"/>
  <c r="O16" i="1845"/>
  <c r="AB16" i="1845"/>
  <c r="AF15" i="1845"/>
  <c r="AB15" i="1845"/>
  <c r="Q15" i="1845"/>
  <c r="P15" i="1845"/>
  <c r="AC15" i="1845" s="1"/>
  <c r="O15" i="1845"/>
  <c r="M15" i="1845"/>
  <c r="K15" i="1845"/>
  <c r="I15" i="1845"/>
  <c r="AF14" i="1845"/>
  <c r="AB14" i="1845"/>
  <c r="Q14" i="1845"/>
  <c r="P14" i="1845" s="1"/>
  <c r="AC14" i="1845" s="1"/>
  <c r="O14" i="1845"/>
  <c r="M14" i="1845"/>
  <c r="AF13" i="1845"/>
  <c r="AB13" i="1845"/>
  <c r="Q13" i="1845"/>
  <c r="P13" i="1845"/>
  <c r="AC13" i="1845" s="1"/>
  <c r="AD13" i="1845" s="1"/>
  <c r="O13" i="1845"/>
  <c r="M13" i="1845"/>
  <c r="K13" i="1845"/>
  <c r="AF12" i="1845"/>
  <c r="AB12" i="1845"/>
  <c r="Q12" i="1845"/>
  <c r="P12" i="1845"/>
  <c r="AC12" i="1845" s="1"/>
  <c r="AD12" i="1845" s="1"/>
  <c r="O12" i="1845"/>
  <c r="M12" i="1845"/>
  <c r="K12" i="1845"/>
  <c r="AF11" i="1845"/>
  <c r="Q11" i="1845"/>
  <c r="O11" i="1845"/>
  <c r="AF10" i="1845"/>
  <c r="Q10" i="1845"/>
  <c r="P10" i="1845" s="1"/>
  <c r="AC10" i="1845" s="1"/>
  <c r="O10" i="1845"/>
  <c r="AF9" i="1845"/>
  <c r="Q9" i="1845"/>
  <c r="I9" i="1845"/>
  <c r="I22" i="1845" s="1"/>
  <c r="AF8" i="1845"/>
  <c r="Q8" i="1845"/>
  <c r="P8" i="1845"/>
  <c r="AC8" i="1845" s="1"/>
  <c r="AF7" i="1845"/>
  <c r="AB7" i="1845"/>
  <c r="Q7" i="1845"/>
  <c r="P7" i="1845"/>
  <c r="AC7" i="1845" s="1"/>
  <c r="AD7" i="1845" s="1"/>
  <c r="O7" i="1845"/>
  <c r="M7" i="1845"/>
  <c r="K7" i="1845"/>
  <c r="AF6" i="1845"/>
  <c r="AB6" i="1845"/>
  <c r="Q6" i="1845"/>
  <c r="P6" i="1845"/>
  <c r="AC6" i="1845" s="1"/>
  <c r="O6" i="1845"/>
  <c r="M6" i="1845"/>
  <c r="K6" i="1845"/>
  <c r="AD14" i="1845" l="1"/>
  <c r="M10" i="1845"/>
  <c r="AB10" i="1845"/>
  <c r="P9" i="1845"/>
  <c r="AC9" i="1845" s="1"/>
  <c r="Q22" i="1845"/>
  <c r="AD18" i="1845"/>
  <c r="AD10" i="1845"/>
  <c r="AD15" i="1845"/>
  <c r="AD6" i="1845"/>
  <c r="AD20" i="1845"/>
  <c r="L22" i="1845"/>
  <c r="O22" i="1845" s="1"/>
  <c r="M8" i="1845"/>
  <c r="AB8" i="1845"/>
  <c r="M9" i="1845"/>
  <c r="AB9" i="1845"/>
  <c r="K11" i="1845"/>
  <c r="P11" i="1845"/>
  <c r="AC11" i="1845" s="1"/>
  <c r="AD11" i="1845" s="1"/>
  <c r="P16" i="1845"/>
  <c r="AC16" i="1845" s="1"/>
  <c r="AD16" i="1845" s="1"/>
  <c r="P19" i="1845"/>
  <c r="AC19" i="1845" s="1"/>
  <c r="AD19" i="1845" s="1"/>
  <c r="O8" i="1845"/>
  <c r="O9" i="1845"/>
  <c r="K22" i="1845"/>
  <c r="M11" i="1845"/>
  <c r="M16" i="1845"/>
  <c r="M19" i="1845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0" i="1844"/>
  <c r="L19" i="1844"/>
  <c r="K19" i="1844" s="1"/>
  <c r="L18" i="1844"/>
  <c r="L16" i="1844"/>
  <c r="K12" i="1844"/>
  <c r="L11" i="1844"/>
  <c r="K11" i="1844"/>
  <c r="L10" i="1844"/>
  <c r="K10" i="1844"/>
  <c r="L9" i="1844"/>
  <c r="L8" i="1844"/>
  <c r="AB22" i="1845" l="1"/>
  <c r="AD8" i="1845"/>
  <c r="AD9" i="1845"/>
  <c r="M22" i="1845"/>
  <c r="P22" i="1845"/>
  <c r="AC22" i="1845"/>
  <c r="K8" i="1844"/>
  <c r="A77" i="1844"/>
  <c r="A78" i="1844" s="1"/>
  <c r="A79" i="1844" s="1"/>
  <c r="A80" i="1844" s="1"/>
  <c r="A81" i="1844" s="1"/>
  <c r="A82" i="1844" s="1"/>
  <c r="AF63" i="1844"/>
  <c r="AF61" i="1844"/>
  <c r="AF60" i="1844"/>
  <c r="AA22" i="1844"/>
  <c r="Z22" i="1844"/>
  <c r="Y22" i="1844"/>
  <c r="X22" i="1844"/>
  <c r="W22" i="1844"/>
  <c r="V22" i="1844"/>
  <c r="U22" i="1844"/>
  <c r="T22" i="1844"/>
  <c r="S22" i="1844"/>
  <c r="R22" i="1844"/>
  <c r="N22" i="1844"/>
  <c r="L22" i="1844"/>
  <c r="O22" i="1844" s="1"/>
  <c r="J22" i="1844"/>
  <c r="AF21" i="1844"/>
  <c r="AB21" i="1844"/>
  <c r="Q21" i="1844"/>
  <c r="P21" i="1844"/>
  <c r="AC21" i="1844" s="1"/>
  <c r="AD21" i="1844" s="1"/>
  <c r="O21" i="1844"/>
  <c r="M21" i="1844"/>
  <c r="K21" i="1844"/>
  <c r="AF20" i="1844"/>
  <c r="AB20" i="1844"/>
  <c r="Q20" i="1844"/>
  <c r="P20" i="1844" s="1"/>
  <c r="AC20" i="1844" s="1"/>
  <c r="O20" i="1844"/>
  <c r="M20" i="1844"/>
  <c r="K20" i="1844"/>
  <c r="AF19" i="1844"/>
  <c r="AB19" i="1844"/>
  <c r="Q19" i="1844"/>
  <c r="P19" i="1844" s="1"/>
  <c r="AC19" i="1844" s="1"/>
  <c r="O19" i="1844"/>
  <c r="M19" i="1844"/>
  <c r="AF18" i="1844"/>
  <c r="AB18" i="1844"/>
  <c r="Q18" i="1844"/>
  <c r="P18" i="1844"/>
  <c r="AC18" i="1844" s="1"/>
  <c r="O18" i="1844"/>
  <c r="M18" i="1844"/>
  <c r="K18" i="1844"/>
  <c r="AF17" i="1844"/>
  <c r="AB17" i="1844"/>
  <c r="Q17" i="1844"/>
  <c r="P17" i="1844"/>
  <c r="AC17" i="1844" s="1"/>
  <c r="AD17" i="1844" s="1"/>
  <c r="O17" i="1844"/>
  <c r="M17" i="1844"/>
  <c r="K17" i="1844"/>
  <c r="AF16" i="1844"/>
  <c r="AB16" i="1844"/>
  <c r="Q16" i="1844"/>
  <c r="P16" i="1844"/>
  <c r="AC16" i="1844" s="1"/>
  <c r="O16" i="1844"/>
  <c r="M16" i="1844"/>
  <c r="K16" i="1844"/>
  <c r="AF15" i="1844"/>
  <c r="AB15" i="1844"/>
  <c r="Q15" i="1844"/>
  <c r="P15" i="1844"/>
  <c r="AC15" i="1844" s="1"/>
  <c r="AD15" i="1844" s="1"/>
  <c r="O15" i="1844"/>
  <c r="M15" i="1844"/>
  <c r="K15" i="1844"/>
  <c r="I15" i="1844"/>
  <c r="AF14" i="1844"/>
  <c r="AC14" i="1844"/>
  <c r="AD14" i="1844" s="1"/>
  <c r="AB14" i="1844"/>
  <c r="Q14" i="1844"/>
  <c r="P14" i="1844"/>
  <c r="O14" i="1844"/>
  <c r="M14" i="1844"/>
  <c r="K14" i="1844"/>
  <c r="AF13" i="1844"/>
  <c r="AB13" i="1844"/>
  <c r="Q13" i="1844"/>
  <c r="P13" i="1844"/>
  <c r="AC13" i="1844" s="1"/>
  <c r="AD13" i="1844" s="1"/>
  <c r="O13" i="1844"/>
  <c r="M13" i="1844"/>
  <c r="K13" i="1844"/>
  <c r="AF12" i="1844"/>
  <c r="AB12" i="1844"/>
  <c r="Q12" i="1844"/>
  <c r="P12" i="1844"/>
  <c r="AC12" i="1844" s="1"/>
  <c r="AD12" i="1844" s="1"/>
  <c r="O12" i="1844"/>
  <c r="M12" i="1844"/>
  <c r="AF11" i="1844"/>
  <c r="AB11" i="1844"/>
  <c r="Q11" i="1844"/>
  <c r="P11" i="1844"/>
  <c r="AC11" i="1844" s="1"/>
  <c r="AD11" i="1844" s="1"/>
  <c r="O11" i="1844"/>
  <c r="M11" i="1844"/>
  <c r="AF10" i="1844"/>
  <c r="AB10" i="1844"/>
  <c r="Q10" i="1844"/>
  <c r="P10" i="1844" s="1"/>
  <c r="AC10" i="1844" s="1"/>
  <c r="AD10" i="1844" s="1"/>
  <c r="O10" i="1844"/>
  <c r="M10" i="1844"/>
  <c r="AF9" i="1844"/>
  <c r="AB9" i="1844"/>
  <c r="Q9" i="1844"/>
  <c r="P9" i="1844" s="1"/>
  <c r="AC9" i="1844" s="1"/>
  <c r="O9" i="1844"/>
  <c r="M9" i="1844"/>
  <c r="K9" i="1844"/>
  <c r="I9" i="1844"/>
  <c r="I22" i="1844" s="1"/>
  <c r="AF8" i="1844"/>
  <c r="AB8" i="1844"/>
  <c r="Q8" i="1844"/>
  <c r="P8" i="1844" s="1"/>
  <c r="AC8" i="1844" s="1"/>
  <c r="O8" i="1844"/>
  <c r="M8" i="1844"/>
  <c r="AF7" i="1844"/>
  <c r="AB7" i="1844"/>
  <c r="Q7" i="1844"/>
  <c r="P7" i="1844"/>
  <c r="AC7" i="1844" s="1"/>
  <c r="AD7" i="1844" s="1"/>
  <c r="O7" i="1844"/>
  <c r="M7" i="1844"/>
  <c r="K7" i="1844"/>
  <c r="AF6" i="1844"/>
  <c r="AB6" i="1844"/>
  <c r="Q6" i="1844"/>
  <c r="P6" i="1844"/>
  <c r="AC6" i="1844" s="1"/>
  <c r="O6" i="1844"/>
  <c r="M6" i="1844"/>
  <c r="K6" i="1844"/>
  <c r="K22" i="1844" s="1"/>
  <c r="AD22" i="1845" l="1"/>
  <c r="AE18" i="1845" s="1"/>
  <c r="AD20" i="1844"/>
  <c r="AD19" i="1844"/>
  <c r="AD18" i="1844"/>
  <c r="AD16" i="1844"/>
  <c r="Q22" i="1844"/>
  <c r="AD8" i="1844"/>
  <c r="AD9" i="1844"/>
  <c r="M22" i="1844"/>
  <c r="AB22" i="1844"/>
  <c r="AD6" i="1844"/>
  <c r="AC22" i="1844"/>
  <c r="P22" i="1844"/>
  <c r="AE21" i="1845" l="1"/>
  <c r="AE8" i="1845"/>
  <c r="AE11" i="1845"/>
  <c r="AE13" i="1845"/>
  <c r="AE7" i="1845"/>
  <c r="AE6" i="1845"/>
  <c r="AE20" i="1845"/>
  <c r="AE10" i="1845"/>
  <c r="AE14" i="1845"/>
  <c r="AE9" i="1845"/>
  <c r="AE19" i="1845"/>
  <c r="AE15" i="1845"/>
  <c r="AE17" i="1845"/>
  <c r="AE12" i="1845"/>
  <c r="AE16" i="1845"/>
  <c r="AD22" i="1844"/>
  <c r="AE21" i="1844" s="1"/>
  <c r="AE12" i="1844" l="1"/>
  <c r="AE18" i="1844"/>
  <c r="AE13" i="1844"/>
  <c r="AE14" i="1844"/>
  <c r="AE20" i="1844"/>
  <c r="AE6" i="1844"/>
  <c r="AE9" i="1844"/>
  <c r="AE8" i="1844"/>
  <c r="AE7" i="1844"/>
  <c r="AE10" i="1844"/>
  <c r="AE16" i="1844"/>
  <c r="AE11" i="1844"/>
  <c r="AE15" i="1844"/>
  <c r="AE17" i="1844"/>
  <c r="AE19" i="1844"/>
  <c r="AB19" i="16" l="1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K20" i="1843" l="1"/>
  <c r="K18" i="1843"/>
  <c r="K16" i="1843"/>
  <c r="K15" i="1843"/>
  <c r="K10" i="1843"/>
  <c r="K9" i="1843"/>
  <c r="K8" i="1843"/>
  <c r="A79" i="1843"/>
  <c r="A80" i="1843" s="1"/>
  <c r="A81" i="1843" s="1"/>
  <c r="A82" i="1843" s="1"/>
  <c r="A78" i="1843"/>
  <c r="A77" i="1843"/>
  <c r="AF61" i="1843"/>
  <c r="AF60" i="1843"/>
  <c r="AF63" i="1843" s="1"/>
  <c r="AA22" i="1843"/>
  <c r="Z22" i="1843"/>
  <c r="Y22" i="1843"/>
  <c r="X22" i="1843"/>
  <c r="W22" i="1843"/>
  <c r="V22" i="1843"/>
  <c r="U22" i="1843"/>
  <c r="T22" i="1843"/>
  <c r="S22" i="1843"/>
  <c r="R22" i="1843"/>
  <c r="N22" i="1843"/>
  <c r="J22" i="1843"/>
  <c r="AF21" i="1843"/>
  <c r="AB21" i="1843"/>
  <c r="Q21" i="1843"/>
  <c r="P21" i="1843"/>
  <c r="AC21" i="1843" s="1"/>
  <c r="AD21" i="1843" s="1"/>
  <c r="O21" i="1843"/>
  <c r="M21" i="1843"/>
  <c r="K21" i="1843"/>
  <c r="AF20" i="1843"/>
  <c r="AB20" i="1843"/>
  <c r="Q20" i="1843"/>
  <c r="P20" i="1843"/>
  <c r="AC20" i="1843" s="1"/>
  <c r="O20" i="1843"/>
  <c r="M20" i="1843"/>
  <c r="AF19" i="1843"/>
  <c r="AC19" i="1843"/>
  <c r="AB19" i="1843"/>
  <c r="Q19" i="1843"/>
  <c r="P19" i="1843"/>
  <c r="O19" i="1843"/>
  <c r="M19" i="1843"/>
  <c r="K19" i="1843"/>
  <c r="AF18" i="1843"/>
  <c r="Q18" i="1843"/>
  <c r="P18" i="1843"/>
  <c r="AC18" i="1843" s="1"/>
  <c r="AF17" i="1843"/>
  <c r="AB17" i="1843"/>
  <c r="Q17" i="1843"/>
  <c r="P17" i="1843"/>
  <c r="AC17" i="1843" s="1"/>
  <c r="AD17" i="1843" s="1"/>
  <c r="O17" i="1843"/>
  <c r="M17" i="1843"/>
  <c r="K17" i="1843"/>
  <c r="AF16" i="1843"/>
  <c r="AB16" i="1843"/>
  <c r="Q16" i="1843"/>
  <c r="M16" i="1843"/>
  <c r="P16" i="1843"/>
  <c r="AC16" i="1843" s="1"/>
  <c r="AF15" i="1843"/>
  <c r="Q15" i="1843"/>
  <c r="P15" i="1843"/>
  <c r="AC15" i="1843" s="1"/>
  <c r="I15" i="1843"/>
  <c r="AF14" i="1843"/>
  <c r="AB14" i="1843"/>
  <c r="Q14" i="1843"/>
  <c r="P14" i="1843"/>
  <c r="AC14" i="1843" s="1"/>
  <c r="AD14" i="1843" s="1"/>
  <c r="O14" i="1843"/>
  <c r="M14" i="1843"/>
  <c r="K14" i="1843"/>
  <c r="AF13" i="1843"/>
  <c r="AB13" i="1843"/>
  <c r="Q13" i="1843"/>
  <c r="P13" i="1843"/>
  <c r="AC13" i="1843" s="1"/>
  <c r="AD13" i="1843" s="1"/>
  <c r="O13" i="1843"/>
  <c r="M13" i="1843"/>
  <c r="K13" i="1843"/>
  <c r="AF12" i="1843"/>
  <c r="AB12" i="1843"/>
  <c r="Q12" i="1843"/>
  <c r="P12" i="1843"/>
  <c r="AC12" i="1843" s="1"/>
  <c r="O12" i="1843"/>
  <c r="M12" i="1843"/>
  <c r="K12" i="1843"/>
  <c r="AF11" i="1843"/>
  <c r="AC11" i="1843"/>
  <c r="AD11" i="1843" s="1"/>
  <c r="AB11" i="1843"/>
  <c r="Q11" i="1843"/>
  <c r="P11" i="1843"/>
  <c r="O11" i="1843"/>
  <c r="M11" i="1843"/>
  <c r="K11" i="1843"/>
  <c r="AF10" i="1843"/>
  <c r="Q10" i="1843"/>
  <c r="P10" i="1843" s="1"/>
  <c r="AC10" i="1843" s="1"/>
  <c r="AF9" i="1843"/>
  <c r="AB9" i="1843"/>
  <c r="Q9" i="1843"/>
  <c r="P9" i="1843"/>
  <c r="AC9" i="1843" s="1"/>
  <c r="AD9" i="1843" s="1"/>
  <c r="O9" i="1843"/>
  <c r="M9" i="1843"/>
  <c r="I9" i="1843"/>
  <c r="I22" i="1843" s="1"/>
  <c r="AF8" i="1843"/>
  <c r="AB8" i="1843"/>
  <c r="Q8" i="1843"/>
  <c r="P8" i="1843"/>
  <c r="AC8" i="1843" s="1"/>
  <c r="O8" i="1843"/>
  <c r="M8" i="1843"/>
  <c r="AF7" i="1843"/>
  <c r="AC7" i="1843"/>
  <c r="AD7" i="1843" s="1"/>
  <c r="AB7" i="1843"/>
  <c r="Q7" i="1843"/>
  <c r="P7" i="1843"/>
  <c r="O7" i="1843"/>
  <c r="M7" i="1843"/>
  <c r="K7" i="1843"/>
  <c r="AF6" i="1843"/>
  <c r="AB6" i="1843"/>
  <c r="Q6" i="1843"/>
  <c r="P6" i="1843"/>
  <c r="AC6" i="1843" s="1"/>
  <c r="O6" i="1843"/>
  <c r="M6" i="1843"/>
  <c r="K6" i="1843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0" i="1842"/>
  <c r="L18" i="1842"/>
  <c r="Q22" i="1843" l="1"/>
  <c r="AD8" i="1843"/>
  <c r="AD19" i="1843"/>
  <c r="AD20" i="1843"/>
  <c r="AD12" i="1843"/>
  <c r="AD6" i="1843"/>
  <c r="AC22" i="1843"/>
  <c r="L22" i="1843"/>
  <c r="O22" i="1843" s="1"/>
  <c r="P22" i="1843"/>
  <c r="M10" i="1843"/>
  <c r="AB10" i="1843"/>
  <c r="M15" i="1843"/>
  <c r="AB15" i="1843"/>
  <c r="O16" i="1843"/>
  <c r="AD16" i="1843" s="1"/>
  <c r="M18" i="1843"/>
  <c r="AB18" i="1843"/>
  <c r="AD18" i="1843" s="1"/>
  <c r="O10" i="1843"/>
  <c r="O15" i="1843"/>
  <c r="O18" i="1843"/>
  <c r="K22" i="1843"/>
  <c r="AB22" i="1843" l="1"/>
  <c r="AD10" i="1843"/>
  <c r="AD22" i="1843" s="1"/>
  <c r="AD15" i="1843"/>
  <c r="M22" i="1843"/>
  <c r="AE21" i="1843" l="1"/>
  <c r="AE16" i="1843"/>
  <c r="AE18" i="1843"/>
  <c r="AE19" i="1843"/>
  <c r="AE13" i="1843"/>
  <c r="AE11" i="1843"/>
  <c r="AE7" i="1843"/>
  <c r="AE15" i="1843"/>
  <c r="AE14" i="1843"/>
  <c r="AE6" i="1843"/>
  <c r="AE20" i="1843"/>
  <c r="AE17" i="1843"/>
  <c r="AE9" i="1843"/>
  <c r="AE8" i="1843"/>
  <c r="AE12" i="1843"/>
  <c r="AE10" i="1843"/>
  <c r="L16" i="1842" l="1"/>
  <c r="M16" i="1842" s="1"/>
  <c r="L15" i="1842"/>
  <c r="L10" i="1842"/>
  <c r="O10" i="1842" s="1"/>
  <c r="L9" i="1842"/>
  <c r="O9" i="1842" s="1"/>
  <c r="L8" i="1842"/>
  <c r="K20" i="1842"/>
  <c r="K19" i="1842"/>
  <c r="K18" i="1842"/>
  <c r="K16" i="1842"/>
  <c r="K15" i="1842"/>
  <c r="K14" i="1842"/>
  <c r="K13" i="1842"/>
  <c r="K11" i="1842"/>
  <c r="K10" i="1842"/>
  <c r="K8" i="1842"/>
  <c r="A77" i="1842"/>
  <c r="A78" i="1842" s="1"/>
  <c r="A79" i="1842" s="1"/>
  <c r="A80" i="1842" s="1"/>
  <c r="A81" i="1842" s="1"/>
  <c r="A82" i="1842" s="1"/>
  <c r="AF61" i="1842"/>
  <c r="AF63" i="1842" s="1"/>
  <c r="AF60" i="1842"/>
  <c r="AA22" i="1842"/>
  <c r="Z22" i="1842"/>
  <c r="Y22" i="1842"/>
  <c r="X22" i="1842"/>
  <c r="W22" i="1842"/>
  <c r="V22" i="1842"/>
  <c r="U22" i="1842"/>
  <c r="T22" i="1842"/>
  <c r="S22" i="1842"/>
  <c r="R22" i="1842"/>
  <c r="N22" i="1842"/>
  <c r="J22" i="1842"/>
  <c r="AF21" i="1842"/>
  <c r="AC21" i="1842"/>
  <c r="AB21" i="1842"/>
  <c r="Q21" i="1842"/>
  <c r="P21" i="1842"/>
  <c r="O21" i="1842"/>
  <c r="M21" i="1842"/>
  <c r="K21" i="1842"/>
  <c r="AF20" i="1842"/>
  <c r="Q20" i="1842"/>
  <c r="P20" i="1842" s="1"/>
  <c r="AC20" i="1842" s="1"/>
  <c r="AF19" i="1842"/>
  <c r="AB19" i="1842"/>
  <c r="Q19" i="1842"/>
  <c r="O19" i="1842"/>
  <c r="M19" i="1842"/>
  <c r="P19" i="1842"/>
  <c r="AC19" i="1842" s="1"/>
  <c r="AD19" i="1842" s="1"/>
  <c r="AF18" i="1842"/>
  <c r="Q18" i="1842"/>
  <c r="P18" i="1842"/>
  <c r="AC18" i="1842" s="1"/>
  <c r="AF17" i="1842"/>
  <c r="AB17" i="1842"/>
  <c r="Q17" i="1842"/>
  <c r="P17" i="1842"/>
  <c r="AC17" i="1842" s="1"/>
  <c r="O17" i="1842"/>
  <c r="M17" i="1842"/>
  <c r="K17" i="1842"/>
  <c r="AF16" i="1842"/>
  <c r="AB16" i="1842"/>
  <c r="Q16" i="1842"/>
  <c r="P16" i="1842" s="1"/>
  <c r="AC16" i="1842" s="1"/>
  <c r="AF15" i="1842"/>
  <c r="Q15" i="1842"/>
  <c r="P15" i="1842" s="1"/>
  <c r="AC15" i="1842" s="1"/>
  <c r="I15" i="1842"/>
  <c r="AF14" i="1842"/>
  <c r="Q14" i="1842"/>
  <c r="P14" i="1842"/>
  <c r="AC14" i="1842" s="1"/>
  <c r="AF13" i="1842"/>
  <c r="AB13" i="1842"/>
  <c r="Q13" i="1842"/>
  <c r="P13" i="1842"/>
  <c r="AC13" i="1842" s="1"/>
  <c r="O13" i="1842"/>
  <c r="M13" i="1842"/>
  <c r="AF12" i="1842"/>
  <c r="AC12" i="1842"/>
  <c r="AB12" i="1842"/>
  <c r="Q12" i="1842"/>
  <c r="P12" i="1842"/>
  <c r="O12" i="1842"/>
  <c r="M12" i="1842"/>
  <c r="K12" i="1842"/>
  <c r="AF11" i="1842"/>
  <c r="Q11" i="1842"/>
  <c r="P11" i="1842"/>
  <c r="AC11" i="1842" s="1"/>
  <c r="O11" i="1842"/>
  <c r="AF10" i="1842"/>
  <c r="Q10" i="1842"/>
  <c r="P10" i="1842"/>
  <c r="AC10" i="1842" s="1"/>
  <c r="AB10" i="1842"/>
  <c r="AF9" i="1842"/>
  <c r="Q9" i="1842"/>
  <c r="P9" i="1842" s="1"/>
  <c r="AC9" i="1842" s="1"/>
  <c r="I9" i="1842"/>
  <c r="I22" i="1842" s="1"/>
  <c r="AF8" i="1842"/>
  <c r="AB8" i="1842"/>
  <c r="Q8" i="1842"/>
  <c r="O8" i="1842"/>
  <c r="M8" i="1842"/>
  <c r="L22" i="1842"/>
  <c r="AF7" i="1842"/>
  <c r="AC7" i="1842"/>
  <c r="AD7" i="1842" s="1"/>
  <c r="AB7" i="1842"/>
  <c r="Q7" i="1842"/>
  <c r="P7" i="1842"/>
  <c r="O7" i="1842"/>
  <c r="M7" i="1842"/>
  <c r="K7" i="1842"/>
  <c r="AF6" i="1842"/>
  <c r="AC6" i="1842"/>
  <c r="AB6" i="1842"/>
  <c r="Q6" i="1842"/>
  <c r="P6" i="1842"/>
  <c r="O6" i="1842"/>
  <c r="M6" i="1842"/>
  <c r="K6" i="1842"/>
  <c r="AD21" i="1842" l="1"/>
  <c r="O22" i="1842"/>
  <c r="K9" i="1842"/>
  <c r="M9" i="1842"/>
  <c r="AB9" i="1842"/>
  <c r="AD9" i="1842" s="1"/>
  <c r="Q22" i="1842"/>
  <c r="P8" i="1842"/>
  <c r="AC8" i="1842" s="1"/>
  <c r="AD8" i="1842" s="1"/>
  <c r="AD13" i="1842"/>
  <c r="AD17" i="1842"/>
  <c r="AD12" i="1842"/>
  <c r="AD10" i="1842"/>
  <c r="AD6" i="1842"/>
  <c r="M14" i="1842"/>
  <c r="AB14" i="1842"/>
  <c r="M15" i="1842"/>
  <c r="AB15" i="1842"/>
  <c r="O16" i="1842"/>
  <c r="AD16" i="1842" s="1"/>
  <c r="M18" i="1842"/>
  <c r="AB18" i="1842"/>
  <c r="M20" i="1842"/>
  <c r="AB20" i="1842"/>
  <c r="AD20" i="1842" s="1"/>
  <c r="M11" i="1842"/>
  <c r="AB11" i="1842"/>
  <c r="O14" i="1842"/>
  <c r="O15" i="1842"/>
  <c r="O18" i="1842"/>
  <c r="O20" i="1842"/>
  <c r="M10" i="1842"/>
  <c r="K22" i="1842"/>
  <c r="P66" i="1841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1" i="1841"/>
  <c r="K21" i="1841"/>
  <c r="AF20" i="1841"/>
  <c r="AB20" i="1841"/>
  <c r="Q20" i="1841"/>
  <c r="P20" i="1841" s="1"/>
  <c r="AC20" i="1841" s="1"/>
  <c r="AD20" i="1841" s="1"/>
  <c r="O20" i="1841"/>
  <c r="M20" i="1841"/>
  <c r="K20" i="1841"/>
  <c r="L19" i="1841"/>
  <c r="K19" i="1841"/>
  <c r="L18" i="1841"/>
  <c r="K18" i="1841" s="1"/>
  <c r="L16" i="1841"/>
  <c r="K16" i="1841" s="1"/>
  <c r="L15" i="1841"/>
  <c r="L14" i="1841"/>
  <c r="K14" i="1841" s="1"/>
  <c r="K13" i="1841"/>
  <c r="L11" i="1841"/>
  <c r="K11" i="1841" s="1"/>
  <c r="L10" i="1841"/>
  <c r="M10" i="1841" s="1"/>
  <c r="L9" i="1841"/>
  <c r="K9" i="1841" s="1"/>
  <c r="L8" i="1841"/>
  <c r="AB8" i="1841" s="1"/>
  <c r="K15" i="1841"/>
  <c r="K8" i="1841"/>
  <c r="A78" i="1841"/>
  <c r="A79" i="1841" s="1"/>
  <c r="A80" i="1841" s="1"/>
  <c r="A81" i="1841" s="1"/>
  <c r="A82" i="1841" s="1"/>
  <c r="A83" i="1841" s="1"/>
  <c r="AF62" i="1841"/>
  <c r="AF61" i="1841"/>
  <c r="AF64" i="1841" s="1"/>
  <c r="AA23" i="1841"/>
  <c r="Z23" i="1841"/>
  <c r="Y23" i="1841"/>
  <c r="X23" i="1841"/>
  <c r="W23" i="1841"/>
  <c r="V23" i="1841"/>
  <c r="U23" i="1841"/>
  <c r="T23" i="1841"/>
  <c r="S23" i="1841"/>
  <c r="R23" i="1841"/>
  <c r="N23" i="1841"/>
  <c r="J23" i="1841"/>
  <c r="I23" i="1841"/>
  <c r="AF22" i="1841"/>
  <c r="AB22" i="1841"/>
  <c r="Q22" i="1841"/>
  <c r="P22" i="1841"/>
  <c r="AC22" i="1841" s="1"/>
  <c r="O22" i="1841"/>
  <c r="M22" i="1841"/>
  <c r="K22" i="1841"/>
  <c r="AF21" i="1841"/>
  <c r="Q21" i="1841"/>
  <c r="O21" i="1841"/>
  <c r="AF19" i="1841"/>
  <c r="AB19" i="1841"/>
  <c r="Q19" i="1841"/>
  <c r="M19" i="1841"/>
  <c r="AF18" i="1841"/>
  <c r="Q18" i="1841"/>
  <c r="O18" i="1841"/>
  <c r="AF17" i="1841"/>
  <c r="AB17" i="1841"/>
  <c r="Q17" i="1841"/>
  <c r="P17" i="1841"/>
  <c r="AC17" i="1841" s="1"/>
  <c r="O17" i="1841"/>
  <c r="M17" i="1841"/>
  <c r="K17" i="1841"/>
  <c r="AF16" i="1841"/>
  <c r="Q16" i="1841"/>
  <c r="AF15" i="1841"/>
  <c r="AB15" i="1841"/>
  <c r="Q15" i="1841"/>
  <c r="O15" i="1841"/>
  <c r="M15" i="1841"/>
  <c r="I15" i="1841"/>
  <c r="AF14" i="1841"/>
  <c r="Q14" i="1841"/>
  <c r="P14" i="1841" s="1"/>
  <c r="AC14" i="1841" s="1"/>
  <c r="AF13" i="1841"/>
  <c r="AB13" i="1841"/>
  <c r="Q13" i="1841"/>
  <c r="P13" i="1841" s="1"/>
  <c r="AC13" i="1841" s="1"/>
  <c r="O13" i="1841"/>
  <c r="M13" i="1841"/>
  <c r="AF12" i="1841"/>
  <c r="AB12" i="1841"/>
  <c r="Q12" i="1841"/>
  <c r="P12" i="1841"/>
  <c r="AC12" i="1841" s="1"/>
  <c r="O12" i="1841"/>
  <c r="M12" i="1841"/>
  <c r="K12" i="1841"/>
  <c r="AF11" i="1841"/>
  <c r="Q11" i="1841"/>
  <c r="AF10" i="1841"/>
  <c r="AB10" i="1841"/>
  <c r="Q10" i="1841"/>
  <c r="AF9" i="1841"/>
  <c r="Q9" i="1841"/>
  <c r="I9" i="1841"/>
  <c r="AF8" i="1841"/>
  <c r="Q8" i="1841"/>
  <c r="P8" i="1841" s="1"/>
  <c r="AC8" i="1841" s="1"/>
  <c r="AF7" i="1841"/>
  <c r="AB7" i="1841"/>
  <c r="Q7" i="1841"/>
  <c r="P7" i="1841"/>
  <c r="AC7" i="1841" s="1"/>
  <c r="O7" i="1841"/>
  <c r="M7" i="1841"/>
  <c r="K7" i="1841"/>
  <c r="AF6" i="1841"/>
  <c r="AB6" i="1841"/>
  <c r="Q6" i="1841"/>
  <c r="P6" i="1841"/>
  <c r="AC6" i="1841" s="1"/>
  <c r="O6" i="1841"/>
  <c r="M6" i="1841"/>
  <c r="K6" i="1841"/>
  <c r="AD18" i="1842" l="1"/>
  <c r="AB22" i="1842"/>
  <c r="AD15" i="1842"/>
  <c r="P22" i="1842"/>
  <c r="AC22" i="1842"/>
  <c r="AD14" i="1842"/>
  <c r="M22" i="1842"/>
  <c r="AD11" i="1842"/>
  <c r="AD12" i="1841"/>
  <c r="P19" i="1841"/>
  <c r="AC19" i="1841" s="1"/>
  <c r="AD22" i="1841"/>
  <c r="O19" i="1841"/>
  <c r="AD19" i="1841" s="1"/>
  <c r="P18" i="1841"/>
  <c r="AC18" i="1841" s="1"/>
  <c r="AB18" i="1841"/>
  <c r="M18" i="1841"/>
  <c r="AB16" i="1841"/>
  <c r="P16" i="1841"/>
  <c r="AC16" i="1841" s="1"/>
  <c r="M16" i="1841"/>
  <c r="O16" i="1841"/>
  <c r="P15" i="1841"/>
  <c r="AC15" i="1841" s="1"/>
  <c r="AD15" i="1841" s="1"/>
  <c r="AB14" i="1841"/>
  <c r="M14" i="1841"/>
  <c r="O14" i="1841"/>
  <c r="AB11" i="1841"/>
  <c r="AD11" i="1841" s="1"/>
  <c r="M11" i="1841"/>
  <c r="O11" i="1841"/>
  <c r="P11" i="1841"/>
  <c r="AC11" i="1841" s="1"/>
  <c r="K10" i="1841"/>
  <c r="O10" i="1841"/>
  <c r="P10" i="1841"/>
  <c r="AC10" i="1841" s="1"/>
  <c r="AD7" i="1841"/>
  <c r="AD13" i="1841"/>
  <c r="AB9" i="1841"/>
  <c r="P9" i="1841"/>
  <c r="AC9" i="1841" s="1"/>
  <c r="Q23" i="1841"/>
  <c r="AD17" i="1841"/>
  <c r="AD6" i="1841"/>
  <c r="AB21" i="1841"/>
  <c r="O8" i="1841"/>
  <c r="AD8" i="1841" s="1"/>
  <c r="O9" i="1841"/>
  <c r="P21" i="1841"/>
  <c r="AC21" i="1841" s="1"/>
  <c r="L23" i="1841"/>
  <c r="O23" i="1841" s="1"/>
  <c r="M21" i="1841"/>
  <c r="M8" i="1841"/>
  <c r="M9" i="1841"/>
  <c r="K23" i="1841"/>
  <c r="Y19" i="16"/>
  <c r="Y18" i="16"/>
  <c r="Y17" i="16"/>
  <c r="Y16" i="16"/>
  <c r="AG16" i="16" s="1"/>
  <c r="Y15" i="16"/>
  <c r="Y14" i="16"/>
  <c r="Y13" i="16"/>
  <c r="Y12" i="16"/>
  <c r="AG12" i="16" s="1"/>
  <c r="Y11" i="16"/>
  <c r="Y10" i="16"/>
  <c r="Y9" i="16"/>
  <c r="Y8" i="16"/>
  <c r="Y7" i="16"/>
  <c r="Y6" i="16"/>
  <c r="Y5" i="16"/>
  <c r="Y4" i="16"/>
  <c r="Y3" i="16"/>
  <c r="AG19" i="16"/>
  <c r="AG18" i="16"/>
  <c r="AG17" i="16"/>
  <c r="AG15" i="16"/>
  <c r="AG14" i="16"/>
  <c r="AG13" i="16"/>
  <c r="AG11" i="16"/>
  <c r="AG10" i="16"/>
  <c r="AG9" i="16"/>
  <c r="AG8" i="16"/>
  <c r="AG7" i="16"/>
  <c r="L21" i="1840"/>
  <c r="L19" i="1840"/>
  <c r="AD22" i="1842" l="1"/>
  <c r="AE16" i="1842" s="1"/>
  <c r="AD10" i="1841"/>
  <c r="AD14" i="1841"/>
  <c r="AD16" i="1841"/>
  <c r="AD18" i="1841"/>
  <c r="AB23" i="1841"/>
  <c r="AD9" i="1841"/>
  <c r="P23" i="1841"/>
  <c r="AC23" i="1841"/>
  <c r="M23" i="1841"/>
  <c r="AD21" i="1841"/>
  <c r="L17" i="1840"/>
  <c r="P17" i="1840" s="1"/>
  <c r="AC17" i="1840" s="1"/>
  <c r="K15" i="1840"/>
  <c r="L12" i="1840"/>
  <c r="K12" i="1840" s="1"/>
  <c r="L11" i="1840"/>
  <c r="AB11" i="1840" s="1"/>
  <c r="K11" i="1840"/>
  <c r="AF11" i="1840"/>
  <c r="Q11" i="1840"/>
  <c r="P11" i="1840" s="1"/>
  <c r="AC11" i="1840" s="1"/>
  <c r="O11" i="1840"/>
  <c r="L10" i="1840"/>
  <c r="AB10" i="1840" s="1"/>
  <c r="L9" i="1840"/>
  <c r="O9" i="1840" s="1"/>
  <c r="L8" i="1840"/>
  <c r="K8" i="1840"/>
  <c r="K21" i="1840"/>
  <c r="K19" i="1840"/>
  <c r="K17" i="1840"/>
  <c r="K16" i="1840"/>
  <c r="K13" i="1840"/>
  <c r="K10" i="1840"/>
  <c r="K9" i="1840"/>
  <c r="K7" i="1840"/>
  <c r="K6" i="1840"/>
  <c r="A78" i="1840"/>
  <c r="A79" i="1840" s="1"/>
  <c r="A80" i="1840" s="1"/>
  <c r="A81" i="1840" s="1"/>
  <c r="A82" i="1840" s="1"/>
  <c r="A83" i="1840" s="1"/>
  <c r="AF62" i="1840"/>
  <c r="AF61" i="1840"/>
  <c r="AF64" i="1840" s="1"/>
  <c r="AA23" i="1840"/>
  <c r="Z23" i="1840"/>
  <c r="Y23" i="1840"/>
  <c r="X23" i="1840"/>
  <c r="W23" i="1840"/>
  <c r="V23" i="1840"/>
  <c r="U23" i="1840"/>
  <c r="T23" i="1840"/>
  <c r="S23" i="1840"/>
  <c r="R23" i="1840"/>
  <c r="N23" i="1840"/>
  <c r="J23" i="1840"/>
  <c r="AF22" i="1840"/>
  <c r="AB22" i="1840"/>
  <c r="Q22" i="1840"/>
  <c r="P22" i="1840"/>
  <c r="AC22" i="1840" s="1"/>
  <c r="AD22" i="1840" s="1"/>
  <c r="O22" i="1840"/>
  <c r="M22" i="1840"/>
  <c r="K22" i="1840"/>
  <c r="AF21" i="1840"/>
  <c r="Q21" i="1840"/>
  <c r="P21" i="1840"/>
  <c r="AC21" i="1840" s="1"/>
  <c r="O21" i="1840"/>
  <c r="AF20" i="1840"/>
  <c r="AB20" i="1840"/>
  <c r="Q20" i="1840"/>
  <c r="P20" i="1840"/>
  <c r="AC20" i="1840" s="1"/>
  <c r="O20" i="1840"/>
  <c r="M20" i="1840"/>
  <c r="K20" i="1840"/>
  <c r="AF19" i="1840"/>
  <c r="Q19" i="1840"/>
  <c r="P19" i="1840" s="1"/>
  <c r="AC19" i="1840" s="1"/>
  <c r="AF18" i="1840"/>
  <c r="AB18" i="1840"/>
  <c r="Q18" i="1840"/>
  <c r="P18" i="1840"/>
  <c r="AC18" i="1840" s="1"/>
  <c r="O18" i="1840"/>
  <c r="M18" i="1840"/>
  <c r="K18" i="1840"/>
  <c r="AF17" i="1840"/>
  <c r="AB17" i="1840"/>
  <c r="Q17" i="1840"/>
  <c r="O17" i="1840"/>
  <c r="M17" i="1840"/>
  <c r="AF16" i="1840"/>
  <c r="Q16" i="1840"/>
  <c r="P16" i="1840" s="1"/>
  <c r="AC16" i="1840" s="1"/>
  <c r="I16" i="1840"/>
  <c r="AF15" i="1840"/>
  <c r="AB15" i="1840"/>
  <c r="Q15" i="1840"/>
  <c r="P15" i="1840" s="1"/>
  <c r="AC15" i="1840" s="1"/>
  <c r="O15" i="1840"/>
  <c r="M15" i="1840"/>
  <c r="AF14" i="1840"/>
  <c r="AC14" i="1840"/>
  <c r="AB14" i="1840"/>
  <c r="Q14" i="1840"/>
  <c r="P14" i="1840"/>
  <c r="O14" i="1840"/>
  <c r="M14" i="1840"/>
  <c r="K14" i="1840"/>
  <c r="AF13" i="1840"/>
  <c r="Q13" i="1840"/>
  <c r="P13" i="1840"/>
  <c r="AC13" i="1840" s="1"/>
  <c r="AF12" i="1840"/>
  <c r="AB12" i="1840"/>
  <c r="Q12" i="1840"/>
  <c r="M12" i="1840"/>
  <c r="O12" i="1840"/>
  <c r="AF10" i="1840"/>
  <c r="Q10" i="1840"/>
  <c r="O10" i="1840"/>
  <c r="AF9" i="1840"/>
  <c r="Q9" i="1840"/>
  <c r="P9" i="1840" s="1"/>
  <c r="AC9" i="1840" s="1"/>
  <c r="M9" i="1840"/>
  <c r="I9" i="1840"/>
  <c r="I23" i="1840" s="1"/>
  <c r="AF8" i="1840"/>
  <c r="AB8" i="1840"/>
  <c r="Q8" i="1840"/>
  <c r="P8" i="1840"/>
  <c r="AC8" i="1840" s="1"/>
  <c r="O8" i="1840"/>
  <c r="M8" i="1840"/>
  <c r="AF7" i="1840"/>
  <c r="Q7" i="1840"/>
  <c r="P7" i="1840"/>
  <c r="AC7" i="1840" s="1"/>
  <c r="AF6" i="1840"/>
  <c r="AB6" i="1840"/>
  <c r="Q6" i="1840"/>
  <c r="P6" i="1840"/>
  <c r="AC6" i="1840" s="1"/>
  <c r="M6" i="1840"/>
  <c r="O6" i="1840"/>
  <c r="AE11" i="1842" l="1"/>
  <c r="AE18" i="1842"/>
  <c r="AE8" i="1842"/>
  <c r="AE15" i="1842"/>
  <c r="AE9" i="1842"/>
  <c r="AE14" i="1842"/>
  <c r="AE7" i="1842"/>
  <c r="AE19" i="1842"/>
  <c r="AE13" i="1842"/>
  <c r="AE10" i="1842"/>
  <c r="AE20" i="1842"/>
  <c r="AE12" i="1842"/>
  <c r="AE17" i="1842"/>
  <c r="AE21" i="1842"/>
  <c r="AE6" i="1842"/>
  <c r="AD23" i="1841"/>
  <c r="P12" i="1840"/>
  <c r="AC12" i="1840" s="1"/>
  <c r="AD12" i="1840" s="1"/>
  <c r="AD11" i="1840"/>
  <c r="AD20" i="1840"/>
  <c r="AD18" i="1840"/>
  <c r="M11" i="1840"/>
  <c r="Q23" i="1840"/>
  <c r="AB9" i="1840"/>
  <c r="AD14" i="1840"/>
  <c r="AD15" i="1840"/>
  <c r="AD17" i="1840"/>
  <c r="AD9" i="1840"/>
  <c r="AD8" i="1840"/>
  <c r="AD6" i="1840"/>
  <c r="L23" i="1840"/>
  <c r="O23" i="1840" s="1"/>
  <c r="M7" i="1840"/>
  <c r="AB7" i="1840"/>
  <c r="K23" i="1840"/>
  <c r="P10" i="1840"/>
  <c r="AC10" i="1840" s="1"/>
  <c r="AD10" i="1840" s="1"/>
  <c r="M13" i="1840"/>
  <c r="AB13" i="1840"/>
  <c r="M16" i="1840"/>
  <c r="AB16" i="1840"/>
  <c r="AD16" i="1840" s="1"/>
  <c r="M19" i="1840"/>
  <c r="AB19" i="1840"/>
  <c r="O16" i="1840"/>
  <c r="O19" i="1840"/>
  <c r="M21" i="1840"/>
  <c r="AB21" i="1840"/>
  <c r="AD21" i="1840" s="1"/>
  <c r="O7" i="1840"/>
  <c r="O13" i="1840"/>
  <c r="M10" i="1840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1839"/>
  <c r="M20" i="1839" s="1"/>
  <c r="L18" i="1839"/>
  <c r="P18" i="1839" s="1"/>
  <c r="AC18" i="1839" s="1"/>
  <c r="L16" i="1839"/>
  <c r="O16" i="1839" s="1"/>
  <c r="L15" i="1839"/>
  <c r="P15" i="1839" s="1"/>
  <c r="AC15" i="1839" s="1"/>
  <c r="L12" i="1839"/>
  <c r="L11" i="1839"/>
  <c r="O11" i="1839" s="1"/>
  <c r="L10" i="1839"/>
  <c r="K10" i="1839" s="1"/>
  <c r="L9" i="1839"/>
  <c r="K9" i="1839" s="1"/>
  <c r="I9" i="1839"/>
  <c r="L8" i="1839"/>
  <c r="K8" i="1839" s="1"/>
  <c r="L7" i="1839"/>
  <c r="K7" i="1839" s="1"/>
  <c r="L6" i="1839"/>
  <c r="K6" i="1839" s="1"/>
  <c r="K19" i="1839"/>
  <c r="K18" i="1839"/>
  <c r="K16" i="1839"/>
  <c r="K15" i="1839"/>
  <c r="K12" i="1839"/>
  <c r="A77" i="1839"/>
  <c r="A78" i="1839" s="1"/>
  <c r="A79" i="1839" s="1"/>
  <c r="A80" i="1839" s="1"/>
  <c r="A81" i="1839" s="1"/>
  <c r="A82" i="1839" s="1"/>
  <c r="AF61" i="1839"/>
  <c r="AF60" i="1839"/>
  <c r="AF63" i="1839" s="1"/>
  <c r="AA22" i="1839"/>
  <c r="Z22" i="1839"/>
  <c r="Y22" i="1839"/>
  <c r="X22" i="1839"/>
  <c r="W22" i="1839"/>
  <c r="V22" i="1839"/>
  <c r="U22" i="1839"/>
  <c r="T22" i="1839"/>
  <c r="S22" i="1839"/>
  <c r="R22" i="1839"/>
  <c r="N22" i="1839"/>
  <c r="J22" i="1839"/>
  <c r="AF21" i="1839"/>
  <c r="AB21" i="1839"/>
  <c r="Q21" i="1839"/>
  <c r="P21" i="1839"/>
  <c r="AC21" i="1839" s="1"/>
  <c r="AD21" i="1839" s="1"/>
  <c r="O21" i="1839"/>
  <c r="M21" i="1839"/>
  <c r="K21" i="1839"/>
  <c r="AF20" i="1839"/>
  <c r="Q20" i="1839"/>
  <c r="AF19" i="1839"/>
  <c r="Q19" i="1839"/>
  <c r="O19" i="1839"/>
  <c r="AB19" i="1839"/>
  <c r="AF18" i="1839"/>
  <c r="AB18" i="1839"/>
  <c r="Q18" i="1839"/>
  <c r="O18" i="1839"/>
  <c r="M18" i="1839"/>
  <c r="AF17" i="1839"/>
  <c r="AC17" i="1839"/>
  <c r="AB17" i="1839"/>
  <c r="Q17" i="1839"/>
  <c r="P17" i="1839"/>
  <c r="O17" i="1839"/>
  <c r="M17" i="1839"/>
  <c r="K17" i="1839"/>
  <c r="AF16" i="1839"/>
  <c r="Q16" i="1839"/>
  <c r="AB16" i="1839"/>
  <c r="AF15" i="1839"/>
  <c r="AB15" i="1839"/>
  <c r="Q15" i="1839"/>
  <c r="O15" i="1839"/>
  <c r="M15" i="1839"/>
  <c r="I15" i="1839"/>
  <c r="AF14" i="1839"/>
  <c r="AB14" i="1839"/>
  <c r="Q14" i="1839"/>
  <c r="P14" i="1839"/>
  <c r="AC14" i="1839" s="1"/>
  <c r="O14" i="1839"/>
  <c r="M14" i="1839"/>
  <c r="K14" i="1839"/>
  <c r="AF13" i="1839"/>
  <c r="AB13" i="1839"/>
  <c r="Q13" i="1839"/>
  <c r="P13" i="1839"/>
  <c r="AC13" i="1839" s="1"/>
  <c r="O13" i="1839"/>
  <c r="M13" i="1839"/>
  <c r="K13" i="1839"/>
  <c r="AF12" i="1839"/>
  <c r="AB12" i="1839"/>
  <c r="Q12" i="1839"/>
  <c r="O12" i="1839"/>
  <c r="M12" i="1839"/>
  <c r="AF11" i="1839"/>
  <c r="AB11" i="1839"/>
  <c r="Q11" i="1839"/>
  <c r="P11" i="1839" s="1"/>
  <c r="AC11" i="1839" s="1"/>
  <c r="M11" i="1839"/>
  <c r="AF10" i="1839"/>
  <c r="AB10" i="1839"/>
  <c r="Q10" i="1839"/>
  <c r="O10" i="1839"/>
  <c r="M10" i="1839"/>
  <c r="I22" i="1839"/>
  <c r="AF9" i="1839"/>
  <c r="Q9" i="1839"/>
  <c r="P9" i="1839" s="1"/>
  <c r="AC9" i="1839" s="1"/>
  <c r="AF8" i="1839"/>
  <c r="AB8" i="1839"/>
  <c r="Q8" i="1839"/>
  <c r="M8" i="1839"/>
  <c r="O8" i="1839"/>
  <c r="AF7" i="1839"/>
  <c r="Q7" i="1839"/>
  <c r="O7" i="1839"/>
  <c r="AB7" i="1839"/>
  <c r="AF6" i="1839"/>
  <c r="Q6" i="1839"/>
  <c r="O6" i="1839"/>
  <c r="AE22" i="1841" l="1"/>
  <c r="AE20" i="1841"/>
  <c r="AE10" i="1841"/>
  <c r="AE19" i="1841"/>
  <c r="AE17" i="1841"/>
  <c r="AE15" i="1841"/>
  <c r="AE12" i="1841"/>
  <c r="AE7" i="1841"/>
  <c r="AE8" i="1841"/>
  <c r="AE6" i="1841"/>
  <c r="AE9" i="1841"/>
  <c r="AE21" i="1841"/>
  <c r="AE18" i="1841"/>
  <c r="AE14" i="1841"/>
  <c r="AE11" i="1841"/>
  <c r="AE13" i="1841"/>
  <c r="AE16" i="1841"/>
  <c r="AD19" i="1840"/>
  <c r="M23" i="1840"/>
  <c r="AD13" i="1840"/>
  <c r="AB23" i="1840"/>
  <c r="P23" i="1840"/>
  <c r="AC23" i="1840"/>
  <c r="AD7" i="1840"/>
  <c r="AD23" i="1840" s="1"/>
  <c r="AE11" i="1840" s="1"/>
  <c r="P20" i="1839"/>
  <c r="AC20" i="1839" s="1"/>
  <c r="O20" i="1839"/>
  <c r="K20" i="1839"/>
  <c r="K11" i="1839"/>
  <c r="AD15" i="1839"/>
  <c r="P12" i="1839"/>
  <c r="AC12" i="1839" s="1"/>
  <c r="P10" i="1839"/>
  <c r="AC10" i="1839" s="1"/>
  <c r="AD10" i="1839" s="1"/>
  <c r="P8" i="1839"/>
  <c r="AC8" i="1839" s="1"/>
  <c r="AD8" i="1839" s="1"/>
  <c r="Q22" i="1839"/>
  <c r="P6" i="1839"/>
  <c r="AC6" i="1839" s="1"/>
  <c r="M6" i="1839"/>
  <c r="AB6" i="1839"/>
  <c r="AD14" i="1839"/>
  <c r="AD18" i="1839"/>
  <c r="AD13" i="1839"/>
  <c r="AD17" i="1839"/>
  <c r="AD11" i="1839"/>
  <c r="AD12" i="1839"/>
  <c r="L22" i="1839"/>
  <c r="O22" i="1839" s="1"/>
  <c r="P7" i="1839"/>
  <c r="AC7" i="1839" s="1"/>
  <c r="AD7" i="1839" s="1"/>
  <c r="M9" i="1839"/>
  <c r="AB9" i="1839"/>
  <c r="P16" i="1839"/>
  <c r="AC16" i="1839" s="1"/>
  <c r="AD16" i="1839" s="1"/>
  <c r="P19" i="1839"/>
  <c r="AC19" i="1839" s="1"/>
  <c r="AD19" i="1839" s="1"/>
  <c r="AB20" i="1839"/>
  <c r="O9" i="1839"/>
  <c r="M7" i="1839"/>
  <c r="K22" i="1839"/>
  <c r="M16" i="1839"/>
  <c r="M19" i="1839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1" i="1838"/>
  <c r="K21" i="1838"/>
  <c r="L20" i="1838"/>
  <c r="L19" i="1838"/>
  <c r="O19" i="1838" s="1"/>
  <c r="L17" i="1838"/>
  <c r="K17" i="1838" s="1"/>
  <c r="L16" i="1838"/>
  <c r="K16" i="1838" s="1"/>
  <c r="L13" i="1838"/>
  <c r="K13" i="1838" s="1"/>
  <c r="AF12" i="1838"/>
  <c r="AB12" i="1838"/>
  <c r="Q12" i="1838"/>
  <c r="P12" i="1838" s="1"/>
  <c r="AC12" i="1838" s="1"/>
  <c r="AD12" i="1838" s="1"/>
  <c r="O12" i="1838"/>
  <c r="M12" i="1838"/>
  <c r="K12" i="1838"/>
  <c r="I12" i="1838"/>
  <c r="L9" i="1838"/>
  <c r="K9" i="1838" s="1"/>
  <c r="L8" i="1838"/>
  <c r="K8" i="1838" s="1"/>
  <c r="L7" i="1838"/>
  <c r="K7" i="1838" s="1"/>
  <c r="L6" i="1838"/>
  <c r="K6" i="1838" s="1"/>
  <c r="K18" i="1838"/>
  <c r="K15" i="1838"/>
  <c r="K10" i="1838"/>
  <c r="A78" i="1838"/>
  <c r="A79" i="1838" s="1"/>
  <c r="A80" i="1838" s="1"/>
  <c r="A81" i="1838" s="1"/>
  <c r="A82" i="1838" s="1"/>
  <c r="A83" i="1838" s="1"/>
  <c r="AF62" i="1838"/>
  <c r="AF64" i="1838" s="1"/>
  <c r="AF61" i="1838"/>
  <c r="AA23" i="1838"/>
  <c r="Z23" i="1838"/>
  <c r="Y23" i="1838"/>
  <c r="X23" i="1838"/>
  <c r="W23" i="1838"/>
  <c r="V23" i="1838"/>
  <c r="U23" i="1838"/>
  <c r="T23" i="1838"/>
  <c r="S23" i="1838"/>
  <c r="R23" i="1838"/>
  <c r="N23" i="1838"/>
  <c r="J23" i="1838"/>
  <c r="AF22" i="1838"/>
  <c r="AB22" i="1838"/>
  <c r="Q22" i="1838"/>
  <c r="P22" i="1838"/>
  <c r="AC22" i="1838" s="1"/>
  <c r="O22" i="1838"/>
  <c r="M22" i="1838"/>
  <c r="K22" i="1838"/>
  <c r="AF21" i="1838"/>
  <c r="Q21" i="1838"/>
  <c r="P21" i="1838" s="1"/>
  <c r="AC21" i="1838" s="1"/>
  <c r="AB21" i="1838"/>
  <c r="AF20" i="1838"/>
  <c r="Q20" i="1838"/>
  <c r="O20" i="1838"/>
  <c r="AF19" i="1838"/>
  <c r="Q19" i="1838"/>
  <c r="M19" i="1838"/>
  <c r="AF18" i="1838"/>
  <c r="AB18" i="1838"/>
  <c r="Q18" i="1838"/>
  <c r="P18" i="1838" s="1"/>
  <c r="AC18" i="1838" s="1"/>
  <c r="O18" i="1838"/>
  <c r="M18" i="1838"/>
  <c r="AF17" i="1838"/>
  <c r="AB17" i="1838"/>
  <c r="Q17" i="1838"/>
  <c r="P17" i="1838"/>
  <c r="AC17" i="1838" s="1"/>
  <c r="O17" i="1838"/>
  <c r="M17" i="1838"/>
  <c r="AF16" i="1838"/>
  <c r="AB16" i="1838"/>
  <c r="Q16" i="1838"/>
  <c r="O16" i="1838"/>
  <c r="P16" i="1838"/>
  <c r="AC16" i="1838" s="1"/>
  <c r="I16" i="1838"/>
  <c r="AF15" i="1838"/>
  <c r="AB15" i="1838"/>
  <c r="Q15" i="1838"/>
  <c r="P15" i="1838" s="1"/>
  <c r="AC15" i="1838" s="1"/>
  <c r="O15" i="1838"/>
  <c r="M15" i="1838"/>
  <c r="AF14" i="1838"/>
  <c r="AB14" i="1838"/>
  <c r="Q14" i="1838"/>
  <c r="P14" i="1838"/>
  <c r="AC14" i="1838" s="1"/>
  <c r="O14" i="1838"/>
  <c r="M14" i="1838"/>
  <c r="K14" i="1838"/>
  <c r="AF13" i="1838"/>
  <c r="AB13" i="1838"/>
  <c r="Q13" i="1838"/>
  <c r="AF11" i="1838"/>
  <c r="AB11" i="1838"/>
  <c r="Q11" i="1838"/>
  <c r="P11" i="1838"/>
  <c r="AC11" i="1838" s="1"/>
  <c r="O11" i="1838"/>
  <c r="M11" i="1838"/>
  <c r="K11" i="1838"/>
  <c r="AF10" i="1838"/>
  <c r="Q10" i="1838"/>
  <c r="P10" i="1838"/>
  <c r="AC10" i="1838" s="1"/>
  <c r="AB10" i="1838"/>
  <c r="I10" i="1838"/>
  <c r="I23" i="1838" s="1"/>
  <c r="AF9" i="1838"/>
  <c r="Q9" i="1838"/>
  <c r="P9" i="1838" s="1"/>
  <c r="AC9" i="1838" s="1"/>
  <c r="AB9" i="1838"/>
  <c r="AF8" i="1838"/>
  <c r="AB8" i="1838"/>
  <c r="Q8" i="1838"/>
  <c r="O8" i="1838"/>
  <c r="M8" i="1838"/>
  <c r="AF7" i="1838"/>
  <c r="AB7" i="1838"/>
  <c r="Q7" i="1838"/>
  <c r="P7" i="1838" s="1"/>
  <c r="AC7" i="1838" s="1"/>
  <c r="O7" i="1838"/>
  <c r="M7" i="1838"/>
  <c r="AF6" i="1838"/>
  <c r="Q6" i="1838"/>
  <c r="O6" i="1838"/>
  <c r="AE22" i="1840" l="1"/>
  <c r="AE17" i="1840"/>
  <c r="AE9" i="1840"/>
  <c r="AE8" i="1840"/>
  <c r="AE14" i="1840"/>
  <c r="AE10" i="1840"/>
  <c r="AE20" i="1840"/>
  <c r="AE21" i="1840"/>
  <c r="AE18" i="1840"/>
  <c r="AE12" i="1840"/>
  <c r="AE6" i="1840"/>
  <c r="AE19" i="1840"/>
  <c r="AE16" i="1840"/>
  <c r="AE15" i="1840"/>
  <c r="AE13" i="1840"/>
  <c r="AE7" i="1840"/>
  <c r="AD20" i="1839"/>
  <c r="M22" i="1839"/>
  <c r="AD6" i="1839"/>
  <c r="AB22" i="1839"/>
  <c r="AD9" i="1839"/>
  <c r="AC22" i="1839"/>
  <c r="P22" i="1839"/>
  <c r="P8" i="1838"/>
  <c r="AC8" i="1838" s="1"/>
  <c r="M16" i="1838"/>
  <c r="P19" i="1838"/>
  <c r="AC19" i="1838" s="1"/>
  <c r="AB19" i="1838"/>
  <c r="AD19" i="1838" s="1"/>
  <c r="K19" i="1838"/>
  <c r="P20" i="1838"/>
  <c r="AC20" i="1838" s="1"/>
  <c r="M20" i="1838"/>
  <c r="AB20" i="1838"/>
  <c r="K20" i="1838"/>
  <c r="M13" i="1838"/>
  <c r="O13" i="1838"/>
  <c r="P13" i="1838"/>
  <c r="AC13" i="1838" s="1"/>
  <c r="AD13" i="1838" s="1"/>
  <c r="AD18" i="1838"/>
  <c r="AD22" i="1838"/>
  <c r="AD11" i="1838"/>
  <c r="AD16" i="1838"/>
  <c r="Q23" i="1838"/>
  <c r="AD8" i="1838"/>
  <c r="AD17" i="1838"/>
  <c r="AD15" i="1838"/>
  <c r="AD7" i="1838"/>
  <c r="AD14" i="1838"/>
  <c r="P6" i="1838"/>
  <c r="O9" i="1838"/>
  <c r="AD9" i="1838" s="1"/>
  <c r="O10" i="1838"/>
  <c r="AD10" i="1838" s="1"/>
  <c r="O21" i="1838"/>
  <c r="AD21" i="1838" s="1"/>
  <c r="L23" i="1838"/>
  <c r="O23" i="1838" s="1"/>
  <c r="M6" i="1838"/>
  <c r="AB6" i="1838"/>
  <c r="M9" i="1838"/>
  <c r="M10" i="1838"/>
  <c r="M21" i="1838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1" i="1837"/>
  <c r="AF20" i="1837"/>
  <c r="AB20" i="1837"/>
  <c r="Q20" i="1837"/>
  <c r="O20" i="1837"/>
  <c r="M20" i="1837"/>
  <c r="L20" i="1837"/>
  <c r="P20" i="1837" s="1"/>
  <c r="AC20" i="1837" s="1"/>
  <c r="AD20" i="1837" s="1"/>
  <c r="K21" i="1837"/>
  <c r="L19" i="1837"/>
  <c r="L18" i="1837"/>
  <c r="K17" i="1837"/>
  <c r="L16" i="1837"/>
  <c r="M16" i="1837" s="1"/>
  <c r="L15" i="1837"/>
  <c r="K14" i="1837"/>
  <c r="L12" i="1837"/>
  <c r="K12" i="1837" s="1"/>
  <c r="L10" i="1837"/>
  <c r="M10" i="1837" s="1"/>
  <c r="L9" i="1837"/>
  <c r="AB9" i="1837" s="1"/>
  <c r="L8" i="1837"/>
  <c r="K8" i="1837" s="1"/>
  <c r="L7" i="1837"/>
  <c r="K7" i="1837" s="1"/>
  <c r="L6" i="1837"/>
  <c r="K6" i="1837" s="1"/>
  <c r="K19" i="1837"/>
  <c r="K18" i="1837"/>
  <c r="K16" i="1837"/>
  <c r="A78" i="1837"/>
  <c r="A79" i="1837" s="1"/>
  <c r="A80" i="1837" s="1"/>
  <c r="A81" i="1837" s="1"/>
  <c r="A82" i="1837" s="1"/>
  <c r="A83" i="1837" s="1"/>
  <c r="AF62" i="1837"/>
  <c r="AF61" i="1837"/>
  <c r="AF64" i="1837" s="1"/>
  <c r="AA23" i="1837"/>
  <c r="Z23" i="1837"/>
  <c r="Y23" i="1837"/>
  <c r="X23" i="1837"/>
  <c r="W23" i="1837"/>
  <c r="V23" i="1837"/>
  <c r="U23" i="1837"/>
  <c r="T23" i="1837"/>
  <c r="S23" i="1837"/>
  <c r="R23" i="1837"/>
  <c r="N23" i="1837"/>
  <c r="J23" i="1837"/>
  <c r="AF22" i="1837"/>
  <c r="AB22" i="1837"/>
  <c r="Q22" i="1837"/>
  <c r="P22" i="1837"/>
  <c r="AC22" i="1837" s="1"/>
  <c r="O22" i="1837"/>
  <c r="M22" i="1837"/>
  <c r="K22" i="1837"/>
  <c r="AF21" i="1837"/>
  <c r="AB21" i="1837"/>
  <c r="Q21" i="1837"/>
  <c r="M21" i="1837"/>
  <c r="O21" i="1837"/>
  <c r="AF19" i="1837"/>
  <c r="Q19" i="1837"/>
  <c r="AB19" i="1837"/>
  <c r="AF18" i="1837"/>
  <c r="Q18" i="1837"/>
  <c r="P18" i="1837" s="1"/>
  <c r="AC18" i="1837" s="1"/>
  <c r="O18" i="1837"/>
  <c r="AB18" i="1837"/>
  <c r="AF17" i="1837"/>
  <c r="AB17" i="1837"/>
  <c r="Q17" i="1837"/>
  <c r="P17" i="1837" s="1"/>
  <c r="AC17" i="1837" s="1"/>
  <c r="O17" i="1837"/>
  <c r="M17" i="1837"/>
  <c r="AF16" i="1837"/>
  <c r="AB16" i="1837"/>
  <c r="Q16" i="1837"/>
  <c r="AF15" i="1837"/>
  <c r="AB15" i="1837"/>
  <c r="Q15" i="1837"/>
  <c r="P15" i="1837" s="1"/>
  <c r="AC15" i="1837" s="1"/>
  <c r="O15" i="1837"/>
  <c r="M15" i="1837"/>
  <c r="K15" i="1837"/>
  <c r="I15" i="1837"/>
  <c r="AF14" i="1837"/>
  <c r="AB14" i="1837"/>
  <c r="Q14" i="1837"/>
  <c r="P14" i="1837" s="1"/>
  <c r="AC14" i="1837" s="1"/>
  <c r="O14" i="1837"/>
  <c r="M14" i="1837"/>
  <c r="AF13" i="1837"/>
  <c r="AB13" i="1837"/>
  <c r="Q13" i="1837"/>
  <c r="P13" i="1837"/>
  <c r="AC13" i="1837" s="1"/>
  <c r="O13" i="1837"/>
  <c r="M13" i="1837"/>
  <c r="K13" i="1837"/>
  <c r="AF12" i="1837"/>
  <c r="Q12" i="1837"/>
  <c r="P12" i="1837" s="1"/>
  <c r="AC12" i="1837" s="1"/>
  <c r="O12" i="1837"/>
  <c r="I12" i="1837"/>
  <c r="AF11" i="1837"/>
  <c r="AB11" i="1837"/>
  <c r="Q11" i="1837"/>
  <c r="P11" i="1837"/>
  <c r="AC11" i="1837" s="1"/>
  <c r="O11" i="1837"/>
  <c r="M11" i="1837"/>
  <c r="K11" i="1837"/>
  <c r="AF10" i="1837"/>
  <c r="AB10" i="1837"/>
  <c r="Q10" i="1837"/>
  <c r="P10" i="1837" s="1"/>
  <c r="AC10" i="1837" s="1"/>
  <c r="O10" i="1837"/>
  <c r="I10" i="1837"/>
  <c r="I23" i="1837" s="1"/>
  <c r="AF9" i="1837"/>
  <c r="Q9" i="1837"/>
  <c r="M9" i="1837"/>
  <c r="AF8" i="1837"/>
  <c r="Q8" i="1837"/>
  <c r="P8" i="1837" s="1"/>
  <c r="AC8" i="1837" s="1"/>
  <c r="AF7" i="1837"/>
  <c r="Q7" i="1837"/>
  <c r="O7" i="1837"/>
  <c r="AF6" i="1837"/>
  <c r="AB6" i="1837"/>
  <c r="Q6" i="1837"/>
  <c r="O6" i="1837"/>
  <c r="M6" i="1837"/>
  <c r="AD22" i="1839" l="1"/>
  <c r="AE18" i="1839" s="1"/>
  <c r="AD20" i="1838"/>
  <c r="M23" i="1838"/>
  <c r="K23" i="1838"/>
  <c r="AB23" i="1838"/>
  <c r="AC6" i="1838"/>
  <c r="P23" i="1838"/>
  <c r="AD13" i="1837"/>
  <c r="AD22" i="1837"/>
  <c r="K20" i="1837"/>
  <c r="AD11" i="1837"/>
  <c r="AD17" i="1837"/>
  <c r="O16" i="1837"/>
  <c r="K10" i="1837"/>
  <c r="O9" i="1837"/>
  <c r="K9" i="1837"/>
  <c r="L23" i="1837"/>
  <c r="O23" i="1837" s="1"/>
  <c r="P9" i="1837"/>
  <c r="AC9" i="1837" s="1"/>
  <c r="Q23" i="1837"/>
  <c r="P7" i="1837"/>
  <c r="AC7" i="1837" s="1"/>
  <c r="P6" i="1837"/>
  <c r="AC6" i="1837" s="1"/>
  <c r="AD18" i="1837"/>
  <c r="AD10" i="1837"/>
  <c r="AD14" i="1837"/>
  <c r="AD15" i="1837"/>
  <c r="AD6" i="1837"/>
  <c r="AB8" i="1837"/>
  <c r="M7" i="1837"/>
  <c r="AB7" i="1837"/>
  <c r="O8" i="1837"/>
  <c r="K23" i="1837"/>
  <c r="M12" i="1837"/>
  <c r="AB12" i="1837"/>
  <c r="AD12" i="1837" s="1"/>
  <c r="P16" i="1837"/>
  <c r="AC16" i="1837" s="1"/>
  <c r="AD16" i="1837" s="1"/>
  <c r="M18" i="1837"/>
  <c r="O19" i="1837"/>
  <c r="P21" i="1837"/>
  <c r="AC21" i="1837" s="1"/>
  <c r="AD21" i="1837" s="1"/>
  <c r="M8" i="1837"/>
  <c r="P19" i="1837"/>
  <c r="AC19" i="1837" s="1"/>
  <c r="AD19" i="1837" s="1"/>
  <c r="M19" i="1837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0" i="1836"/>
  <c r="AB20" i="1836" s="1"/>
  <c r="AF20" i="1836"/>
  <c r="Q20" i="1836"/>
  <c r="P20" i="1836" s="1"/>
  <c r="AC20" i="1836" s="1"/>
  <c r="O20" i="1836"/>
  <c r="K20" i="1836"/>
  <c r="L19" i="1836"/>
  <c r="K19" i="1836"/>
  <c r="L18" i="1836"/>
  <c r="AE9" i="1839" l="1"/>
  <c r="AE21" i="1839"/>
  <c r="AE7" i="1839"/>
  <c r="AE16" i="1839"/>
  <c r="AE11" i="1839"/>
  <c r="AE12" i="1839"/>
  <c r="AE13" i="1839"/>
  <c r="AE14" i="1839"/>
  <c r="AE17" i="1839"/>
  <c r="AE20" i="1839"/>
  <c r="AE6" i="1839"/>
  <c r="AE15" i="1839"/>
  <c r="AE8" i="1839"/>
  <c r="AE19" i="1839"/>
  <c r="AE10" i="1839"/>
  <c r="AC23" i="1838"/>
  <c r="AD6" i="1838"/>
  <c r="AD23" i="1838" s="1"/>
  <c r="AE12" i="1838" s="1"/>
  <c r="AB23" i="1837"/>
  <c r="AD9" i="1837"/>
  <c r="AD7" i="1837"/>
  <c r="M23" i="1837"/>
  <c r="AD8" i="1837"/>
  <c r="P23" i="1837"/>
  <c r="AC23" i="1837"/>
  <c r="AD20" i="1836"/>
  <c r="M20" i="1836"/>
  <c r="AE22" i="1838" l="1"/>
  <c r="AE20" i="1838"/>
  <c r="AE17" i="1838"/>
  <c r="AE8" i="1838"/>
  <c r="AE21" i="1838"/>
  <c r="AE10" i="1838"/>
  <c r="AE9" i="1838"/>
  <c r="AE18" i="1838"/>
  <c r="AE6" i="1838"/>
  <c r="AE19" i="1838"/>
  <c r="AE16" i="1838"/>
  <c r="AE15" i="1838"/>
  <c r="AE13" i="1838"/>
  <c r="AE11" i="1838"/>
  <c r="AE7" i="1838"/>
  <c r="AE14" i="1838"/>
  <c r="AD23" i="1837"/>
  <c r="K18" i="1836"/>
  <c r="L17" i="1836"/>
  <c r="K17" i="1836"/>
  <c r="L16" i="1836"/>
  <c r="L12" i="1836"/>
  <c r="L10" i="1836"/>
  <c r="L9" i="1836"/>
  <c r="K9" i="1836" s="1"/>
  <c r="L8" i="1836"/>
  <c r="L7" i="1836"/>
  <c r="L6" i="1836"/>
  <c r="K6" i="1836"/>
  <c r="AE18" i="1837" l="1"/>
  <c r="AE20" i="1837"/>
  <c r="AE8" i="1837"/>
  <c r="AE13" i="1837"/>
  <c r="AE12" i="1837"/>
  <c r="AE15" i="1837"/>
  <c r="AE6" i="1837"/>
  <c r="AE19" i="1837"/>
  <c r="AE10" i="1837"/>
  <c r="AE22" i="1837"/>
  <c r="AE7" i="1837"/>
  <c r="AE17" i="1837"/>
  <c r="AE16" i="1837"/>
  <c r="AE14" i="1837"/>
  <c r="AE11" i="1837"/>
  <c r="AE9" i="1837"/>
  <c r="AE21" i="1837"/>
  <c r="K16" i="1836"/>
  <c r="K15" i="1836"/>
  <c r="K12" i="1836"/>
  <c r="K10" i="1836"/>
  <c r="K7" i="1836"/>
  <c r="A77" i="1836"/>
  <c r="A78" i="1836" s="1"/>
  <c r="A79" i="1836" s="1"/>
  <c r="A80" i="1836" s="1"/>
  <c r="A81" i="1836" s="1"/>
  <c r="A82" i="1836" s="1"/>
  <c r="AF61" i="1836"/>
  <c r="AF63" i="1836" s="1"/>
  <c r="AF60" i="1836"/>
  <c r="AA22" i="1836"/>
  <c r="Z22" i="1836"/>
  <c r="Y22" i="1836"/>
  <c r="X22" i="1836"/>
  <c r="W22" i="1836"/>
  <c r="V22" i="1836"/>
  <c r="U22" i="1836"/>
  <c r="T22" i="1836"/>
  <c r="S22" i="1836"/>
  <c r="R22" i="1836"/>
  <c r="N22" i="1836"/>
  <c r="J22" i="1836"/>
  <c r="AF21" i="1836"/>
  <c r="AB21" i="1836"/>
  <c r="Q21" i="1836"/>
  <c r="P21" i="1836"/>
  <c r="AC21" i="1836" s="1"/>
  <c r="AD21" i="1836" s="1"/>
  <c r="O21" i="1836"/>
  <c r="M21" i="1836"/>
  <c r="K21" i="1836"/>
  <c r="AF19" i="1836"/>
  <c r="Q19" i="1836"/>
  <c r="O19" i="1836"/>
  <c r="AB19" i="1836"/>
  <c r="AF18" i="1836"/>
  <c r="AB18" i="1836"/>
  <c r="Q18" i="1836"/>
  <c r="P18" i="1836" s="1"/>
  <c r="AC18" i="1836" s="1"/>
  <c r="O18" i="1836"/>
  <c r="M18" i="1836"/>
  <c r="AF17" i="1836"/>
  <c r="Q17" i="1836"/>
  <c r="P17" i="1836"/>
  <c r="AC17" i="1836" s="1"/>
  <c r="AF16" i="1836"/>
  <c r="Q16" i="1836"/>
  <c r="P16" i="1836" s="1"/>
  <c r="AC16" i="1836" s="1"/>
  <c r="M16" i="1836"/>
  <c r="O16" i="1836"/>
  <c r="AF15" i="1836"/>
  <c r="AB15" i="1836"/>
  <c r="Q15" i="1836"/>
  <c r="P15" i="1836" s="1"/>
  <c r="AC15" i="1836" s="1"/>
  <c r="O15" i="1836"/>
  <c r="M15" i="1836"/>
  <c r="I15" i="1836"/>
  <c r="AF14" i="1836"/>
  <c r="AB14" i="1836"/>
  <c r="Q14" i="1836"/>
  <c r="P14" i="1836"/>
  <c r="AC14" i="1836" s="1"/>
  <c r="O14" i="1836"/>
  <c r="M14" i="1836"/>
  <c r="K14" i="1836"/>
  <c r="AF13" i="1836"/>
  <c r="AB13" i="1836"/>
  <c r="Q13" i="1836"/>
  <c r="P13" i="1836"/>
  <c r="AC13" i="1836" s="1"/>
  <c r="O13" i="1836"/>
  <c r="M13" i="1836"/>
  <c r="K13" i="1836"/>
  <c r="AF12" i="1836"/>
  <c r="AB12" i="1836"/>
  <c r="Q12" i="1836"/>
  <c r="P12" i="1836"/>
  <c r="AC12" i="1836" s="1"/>
  <c r="O12" i="1836"/>
  <c r="M12" i="1836"/>
  <c r="I12" i="1836"/>
  <c r="AF11" i="1836"/>
  <c r="AC11" i="1836"/>
  <c r="AB11" i="1836"/>
  <c r="Q11" i="1836"/>
  <c r="P11" i="1836"/>
  <c r="O11" i="1836"/>
  <c r="M11" i="1836"/>
  <c r="K11" i="1836"/>
  <c r="AF10" i="1836"/>
  <c r="Q10" i="1836"/>
  <c r="P10" i="1836"/>
  <c r="AC10" i="1836" s="1"/>
  <c r="O10" i="1836"/>
  <c r="I10" i="1836"/>
  <c r="I22" i="1836" s="1"/>
  <c r="AF9" i="1836"/>
  <c r="Q9" i="1836"/>
  <c r="P9" i="1836"/>
  <c r="AC9" i="1836" s="1"/>
  <c r="O9" i="1836"/>
  <c r="AF8" i="1836"/>
  <c r="AB8" i="1836"/>
  <c r="Q8" i="1836"/>
  <c r="P8" i="1836" s="1"/>
  <c r="AC8" i="1836" s="1"/>
  <c r="O8" i="1836"/>
  <c r="M8" i="1836"/>
  <c r="K8" i="1836"/>
  <c r="AF7" i="1836"/>
  <c r="Q7" i="1836"/>
  <c r="P7" i="1836"/>
  <c r="AC7" i="1836" s="1"/>
  <c r="AF6" i="1836"/>
  <c r="Q6" i="1836"/>
  <c r="O6" i="1836"/>
  <c r="AD18" i="1836" l="1"/>
  <c r="Q22" i="1836"/>
  <c r="P6" i="1836"/>
  <c r="AC6" i="1836" s="1"/>
  <c r="AD8" i="1836"/>
  <c r="AD11" i="1836"/>
  <c r="AD12" i="1836"/>
  <c r="AD14" i="1836"/>
  <c r="AD13" i="1836"/>
  <c r="AD15" i="1836"/>
  <c r="M17" i="1836"/>
  <c r="AB17" i="1836"/>
  <c r="K22" i="1836"/>
  <c r="P19" i="1836"/>
  <c r="AC19" i="1836" s="1"/>
  <c r="AD19" i="1836" s="1"/>
  <c r="M7" i="1836"/>
  <c r="M6" i="1836"/>
  <c r="AB9" i="1836"/>
  <c r="AD9" i="1836" s="1"/>
  <c r="M10" i="1836"/>
  <c r="AB16" i="1836"/>
  <c r="AD16" i="1836" s="1"/>
  <c r="O17" i="1836"/>
  <c r="L22" i="1836"/>
  <c r="O22" i="1836" s="1"/>
  <c r="AB7" i="1836"/>
  <c r="AD7" i="1836" s="1"/>
  <c r="AB6" i="1836"/>
  <c r="O7" i="1836"/>
  <c r="M9" i="1836"/>
  <c r="AB10" i="1836"/>
  <c r="AD10" i="1836" s="1"/>
  <c r="M19" i="183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0" i="1835"/>
  <c r="L19" i="1835"/>
  <c r="L18" i="1835"/>
  <c r="L17" i="1835"/>
  <c r="K17" i="1835"/>
  <c r="L16" i="1835"/>
  <c r="K16" i="1835"/>
  <c r="L12" i="1835"/>
  <c r="L10" i="1835"/>
  <c r="L9" i="1835"/>
  <c r="K9" i="1835"/>
  <c r="K8" i="1835"/>
  <c r="AC22" i="1836" l="1"/>
  <c r="M22" i="1836"/>
  <c r="P22" i="1836"/>
  <c r="AD17" i="1836"/>
  <c r="AB22" i="1836"/>
  <c r="AD6" i="1836"/>
  <c r="L7" i="1835"/>
  <c r="L6" i="1835"/>
  <c r="K21" i="1835"/>
  <c r="K20" i="1835"/>
  <c r="K19" i="1835"/>
  <c r="K18" i="1835"/>
  <c r="K15" i="1835"/>
  <c r="K12" i="1835"/>
  <c r="K10" i="1835"/>
  <c r="K7" i="1835"/>
  <c r="K6" i="1835"/>
  <c r="A77" i="1835"/>
  <c r="A78" i="1835" s="1"/>
  <c r="A79" i="1835" s="1"/>
  <c r="A80" i="1835" s="1"/>
  <c r="A81" i="1835" s="1"/>
  <c r="A82" i="1835" s="1"/>
  <c r="AF61" i="1835"/>
  <c r="AF63" i="1835" s="1"/>
  <c r="AF60" i="1835"/>
  <c r="AA22" i="1835"/>
  <c r="Z22" i="1835"/>
  <c r="Y22" i="1835"/>
  <c r="X22" i="1835"/>
  <c r="W22" i="1835"/>
  <c r="V22" i="1835"/>
  <c r="U22" i="1835"/>
  <c r="T22" i="1835"/>
  <c r="S22" i="1835"/>
  <c r="R22" i="1835"/>
  <c r="N22" i="1835"/>
  <c r="J22" i="1835"/>
  <c r="AF21" i="1835"/>
  <c r="AB21" i="1835"/>
  <c r="Q21" i="1835"/>
  <c r="P21" i="1835"/>
  <c r="AC21" i="1835" s="1"/>
  <c r="AD21" i="1835" s="1"/>
  <c r="O21" i="1835"/>
  <c r="M21" i="1835"/>
  <c r="AF20" i="1835"/>
  <c r="Q20" i="1835"/>
  <c r="P20" i="1835" s="1"/>
  <c r="AC20" i="1835" s="1"/>
  <c r="AF19" i="1835"/>
  <c r="AB19" i="1835"/>
  <c r="Q19" i="1835"/>
  <c r="P19" i="1835" s="1"/>
  <c r="AC19" i="1835" s="1"/>
  <c r="M19" i="1835"/>
  <c r="O19" i="1835"/>
  <c r="AF18" i="1835"/>
  <c r="Q18" i="1835"/>
  <c r="O18" i="1835"/>
  <c r="AB18" i="1835"/>
  <c r="AF17" i="1835"/>
  <c r="AB17" i="1835"/>
  <c r="Q17" i="1835"/>
  <c r="P17" i="1835" s="1"/>
  <c r="AC17" i="1835" s="1"/>
  <c r="O17" i="1835"/>
  <c r="M17" i="1835"/>
  <c r="AF16" i="1835"/>
  <c r="AB16" i="1835"/>
  <c r="Q16" i="1835"/>
  <c r="P16" i="1835" s="1"/>
  <c r="AC16" i="1835" s="1"/>
  <c r="O16" i="1835"/>
  <c r="M16" i="1835"/>
  <c r="AF15" i="1835"/>
  <c r="AB15" i="1835"/>
  <c r="Q15" i="1835"/>
  <c r="P15" i="1835" s="1"/>
  <c r="AC15" i="1835" s="1"/>
  <c r="O15" i="1835"/>
  <c r="M15" i="1835"/>
  <c r="I15" i="1835"/>
  <c r="AF14" i="1835"/>
  <c r="AB14" i="1835"/>
  <c r="Q14" i="1835"/>
  <c r="P14" i="1835"/>
  <c r="AC14" i="1835" s="1"/>
  <c r="O14" i="1835"/>
  <c r="M14" i="1835"/>
  <c r="K14" i="1835"/>
  <c r="AF13" i="1835"/>
  <c r="AB13" i="1835"/>
  <c r="Q13" i="1835"/>
  <c r="P13" i="1835"/>
  <c r="AC13" i="1835" s="1"/>
  <c r="AD13" i="1835" s="1"/>
  <c r="O13" i="1835"/>
  <c r="M13" i="1835"/>
  <c r="K13" i="1835"/>
  <c r="AF12" i="1835"/>
  <c r="AB12" i="1835"/>
  <c r="Q12" i="1835"/>
  <c r="P12" i="1835" s="1"/>
  <c r="AC12" i="1835" s="1"/>
  <c r="O12" i="1835"/>
  <c r="M12" i="1835"/>
  <c r="I12" i="1835"/>
  <c r="AF11" i="1835"/>
  <c r="AB11" i="1835"/>
  <c r="Q11" i="1835"/>
  <c r="P11" i="1835"/>
  <c r="AC11" i="1835" s="1"/>
  <c r="O11" i="1835"/>
  <c r="M11" i="1835"/>
  <c r="K11" i="1835"/>
  <c r="AF10" i="1835"/>
  <c r="AB10" i="1835"/>
  <c r="Q10" i="1835"/>
  <c r="P10" i="1835"/>
  <c r="AC10" i="1835" s="1"/>
  <c r="M10" i="1835"/>
  <c r="O10" i="1835"/>
  <c r="I10" i="1835"/>
  <c r="I22" i="1835" s="1"/>
  <c r="AF9" i="1835"/>
  <c r="AB9" i="1835"/>
  <c r="Q9" i="1835"/>
  <c r="P9" i="1835" s="1"/>
  <c r="AC9" i="1835" s="1"/>
  <c r="M9" i="1835"/>
  <c r="O9" i="1835"/>
  <c r="AF8" i="1835"/>
  <c r="AB8" i="1835"/>
  <c r="Q8" i="1835"/>
  <c r="P8" i="1835"/>
  <c r="AC8" i="1835" s="1"/>
  <c r="O8" i="1835"/>
  <c r="M8" i="1835"/>
  <c r="AF7" i="1835"/>
  <c r="Q7" i="1835"/>
  <c r="P7" i="1835"/>
  <c r="AC7" i="1835" s="1"/>
  <c r="AF6" i="1835"/>
  <c r="Q6" i="1835"/>
  <c r="P6" i="1835"/>
  <c r="AC6" i="1835" s="1"/>
  <c r="O6" i="1835"/>
  <c r="AD22" i="1836" l="1"/>
  <c r="AD17" i="1835"/>
  <c r="Q22" i="1835"/>
  <c r="AD12" i="1835"/>
  <c r="AD16" i="1835"/>
  <c r="AD8" i="1835"/>
  <c r="AD11" i="1835"/>
  <c r="AD15" i="1835"/>
  <c r="AD14" i="1835"/>
  <c r="AD9" i="1835"/>
  <c r="AD10" i="1835"/>
  <c r="AD19" i="1835"/>
  <c r="L22" i="1835"/>
  <c r="O22" i="1835" s="1"/>
  <c r="M7" i="1835"/>
  <c r="AB7" i="1835"/>
  <c r="P18" i="1835"/>
  <c r="AC18" i="1835" s="1"/>
  <c r="AD18" i="1835" s="1"/>
  <c r="M20" i="1835"/>
  <c r="AB20" i="1835"/>
  <c r="M6" i="1835"/>
  <c r="O20" i="1835"/>
  <c r="AB6" i="1835"/>
  <c r="AD6" i="1835" s="1"/>
  <c r="O7" i="1835"/>
  <c r="K22" i="1835"/>
  <c r="M18" i="1835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AE14" i="1836" l="1"/>
  <c r="AE20" i="1836"/>
  <c r="AE6" i="1836"/>
  <c r="AE7" i="1836"/>
  <c r="AE10" i="1836"/>
  <c r="AE19" i="1836"/>
  <c r="AE8" i="1836"/>
  <c r="AE16" i="1836"/>
  <c r="AE17" i="1836"/>
  <c r="AE11" i="1836"/>
  <c r="AE13" i="1836"/>
  <c r="AE15" i="1836"/>
  <c r="AE9" i="1836"/>
  <c r="AE12" i="1836"/>
  <c r="AE18" i="1836"/>
  <c r="AE21" i="1836"/>
  <c r="AD20" i="1835"/>
  <c r="M22" i="1835"/>
  <c r="AC22" i="1835"/>
  <c r="AD7" i="1835"/>
  <c r="AB22" i="1835"/>
  <c r="P22" i="1835"/>
  <c r="L21" i="1834"/>
  <c r="AB21" i="1834" s="1"/>
  <c r="L20" i="1834"/>
  <c r="O20" i="1834"/>
  <c r="L19" i="1834"/>
  <c r="L18" i="1834"/>
  <c r="K18" i="1834" s="1"/>
  <c r="L15" i="1834"/>
  <c r="O15" i="1834" s="1"/>
  <c r="L12" i="1834"/>
  <c r="K12" i="1834"/>
  <c r="I12" i="1834"/>
  <c r="L10" i="1834"/>
  <c r="K10" i="1834" s="1"/>
  <c r="L9" i="1834"/>
  <c r="K9" i="1834" s="1"/>
  <c r="L7" i="1834"/>
  <c r="AB7" i="1834" s="1"/>
  <c r="L6" i="1834"/>
  <c r="K21" i="1834"/>
  <c r="K19" i="1834"/>
  <c r="K13" i="1834"/>
  <c r="K6" i="1834"/>
  <c r="A77" i="1834"/>
  <c r="A78" i="1834" s="1"/>
  <c r="A79" i="1834" s="1"/>
  <c r="A80" i="1834" s="1"/>
  <c r="A81" i="1834" s="1"/>
  <c r="A82" i="1834" s="1"/>
  <c r="AF63" i="1834"/>
  <c r="AF61" i="1834"/>
  <c r="AF60" i="1834"/>
  <c r="AA22" i="1834"/>
  <c r="Z22" i="1834"/>
  <c r="Y22" i="1834"/>
  <c r="X22" i="1834"/>
  <c r="W22" i="1834"/>
  <c r="V22" i="1834"/>
  <c r="U22" i="1834"/>
  <c r="T22" i="1834"/>
  <c r="S22" i="1834"/>
  <c r="R22" i="1834"/>
  <c r="N22" i="1834"/>
  <c r="J22" i="1834"/>
  <c r="AF21" i="1834"/>
  <c r="Q21" i="1834"/>
  <c r="O21" i="1834"/>
  <c r="AF20" i="1834"/>
  <c r="Q20" i="1834"/>
  <c r="P20" i="1834" s="1"/>
  <c r="AC20" i="1834" s="1"/>
  <c r="AF19" i="1834"/>
  <c r="AB19" i="1834"/>
  <c r="Q19" i="1834"/>
  <c r="M19" i="1834"/>
  <c r="O19" i="1834"/>
  <c r="AF18" i="1834"/>
  <c r="Q18" i="1834"/>
  <c r="AB18" i="1834"/>
  <c r="AF17" i="1834"/>
  <c r="AB17" i="1834"/>
  <c r="Q17" i="1834"/>
  <c r="P17" i="1834"/>
  <c r="AC17" i="1834" s="1"/>
  <c r="O17" i="1834"/>
  <c r="M17" i="1834"/>
  <c r="K17" i="1834"/>
  <c r="AF16" i="1834"/>
  <c r="AC16" i="1834"/>
  <c r="AD16" i="1834" s="1"/>
  <c r="AB16" i="1834"/>
  <c r="Q16" i="1834"/>
  <c r="P16" i="1834"/>
  <c r="O16" i="1834"/>
  <c r="M16" i="1834"/>
  <c r="K16" i="1834"/>
  <c r="AF15" i="1834"/>
  <c r="Q15" i="1834"/>
  <c r="P15" i="1834" s="1"/>
  <c r="AC15" i="1834" s="1"/>
  <c r="I15" i="1834"/>
  <c r="AF14" i="1834"/>
  <c r="AB14" i="1834"/>
  <c r="Q14" i="1834"/>
  <c r="P14" i="1834"/>
  <c r="AC14" i="1834" s="1"/>
  <c r="AD14" i="1834" s="1"/>
  <c r="O14" i="1834"/>
  <c r="M14" i="1834"/>
  <c r="K14" i="1834"/>
  <c r="AF13" i="1834"/>
  <c r="AB13" i="1834"/>
  <c r="Q13" i="1834"/>
  <c r="M13" i="1834"/>
  <c r="P13" i="1834"/>
  <c r="AC13" i="1834" s="1"/>
  <c r="AF12" i="1834"/>
  <c r="AB12" i="1834"/>
  <c r="Q12" i="1834"/>
  <c r="P12" i="1834" s="1"/>
  <c r="AC12" i="1834" s="1"/>
  <c r="O12" i="1834"/>
  <c r="M12" i="1834"/>
  <c r="AF11" i="1834"/>
  <c r="AB11" i="1834"/>
  <c r="Q11" i="1834"/>
  <c r="P11" i="1834"/>
  <c r="AC11" i="1834" s="1"/>
  <c r="AD11" i="1834" s="1"/>
  <c r="O11" i="1834"/>
  <c r="M11" i="1834"/>
  <c r="K11" i="1834"/>
  <c r="AF10" i="1834"/>
  <c r="Q10" i="1834"/>
  <c r="P10" i="1834"/>
  <c r="AC10" i="1834" s="1"/>
  <c r="I10" i="1834"/>
  <c r="I22" i="1834" s="1"/>
  <c r="AF9" i="1834"/>
  <c r="Q9" i="1834"/>
  <c r="P9" i="1834" s="1"/>
  <c r="AC9" i="1834" s="1"/>
  <c r="AF8" i="1834"/>
  <c r="AB8" i="1834"/>
  <c r="Q8" i="1834"/>
  <c r="P8" i="1834"/>
  <c r="AC8" i="1834" s="1"/>
  <c r="AD8" i="1834" s="1"/>
  <c r="O8" i="1834"/>
  <c r="M8" i="1834"/>
  <c r="K8" i="1834"/>
  <c r="AF7" i="1834"/>
  <c r="Q7" i="1834"/>
  <c r="AF6" i="1834"/>
  <c r="Q6" i="1834"/>
  <c r="M6" i="1834"/>
  <c r="AD22" i="1835" l="1"/>
  <c r="AE21" i="1835" s="1"/>
  <c r="P21" i="1834"/>
  <c r="AC21" i="1834" s="1"/>
  <c r="M20" i="1834"/>
  <c r="AB20" i="1834"/>
  <c r="AD20" i="1834" s="1"/>
  <c r="K20" i="1834"/>
  <c r="K15" i="1834"/>
  <c r="AB15" i="1834"/>
  <c r="AD15" i="1834" s="1"/>
  <c r="Q22" i="1834"/>
  <c r="K7" i="1834"/>
  <c r="P6" i="1834"/>
  <c r="AD12" i="1834"/>
  <c r="AD17" i="1834"/>
  <c r="AD21" i="1834"/>
  <c r="M7" i="1834"/>
  <c r="AB6" i="1834"/>
  <c r="O7" i="1834"/>
  <c r="M9" i="1834"/>
  <c r="AB9" i="1834"/>
  <c r="M10" i="1834"/>
  <c r="AB10" i="1834"/>
  <c r="O13" i="1834"/>
  <c r="AD13" i="1834" s="1"/>
  <c r="O6" i="1834"/>
  <c r="AC6" i="1834"/>
  <c r="P7" i="1834"/>
  <c r="AC7" i="1834" s="1"/>
  <c r="AD7" i="1834" s="1"/>
  <c r="O9" i="1834"/>
  <c r="AD9" i="1834" s="1"/>
  <c r="O10" i="1834"/>
  <c r="M15" i="1834"/>
  <c r="O18" i="1834"/>
  <c r="P19" i="1834"/>
  <c r="AC19" i="1834" s="1"/>
  <c r="AD19" i="1834" s="1"/>
  <c r="M21" i="1834"/>
  <c r="L22" i="1834"/>
  <c r="O22" i="1834" s="1"/>
  <c r="K22" i="1834"/>
  <c r="P18" i="1834"/>
  <c r="AC18" i="1834" s="1"/>
  <c r="M18" i="1834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1" i="1833"/>
  <c r="L20" i="1833"/>
  <c r="L19" i="1833"/>
  <c r="L18" i="1833"/>
  <c r="K18" i="1833" s="1"/>
  <c r="L15" i="1833"/>
  <c r="K15" i="1833" s="1"/>
  <c r="I15" i="1833"/>
  <c r="L13" i="1833"/>
  <c r="L22" i="1833" s="1"/>
  <c r="O22" i="1833" s="1"/>
  <c r="K12" i="1833"/>
  <c r="L10" i="1833"/>
  <c r="L9" i="1833"/>
  <c r="L7" i="1833"/>
  <c r="L6" i="1833"/>
  <c r="AB6" i="1833" s="1"/>
  <c r="K21" i="1833"/>
  <c r="K20" i="1833"/>
  <c r="K19" i="1833"/>
  <c r="K10" i="1833"/>
  <c r="K9" i="1833"/>
  <c r="K6" i="1833"/>
  <c r="A77" i="1833"/>
  <c r="A78" i="1833" s="1"/>
  <c r="A79" i="1833" s="1"/>
  <c r="A80" i="1833" s="1"/>
  <c r="A81" i="1833" s="1"/>
  <c r="A82" i="1833" s="1"/>
  <c r="AF61" i="1833"/>
  <c r="AF60" i="1833"/>
  <c r="AF63" i="1833" s="1"/>
  <c r="AA22" i="1833"/>
  <c r="Z22" i="1833"/>
  <c r="Y22" i="1833"/>
  <c r="X22" i="1833"/>
  <c r="W22" i="1833"/>
  <c r="V22" i="1833"/>
  <c r="U22" i="1833"/>
  <c r="T22" i="1833"/>
  <c r="S22" i="1833"/>
  <c r="R22" i="1833"/>
  <c r="N22" i="1833"/>
  <c r="J22" i="1833"/>
  <c r="AF21" i="1833"/>
  <c r="Q21" i="1833"/>
  <c r="P21" i="1833" s="1"/>
  <c r="AC21" i="1833" s="1"/>
  <c r="O21" i="1833"/>
  <c r="AF20" i="1833"/>
  <c r="Q20" i="1833"/>
  <c r="P20" i="1833"/>
  <c r="AC20" i="1833" s="1"/>
  <c r="O20" i="1833"/>
  <c r="AB20" i="1833"/>
  <c r="AF19" i="1833"/>
  <c r="AB19" i="1833"/>
  <c r="Q19" i="1833"/>
  <c r="P19" i="1833" s="1"/>
  <c r="AC19" i="1833" s="1"/>
  <c r="O19" i="1833"/>
  <c r="M19" i="1833"/>
  <c r="AF18" i="1833"/>
  <c r="AB18" i="1833"/>
  <c r="Q18" i="1833"/>
  <c r="P18" i="1833" s="1"/>
  <c r="AC18" i="1833" s="1"/>
  <c r="O18" i="1833"/>
  <c r="M18" i="1833"/>
  <c r="AF17" i="1833"/>
  <c r="AC17" i="1833"/>
  <c r="AB17" i="1833"/>
  <c r="Q17" i="1833"/>
  <c r="P17" i="1833"/>
  <c r="O17" i="1833"/>
  <c r="M17" i="1833"/>
  <c r="K17" i="1833"/>
  <c r="AF16" i="1833"/>
  <c r="AB16" i="1833"/>
  <c r="Q16" i="1833"/>
  <c r="P16" i="1833"/>
  <c r="AC16" i="1833" s="1"/>
  <c r="O16" i="1833"/>
  <c r="M16" i="1833"/>
  <c r="K16" i="1833"/>
  <c r="AF15" i="1833"/>
  <c r="Q15" i="1833"/>
  <c r="P15" i="1833" s="1"/>
  <c r="AC15" i="1833" s="1"/>
  <c r="O15" i="1833"/>
  <c r="AB15" i="1833"/>
  <c r="AF14" i="1833"/>
  <c r="AB14" i="1833"/>
  <c r="Q14" i="1833"/>
  <c r="P14" i="1833"/>
  <c r="AC14" i="1833" s="1"/>
  <c r="AD14" i="1833" s="1"/>
  <c r="O14" i="1833"/>
  <c r="M14" i="1833"/>
  <c r="K14" i="1833"/>
  <c r="AF13" i="1833"/>
  <c r="Q13" i="1833"/>
  <c r="AF12" i="1833"/>
  <c r="AB12" i="1833"/>
  <c r="Q12" i="1833"/>
  <c r="P12" i="1833" s="1"/>
  <c r="AC12" i="1833" s="1"/>
  <c r="O12" i="1833"/>
  <c r="M12" i="1833"/>
  <c r="AF11" i="1833"/>
  <c r="AB11" i="1833"/>
  <c r="Q11" i="1833"/>
  <c r="P11" i="1833"/>
  <c r="AC11" i="1833" s="1"/>
  <c r="O11" i="1833"/>
  <c r="M11" i="1833"/>
  <c r="K11" i="1833"/>
  <c r="AF10" i="1833"/>
  <c r="Q10" i="1833"/>
  <c r="P10" i="1833"/>
  <c r="AC10" i="1833" s="1"/>
  <c r="O10" i="1833"/>
  <c r="AB10" i="1833"/>
  <c r="I10" i="1833"/>
  <c r="I22" i="1833" s="1"/>
  <c r="AF9" i="1833"/>
  <c r="Q9" i="1833"/>
  <c r="P9" i="1833"/>
  <c r="AC9" i="1833" s="1"/>
  <c r="O9" i="1833"/>
  <c r="AB9" i="1833"/>
  <c r="AF8" i="1833"/>
  <c r="AC8" i="1833"/>
  <c r="AB8" i="1833"/>
  <c r="Q8" i="1833"/>
  <c r="P8" i="1833"/>
  <c r="O8" i="1833"/>
  <c r="M8" i="1833"/>
  <c r="K8" i="1833"/>
  <c r="AF7" i="1833"/>
  <c r="AB7" i="1833"/>
  <c r="Q7" i="1833"/>
  <c r="P7" i="1833" s="1"/>
  <c r="AC7" i="1833" s="1"/>
  <c r="O7" i="1833"/>
  <c r="M7" i="1833"/>
  <c r="K7" i="1833"/>
  <c r="AF6" i="1833"/>
  <c r="Q6" i="1833"/>
  <c r="O6" i="1833"/>
  <c r="M6" i="1833"/>
  <c r="AE14" i="1835" l="1"/>
  <c r="AE6" i="1835"/>
  <c r="AE16" i="1835"/>
  <c r="AE8" i="1835"/>
  <c r="AE15" i="1835"/>
  <c r="AE7" i="1835"/>
  <c r="AE18" i="1835"/>
  <c r="AE9" i="1835"/>
  <c r="AE19" i="1835"/>
  <c r="AE11" i="1835"/>
  <c r="AE17" i="1835"/>
  <c r="AE13" i="1835"/>
  <c r="AE10" i="1835"/>
  <c r="AE20" i="1835"/>
  <c r="AE12" i="1835"/>
  <c r="AD18" i="1834"/>
  <c r="AB22" i="1834"/>
  <c r="M22" i="1834"/>
  <c r="AD10" i="1834"/>
  <c r="AC22" i="1834"/>
  <c r="AD6" i="1834"/>
  <c r="P22" i="1834"/>
  <c r="AD19" i="1833"/>
  <c r="AD18" i="1833"/>
  <c r="O13" i="1833"/>
  <c r="P13" i="1833"/>
  <c r="AC13" i="1833" s="1"/>
  <c r="K13" i="1833"/>
  <c r="AD12" i="1833"/>
  <c r="Q22" i="1833"/>
  <c r="AD8" i="1833"/>
  <c r="AD17" i="1833"/>
  <c r="AD7" i="1833"/>
  <c r="AD11" i="1833"/>
  <c r="AD16" i="1833"/>
  <c r="K22" i="1833"/>
  <c r="AD9" i="1833"/>
  <c r="AD10" i="1833"/>
  <c r="AD20" i="1833"/>
  <c r="AD15" i="1833"/>
  <c r="P6" i="1833"/>
  <c r="M13" i="1833"/>
  <c r="AB13" i="1833"/>
  <c r="M21" i="1833"/>
  <c r="AB21" i="1833"/>
  <c r="AD21" i="1833" s="1"/>
  <c r="M9" i="1833"/>
  <c r="M10" i="1833"/>
  <c r="M15" i="1833"/>
  <c r="M20" i="1833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1" i="1832"/>
  <c r="L20" i="1832"/>
  <c r="K20" i="1832"/>
  <c r="L19" i="1832"/>
  <c r="O19" i="1832" s="1"/>
  <c r="L15" i="1832"/>
  <c r="L13" i="1832"/>
  <c r="L10" i="1832"/>
  <c r="K10" i="1832"/>
  <c r="I10" i="1832"/>
  <c r="L9" i="1832"/>
  <c r="K9" i="1832"/>
  <c r="L6" i="1832"/>
  <c r="K6" i="1832"/>
  <c r="K21" i="1832"/>
  <c r="K19" i="1832"/>
  <c r="K15" i="1832"/>
  <c r="K13" i="1832"/>
  <c r="K12" i="1832"/>
  <c r="A77" i="1832"/>
  <c r="A78" i="1832" s="1"/>
  <c r="A79" i="1832" s="1"/>
  <c r="A80" i="1832" s="1"/>
  <c r="A81" i="1832" s="1"/>
  <c r="A82" i="1832" s="1"/>
  <c r="AF63" i="1832"/>
  <c r="AF61" i="1832"/>
  <c r="AF60" i="1832"/>
  <c r="AA22" i="1832"/>
  <c r="Z22" i="1832"/>
  <c r="Y22" i="1832"/>
  <c r="X22" i="1832"/>
  <c r="W22" i="1832"/>
  <c r="V22" i="1832"/>
  <c r="U22" i="1832"/>
  <c r="T22" i="1832"/>
  <c r="S22" i="1832"/>
  <c r="R22" i="1832"/>
  <c r="N22" i="1832"/>
  <c r="J22" i="1832"/>
  <c r="I22" i="1832"/>
  <c r="AF21" i="1832"/>
  <c r="Q21" i="1832"/>
  <c r="P21" i="1832"/>
  <c r="AC21" i="1832" s="1"/>
  <c r="O21" i="1832"/>
  <c r="AB21" i="1832"/>
  <c r="AF20" i="1832"/>
  <c r="AB20" i="1832"/>
  <c r="Q20" i="1832"/>
  <c r="P20" i="1832" s="1"/>
  <c r="AC20" i="1832" s="1"/>
  <c r="O20" i="1832"/>
  <c r="M20" i="1832"/>
  <c r="AF19" i="1832"/>
  <c r="Q19" i="1832"/>
  <c r="AF18" i="1832"/>
  <c r="AB18" i="1832"/>
  <c r="Q18" i="1832"/>
  <c r="P18" i="1832" s="1"/>
  <c r="AC18" i="1832" s="1"/>
  <c r="O18" i="1832"/>
  <c r="M18" i="1832"/>
  <c r="K18" i="1832"/>
  <c r="AF17" i="1832"/>
  <c r="AB17" i="1832"/>
  <c r="Q17" i="1832"/>
  <c r="P17" i="1832"/>
  <c r="AC17" i="1832" s="1"/>
  <c r="AD17" i="1832" s="1"/>
  <c r="O17" i="1832"/>
  <c r="M17" i="1832"/>
  <c r="K17" i="1832"/>
  <c r="AF16" i="1832"/>
  <c r="AB16" i="1832"/>
  <c r="Q16" i="1832"/>
  <c r="P16" i="1832"/>
  <c r="AC16" i="1832" s="1"/>
  <c r="O16" i="1832"/>
  <c r="M16" i="1832"/>
  <c r="K16" i="1832"/>
  <c r="AF15" i="1832"/>
  <c r="AC15" i="1832"/>
  <c r="AB15" i="1832"/>
  <c r="Q15" i="1832"/>
  <c r="P15" i="1832"/>
  <c r="O15" i="1832"/>
  <c r="M15" i="1832"/>
  <c r="AF14" i="1832"/>
  <c r="AB14" i="1832"/>
  <c r="Q14" i="1832"/>
  <c r="P14" i="1832"/>
  <c r="AC14" i="1832" s="1"/>
  <c r="AD14" i="1832" s="1"/>
  <c r="O14" i="1832"/>
  <c r="M14" i="1832"/>
  <c r="K14" i="1832"/>
  <c r="AF13" i="1832"/>
  <c r="Q13" i="1832"/>
  <c r="P13" i="1832"/>
  <c r="AC13" i="1832" s="1"/>
  <c r="O13" i="1832"/>
  <c r="AB13" i="1832"/>
  <c r="AF12" i="1832"/>
  <c r="AB12" i="1832"/>
  <c r="Q12" i="1832"/>
  <c r="P12" i="1832" s="1"/>
  <c r="AC12" i="1832" s="1"/>
  <c r="O12" i="1832"/>
  <c r="M12" i="1832"/>
  <c r="AF11" i="1832"/>
  <c r="AC11" i="1832"/>
  <c r="AD11" i="1832" s="1"/>
  <c r="AB11" i="1832"/>
  <c r="Q11" i="1832"/>
  <c r="P11" i="1832"/>
  <c r="O11" i="1832"/>
  <c r="M11" i="1832"/>
  <c r="K11" i="1832"/>
  <c r="AF10" i="1832"/>
  <c r="AB10" i="1832"/>
  <c r="Q10" i="1832"/>
  <c r="P10" i="1832" s="1"/>
  <c r="AC10" i="1832" s="1"/>
  <c r="O10" i="1832"/>
  <c r="M10" i="1832"/>
  <c r="AF9" i="1832"/>
  <c r="AB9" i="1832"/>
  <c r="Q9" i="1832"/>
  <c r="P9" i="1832" s="1"/>
  <c r="AC9" i="1832" s="1"/>
  <c r="O9" i="1832"/>
  <c r="M9" i="1832"/>
  <c r="AF8" i="1832"/>
  <c r="AB8" i="1832"/>
  <c r="Q8" i="1832"/>
  <c r="P8" i="1832"/>
  <c r="AC8" i="1832" s="1"/>
  <c r="AD8" i="1832" s="1"/>
  <c r="O8" i="1832"/>
  <c r="M8" i="1832"/>
  <c r="K8" i="1832"/>
  <c r="AF7" i="1832"/>
  <c r="AC7" i="1832"/>
  <c r="AD7" i="1832" s="1"/>
  <c r="AB7" i="1832"/>
  <c r="Q7" i="1832"/>
  <c r="P7" i="1832"/>
  <c r="O7" i="1832"/>
  <c r="M7" i="1832"/>
  <c r="K7" i="1832"/>
  <c r="AF6" i="1832"/>
  <c r="Q6" i="1832"/>
  <c r="P6" i="1832"/>
  <c r="O6" i="1832"/>
  <c r="AD22" i="1834" l="1"/>
  <c r="AE17" i="1834" s="1"/>
  <c r="AD13" i="1833"/>
  <c r="M22" i="1833"/>
  <c r="AB22" i="1833"/>
  <c r="AC6" i="1833"/>
  <c r="P22" i="1833"/>
  <c r="AD15" i="1832"/>
  <c r="L22" i="1832"/>
  <c r="O22" i="1832" s="1"/>
  <c r="AD13" i="1832"/>
  <c r="AD10" i="1832"/>
  <c r="Q22" i="1832"/>
  <c r="AD9" i="1832"/>
  <c r="M6" i="1832"/>
  <c r="AB6" i="1832"/>
  <c r="AD18" i="1832"/>
  <c r="AD20" i="1832"/>
  <c r="AD21" i="1832"/>
  <c r="AD12" i="1832"/>
  <c r="AD16" i="1832"/>
  <c r="AC6" i="1832"/>
  <c r="M13" i="1832"/>
  <c r="K22" i="1832"/>
  <c r="P19" i="1832"/>
  <c r="AC19" i="1832" s="1"/>
  <c r="M21" i="1832"/>
  <c r="M19" i="1832"/>
  <c r="AB19" i="1832"/>
  <c r="AB22" i="1832" s="1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1" i="1831"/>
  <c r="M21" i="1831" s="1"/>
  <c r="L20" i="1831"/>
  <c r="L19" i="1831"/>
  <c r="P19" i="1831" s="1"/>
  <c r="AC19" i="1831" s="1"/>
  <c r="L15" i="1831"/>
  <c r="K15" i="1831" s="1"/>
  <c r="L13" i="1831"/>
  <c r="K13" i="1831" s="1"/>
  <c r="L12" i="1831"/>
  <c r="K12" i="1831" s="1"/>
  <c r="K21" i="1831"/>
  <c r="K20" i="1831"/>
  <c r="K19" i="1831"/>
  <c r="K18" i="1831"/>
  <c r="K10" i="1831"/>
  <c r="K9" i="1831"/>
  <c r="K8" i="1831"/>
  <c r="A79" i="1831"/>
  <c r="A80" i="1831" s="1"/>
  <c r="A81" i="1831" s="1"/>
  <c r="A82" i="1831" s="1"/>
  <c r="A78" i="1831"/>
  <c r="A77" i="1831"/>
  <c r="AF61" i="1831"/>
  <c r="AF60" i="1831"/>
  <c r="AF63" i="1831" s="1"/>
  <c r="AA22" i="1831"/>
  <c r="Z22" i="1831"/>
  <c r="Y22" i="1831"/>
  <c r="X22" i="1831"/>
  <c r="W22" i="1831"/>
  <c r="V22" i="1831"/>
  <c r="U22" i="1831"/>
  <c r="T22" i="1831"/>
  <c r="S22" i="1831"/>
  <c r="R22" i="1831"/>
  <c r="N22" i="1831"/>
  <c r="J22" i="1831"/>
  <c r="I22" i="1831"/>
  <c r="AF21" i="1831"/>
  <c r="Q21" i="1831"/>
  <c r="AF20" i="1831"/>
  <c r="Q20" i="1831"/>
  <c r="P20" i="1831"/>
  <c r="AC20" i="1831" s="1"/>
  <c r="AF19" i="1831"/>
  <c r="Q19" i="1831"/>
  <c r="O19" i="1831"/>
  <c r="AF18" i="1831"/>
  <c r="AC18" i="1831"/>
  <c r="Q18" i="1831"/>
  <c r="P18" i="1831"/>
  <c r="O18" i="1831"/>
  <c r="AB18" i="1831"/>
  <c r="AF17" i="1831"/>
  <c r="AB17" i="1831"/>
  <c r="Q17" i="1831"/>
  <c r="P17" i="1831"/>
  <c r="AC17" i="1831" s="1"/>
  <c r="AD17" i="1831" s="1"/>
  <c r="O17" i="1831"/>
  <c r="M17" i="1831"/>
  <c r="K17" i="1831"/>
  <c r="AF16" i="1831"/>
  <c r="AB16" i="1831"/>
  <c r="Q16" i="1831"/>
  <c r="P16" i="1831"/>
  <c r="AC16" i="1831" s="1"/>
  <c r="O16" i="1831"/>
  <c r="M16" i="1831"/>
  <c r="K16" i="1831"/>
  <c r="AF15" i="1831"/>
  <c r="AB15" i="1831"/>
  <c r="Q15" i="1831"/>
  <c r="P15" i="1831"/>
  <c r="AC15" i="1831" s="1"/>
  <c r="O15" i="1831"/>
  <c r="M15" i="1831"/>
  <c r="AF14" i="1831"/>
  <c r="AC14" i="1831"/>
  <c r="AB14" i="1831"/>
  <c r="Q14" i="1831"/>
  <c r="P14" i="1831"/>
  <c r="O14" i="1831"/>
  <c r="M14" i="1831"/>
  <c r="K14" i="1831"/>
  <c r="AF13" i="1831"/>
  <c r="Q13" i="1831"/>
  <c r="O13" i="1831"/>
  <c r="AB13" i="1831"/>
  <c r="AF12" i="1831"/>
  <c r="AB12" i="1831"/>
  <c r="Q12" i="1831"/>
  <c r="P12" i="1831" s="1"/>
  <c r="AC12" i="1831" s="1"/>
  <c r="O12" i="1831"/>
  <c r="AF11" i="1831"/>
  <c r="AC11" i="1831"/>
  <c r="AB11" i="1831"/>
  <c r="Q11" i="1831"/>
  <c r="P11" i="1831"/>
  <c r="O11" i="1831"/>
  <c r="M11" i="1831"/>
  <c r="K11" i="1831"/>
  <c r="AF10" i="1831"/>
  <c r="Q10" i="1831"/>
  <c r="AB10" i="1831"/>
  <c r="AF9" i="1831"/>
  <c r="AB9" i="1831"/>
  <c r="Q9" i="1831"/>
  <c r="P9" i="1831"/>
  <c r="AC9" i="1831" s="1"/>
  <c r="M9" i="1831"/>
  <c r="O9" i="1831"/>
  <c r="AF8" i="1831"/>
  <c r="AB8" i="1831"/>
  <c r="Q8" i="1831"/>
  <c r="P8" i="1831" s="1"/>
  <c r="O8" i="1831"/>
  <c r="M8" i="1831"/>
  <c r="AF7" i="1831"/>
  <c r="AC7" i="1831"/>
  <c r="AD7" i="1831" s="1"/>
  <c r="AB7" i="1831"/>
  <c r="Q7" i="1831"/>
  <c r="P7" i="1831"/>
  <c r="O7" i="1831"/>
  <c r="M7" i="1831"/>
  <c r="K7" i="1831"/>
  <c r="AF6" i="1831"/>
  <c r="AC6" i="1831"/>
  <c r="AD6" i="1831" s="1"/>
  <c r="AB6" i="1831"/>
  <c r="Q6" i="1831"/>
  <c r="P6" i="1831"/>
  <c r="O6" i="1831"/>
  <c r="M6" i="1831"/>
  <c r="K6" i="1831"/>
  <c r="AE18" i="1834" l="1"/>
  <c r="AE14" i="1834"/>
  <c r="AE16" i="1834"/>
  <c r="AE15" i="1834"/>
  <c r="AE6" i="1834"/>
  <c r="AE13" i="1834"/>
  <c r="AE21" i="1834"/>
  <c r="AE7" i="1834"/>
  <c r="AE11" i="1834"/>
  <c r="AE19" i="1834"/>
  <c r="AE9" i="1834"/>
  <c r="AE8" i="1834"/>
  <c r="AE20" i="1834"/>
  <c r="AE12" i="1834"/>
  <c r="AE10" i="1834"/>
  <c r="AC22" i="1833"/>
  <c r="AD6" i="1833"/>
  <c r="AD22" i="1833" s="1"/>
  <c r="M22" i="1832"/>
  <c r="AD19" i="1832"/>
  <c r="P22" i="1832"/>
  <c r="AD6" i="1832"/>
  <c r="AC22" i="1832"/>
  <c r="P21" i="1831"/>
  <c r="AC21" i="1831" s="1"/>
  <c r="AB21" i="1831"/>
  <c r="M12" i="1831"/>
  <c r="Q22" i="1831"/>
  <c r="AD14" i="1831"/>
  <c r="AD15" i="1831"/>
  <c r="AD11" i="1831"/>
  <c r="AD12" i="1831"/>
  <c r="AD16" i="1831"/>
  <c r="AD9" i="1831"/>
  <c r="AD18" i="1831"/>
  <c r="AC8" i="1831"/>
  <c r="AD8" i="1831" s="1"/>
  <c r="O10" i="1831"/>
  <c r="L22" i="1831"/>
  <c r="O22" i="1831" s="1"/>
  <c r="K22" i="1831"/>
  <c r="P10" i="1831"/>
  <c r="AC10" i="1831" s="1"/>
  <c r="P13" i="1831"/>
  <c r="AC13" i="1831" s="1"/>
  <c r="AD13" i="1831" s="1"/>
  <c r="M20" i="1831"/>
  <c r="AB20" i="1831"/>
  <c r="AD20" i="1831" s="1"/>
  <c r="O21" i="1831"/>
  <c r="M19" i="1831"/>
  <c r="AB19" i="1831"/>
  <c r="O20" i="1831"/>
  <c r="M10" i="1831"/>
  <c r="M13" i="1831"/>
  <c r="M18" i="1831"/>
  <c r="AE21" i="1833" l="1"/>
  <c r="AE16" i="1833"/>
  <c r="AE18" i="1833"/>
  <c r="AE19" i="1833"/>
  <c r="AE14" i="1833"/>
  <c r="AE8" i="1833"/>
  <c r="AE6" i="1833"/>
  <c r="AE13" i="1833"/>
  <c r="AE7" i="1833"/>
  <c r="AE20" i="1833"/>
  <c r="AE17" i="1833"/>
  <c r="AE15" i="1833"/>
  <c r="AE12" i="1833"/>
  <c r="AE10" i="1833"/>
  <c r="AE9" i="1833"/>
  <c r="AE11" i="1833"/>
  <c r="AD22" i="1832"/>
  <c r="AE13" i="1832" s="1"/>
  <c r="AD21" i="1831"/>
  <c r="AB22" i="1831"/>
  <c r="AC22" i="1831"/>
  <c r="AD19" i="1831"/>
  <c r="M22" i="1831"/>
  <c r="AD10" i="1831"/>
  <c r="P22" i="1831"/>
  <c r="AE15" i="1832" l="1"/>
  <c r="AE9" i="1832"/>
  <c r="AE16" i="1832"/>
  <c r="AE21" i="1832"/>
  <c r="AE8" i="1832"/>
  <c r="AE17" i="1832"/>
  <c r="AE11" i="1832"/>
  <c r="AE18" i="1832"/>
  <c r="AE10" i="1832"/>
  <c r="AE20" i="1832"/>
  <c r="AE14" i="1832"/>
  <c r="AE6" i="1832"/>
  <c r="AE12" i="1832"/>
  <c r="AE7" i="1832"/>
  <c r="AE19" i="1832"/>
  <c r="AD22" i="1831"/>
  <c r="AE17" i="1831" s="1"/>
  <c r="AE21" i="1831" l="1"/>
  <c r="AE6" i="1831"/>
  <c r="AE7" i="1831"/>
  <c r="AE10" i="1831"/>
  <c r="AE14" i="1831"/>
  <c r="AE9" i="1831"/>
  <c r="AE20" i="1831"/>
  <c r="AE12" i="1831"/>
  <c r="AE8" i="1831"/>
  <c r="AE16" i="1831"/>
  <c r="AE18" i="1831"/>
  <c r="AE15" i="1831"/>
  <c r="AE11" i="1831"/>
  <c r="AE19" i="1831"/>
  <c r="AE13" i="1831"/>
  <c r="L19" i="16" l="1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1" i="1830"/>
  <c r="M21" i="1830" s="1"/>
  <c r="L20" i="1830"/>
  <c r="L19" i="1830"/>
  <c r="AB19" i="1830" s="1"/>
  <c r="L18" i="1830"/>
  <c r="O18" i="1830" s="1"/>
  <c r="L15" i="1830"/>
  <c r="K15" i="1830"/>
  <c r="L13" i="1830"/>
  <c r="L12" i="1830"/>
  <c r="L10" i="1830"/>
  <c r="K10" i="1830"/>
  <c r="L9" i="1830"/>
  <c r="K9" i="1830"/>
  <c r="K21" i="1830"/>
  <c r="K20" i="1830"/>
  <c r="K19" i="1830"/>
  <c r="K13" i="1830"/>
  <c r="K12" i="1830"/>
  <c r="K8" i="1830"/>
  <c r="K7" i="1830"/>
  <c r="A77" i="1830"/>
  <c r="A78" i="1830" s="1"/>
  <c r="A79" i="1830" s="1"/>
  <c r="A80" i="1830" s="1"/>
  <c r="A81" i="1830" s="1"/>
  <c r="A82" i="1830" s="1"/>
  <c r="AF61" i="1830"/>
  <c r="AF60" i="1830"/>
  <c r="AF63" i="1830" s="1"/>
  <c r="AA22" i="1830"/>
  <c r="Z22" i="1830"/>
  <c r="Y22" i="1830"/>
  <c r="X22" i="1830"/>
  <c r="W22" i="1830"/>
  <c r="V22" i="1830"/>
  <c r="U22" i="1830"/>
  <c r="T22" i="1830"/>
  <c r="S22" i="1830"/>
  <c r="R22" i="1830"/>
  <c r="N22" i="1830"/>
  <c r="J22" i="1830"/>
  <c r="I22" i="1830"/>
  <c r="AF21" i="1830"/>
  <c r="AB21" i="1830"/>
  <c r="Q21" i="1830"/>
  <c r="P21" i="1830"/>
  <c r="AC21" i="1830" s="1"/>
  <c r="O21" i="1830"/>
  <c r="AF20" i="1830"/>
  <c r="Q20" i="1830"/>
  <c r="P20" i="1830"/>
  <c r="AC20" i="1830" s="1"/>
  <c r="AF19" i="1830"/>
  <c r="Q19" i="1830"/>
  <c r="P19" i="1830" s="1"/>
  <c r="AC19" i="1830" s="1"/>
  <c r="M19" i="1830"/>
  <c r="AF18" i="1830"/>
  <c r="AB18" i="1830"/>
  <c r="Q18" i="1830"/>
  <c r="P18" i="1830" s="1"/>
  <c r="AC18" i="1830" s="1"/>
  <c r="AF17" i="1830"/>
  <c r="AC17" i="1830"/>
  <c r="AB17" i="1830"/>
  <c r="Q17" i="1830"/>
  <c r="P17" i="1830"/>
  <c r="O17" i="1830"/>
  <c r="M17" i="1830"/>
  <c r="K17" i="1830"/>
  <c r="AF16" i="1830"/>
  <c r="AC16" i="1830"/>
  <c r="AD16" i="1830" s="1"/>
  <c r="AB16" i="1830"/>
  <c r="Q16" i="1830"/>
  <c r="P16" i="1830"/>
  <c r="O16" i="1830"/>
  <c r="M16" i="1830"/>
  <c r="K16" i="1830"/>
  <c r="AF15" i="1830"/>
  <c r="AB15" i="1830"/>
  <c r="Q15" i="1830"/>
  <c r="P15" i="1830" s="1"/>
  <c r="AC15" i="1830" s="1"/>
  <c r="O15" i="1830"/>
  <c r="M15" i="1830"/>
  <c r="AF14" i="1830"/>
  <c r="AC14" i="1830"/>
  <c r="AB14" i="1830"/>
  <c r="Q14" i="1830"/>
  <c r="P14" i="1830"/>
  <c r="O14" i="1830"/>
  <c r="M14" i="1830"/>
  <c r="K14" i="1830"/>
  <c r="AF13" i="1830"/>
  <c r="Q13" i="1830"/>
  <c r="P13" i="1830"/>
  <c r="AC13" i="1830" s="1"/>
  <c r="AF12" i="1830"/>
  <c r="AB12" i="1830"/>
  <c r="Q12" i="1830"/>
  <c r="O12" i="1830"/>
  <c r="M12" i="1830"/>
  <c r="AF11" i="1830"/>
  <c r="AB11" i="1830"/>
  <c r="Q11" i="1830"/>
  <c r="P11" i="1830"/>
  <c r="AC11" i="1830" s="1"/>
  <c r="O11" i="1830"/>
  <c r="M11" i="1830"/>
  <c r="K11" i="1830"/>
  <c r="AF10" i="1830"/>
  <c r="AB10" i="1830"/>
  <c r="Q10" i="1830"/>
  <c r="O10" i="1830"/>
  <c r="M10" i="1830"/>
  <c r="AF9" i="1830"/>
  <c r="AB9" i="1830"/>
  <c r="Q9" i="1830"/>
  <c r="P9" i="1830" s="1"/>
  <c r="AC9" i="1830" s="1"/>
  <c r="M9" i="1830"/>
  <c r="O9" i="1830"/>
  <c r="AF8" i="1830"/>
  <c r="Q8" i="1830"/>
  <c r="P8" i="1830"/>
  <c r="AC8" i="1830" s="1"/>
  <c r="AF7" i="1830"/>
  <c r="AB7" i="1830"/>
  <c r="Q7" i="1830"/>
  <c r="P7" i="1830"/>
  <c r="AC7" i="1830" s="1"/>
  <c r="AD7" i="1830" s="1"/>
  <c r="O7" i="1830"/>
  <c r="M7" i="1830"/>
  <c r="AF6" i="1830"/>
  <c r="AB6" i="1830"/>
  <c r="Q6" i="1830"/>
  <c r="P6" i="1830"/>
  <c r="AC6" i="1830" s="1"/>
  <c r="O6" i="1830"/>
  <c r="M6" i="1830"/>
  <c r="K6" i="1830"/>
  <c r="O19" i="1830" l="1"/>
  <c r="AD18" i="1830"/>
  <c r="M18" i="1830"/>
  <c r="K18" i="1830"/>
  <c r="AD15" i="1830"/>
  <c r="P12" i="1830"/>
  <c r="AC12" i="1830" s="1"/>
  <c r="AC22" i="1830" s="1"/>
  <c r="AD12" i="1830"/>
  <c r="P10" i="1830"/>
  <c r="AC10" i="1830" s="1"/>
  <c r="Q22" i="1830"/>
  <c r="AD14" i="1830"/>
  <c r="AD17" i="1830"/>
  <c r="AD11" i="1830"/>
  <c r="AD10" i="1830"/>
  <c r="AD21" i="1830"/>
  <c r="AD6" i="1830"/>
  <c r="AD9" i="1830"/>
  <c r="AD19" i="1830"/>
  <c r="L22" i="1830"/>
  <c r="O22" i="1830" s="1"/>
  <c r="M8" i="1830"/>
  <c r="AB8" i="1830"/>
  <c r="M13" i="1830"/>
  <c r="AB13" i="1830"/>
  <c r="M20" i="1830"/>
  <c r="AB20" i="1830"/>
  <c r="AD20" i="1830" s="1"/>
  <c r="O20" i="1830"/>
  <c r="O8" i="1830"/>
  <c r="O13" i="1830"/>
  <c r="K22" i="1830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1" i="1829"/>
  <c r="L20" i="1829"/>
  <c r="L19" i="1829"/>
  <c r="O19" i="1829" s="1"/>
  <c r="K18" i="1829"/>
  <c r="L13" i="1829"/>
  <c r="AB13" i="1829" s="1"/>
  <c r="K12" i="1829"/>
  <c r="K10" i="1829"/>
  <c r="L9" i="1829"/>
  <c r="L8" i="1829"/>
  <c r="K21" i="1829"/>
  <c r="K20" i="1829"/>
  <c r="K19" i="1829"/>
  <c r="K9" i="1829"/>
  <c r="K8" i="1829"/>
  <c r="K7" i="1829"/>
  <c r="A78" i="1829"/>
  <c r="A79" i="1829" s="1"/>
  <c r="A80" i="1829" s="1"/>
  <c r="A81" i="1829" s="1"/>
  <c r="A82" i="1829" s="1"/>
  <c r="A77" i="1829"/>
  <c r="AF61" i="1829"/>
  <c r="AF60" i="1829"/>
  <c r="AF63" i="1829" s="1"/>
  <c r="AA22" i="1829"/>
  <c r="Z22" i="1829"/>
  <c r="Y22" i="1829"/>
  <c r="X22" i="1829"/>
  <c r="W22" i="1829"/>
  <c r="V22" i="1829"/>
  <c r="U22" i="1829"/>
  <c r="T22" i="1829"/>
  <c r="S22" i="1829"/>
  <c r="R22" i="1829"/>
  <c r="N22" i="1829"/>
  <c r="J22" i="1829"/>
  <c r="I22" i="1829"/>
  <c r="AF21" i="1829"/>
  <c r="Q21" i="1829"/>
  <c r="P21" i="1829"/>
  <c r="AC21" i="1829" s="1"/>
  <c r="AF20" i="1829"/>
  <c r="Q20" i="1829"/>
  <c r="P20" i="1829"/>
  <c r="AC20" i="1829" s="1"/>
  <c r="AF19" i="1829"/>
  <c r="Q19" i="1829"/>
  <c r="P19" i="1829" s="1"/>
  <c r="AC19" i="1829" s="1"/>
  <c r="AB19" i="1829"/>
  <c r="AF18" i="1829"/>
  <c r="AB18" i="1829"/>
  <c r="Q18" i="1829"/>
  <c r="P18" i="1829" s="1"/>
  <c r="AC18" i="1829" s="1"/>
  <c r="O18" i="1829"/>
  <c r="M18" i="1829"/>
  <c r="AF17" i="1829"/>
  <c r="AB17" i="1829"/>
  <c r="Q17" i="1829"/>
  <c r="P17" i="1829"/>
  <c r="AC17" i="1829" s="1"/>
  <c r="O17" i="1829"/>
  <c r="M17" i="1829"/>
  <c r="K17" i="1829"/>
  <c r="AF16" i="1829"/>
  <c r="AB16" i="1829"/>
  <c r="Q16" i="1829"/>
  <c r="P16" i="1829"/>
  <c r="AC16" i="1829" s="1"/>
  <c r="O16" i="1829"/>
  <c r="M16" i="1829"/>
  <c r="K16" i="1829"/>
  <c r="AF15" i="1829"/>
  <c r="AB15" i="1829"/>
  <c r="Q15" i="1829"/>
  <c r="P15" i="1829"/>
  <c r="AC15" i="1829" s="1"/>
  <c r="AD15" i="1829" s="1"/>
  <c r="O15" i="1829"/>
  <c r="M15" i="1829"/>
  <c r="K15" i="1829"/>
  <c r="AF14" i="1829"/>
  <c r="AB14" i="1829"/>
  <c r="Q14" i="1829"/>
  <c r="P14" i="1829"/>
  <c r="AC14" i="1829" s="1"/>
  <c r="O14" i="1829"/>
  <c r="M14" i="1829"/>
  <c r="K14" i="1829"/>
  <c r="AF13" i="1829"/>
  <c r="Q13" i="1829"/>
  <c r="P13" i="1829"/>
  <c r="AC13" i="1829" s="1"/>
  <c r="O13" i="1829"/>
  <c r="K13" i="1829"/>
  <c r="AF12" i="1829"/>
  <c r="AB12" i="1829"/>
  <c r="Q12" i="1829"/>
  <c r="P12" i="1829" s="1"/>
  <c r="AC12" i="1829" s="1"/>
  <c r="AD12" i="1829" s="1"/>
  <c r="O12" i="1829"/>
  <c r="M12" i="1829"/>
  <c r="AF11" i="1829"/>
  <c r="AB11" i="1829"/>
  <c r="Q11" i="1829"/>
  <c r="P11" i="1829"/>
  <c r="AC11" i="1829" s="1"/>
  <c r="O11" i="1829"/>
  <c r="M11" i="1829"/>
  <c r="K11" i="1829"/>
  <c r="AF10" i="1829"/>
  <c r="Q10" i="1829"/>
  <c r="P10" i="1829" s="1"/>
  <c r="AC10" i="1829" s="1"/>
  <c r="O10" i="1829"/>
  <c r="M10" i="1829"/>
  <c r="AF9" i="1829"/>
  <c r="AB9" i="1829"/>
  <c r="Q9" i="1829"/>
  <c r="M9" i="1829"/>
  <c r="O9" i="1829"/>
  <c r="AF8" i="1829"/>
  <c r="Q8" i="1829"/>
  <c r="AB8" i="1829"/>
  <c r="AF7" i="1829"/>
  <c r="Q7" i="1829"/>
  <c r="P7" i="1829"/>
  <c r="AC7" i="1829" s="1"/>
  <c r="O7" i="1829"/>
  <c r="AF6" i="1829"/>
  <c r="AC6" i="1829"/>
  <c r="AD6" i="1829" s="1"/>
  <c r="AB6" i="1829"/>
  <c r="Q6" i="1829"/>
  <c r="P6" i="1829"/>
  <c r="O6" i="1829"/>
  <c r="M6" i="1829"/>
  <c r="K6" i="1829"/>
  <c r="P22" i="1830" l="1"/>
  <c r="AB22" i="1830"/>
  <c r="M22" i="1830"/>
  <c r="AD8" i="1830"/>
  <c r="AD13" i="1830"/>
  <c r="AD22" i="1830" s="1"/>
  <c r="M13" i="1829"/>
  <c r="Q22" i="1829"/>
  <c r="AD14" i="1829"/>
  <c r="AD11" i="1829"/>
  <c r="AD13" i="1829"/>
  <c r="AD17" i="1829"/>
  <c r="AD18" i="1829"/>
  <c r="AD16" i="1829"/>
  <c r="AD19" i="1829"/>
  <c r="M7" i="1829"/>
  <c r="AB7" i="1829"/>
  <c r="AD7" i="1829" s="1"/>
  <c r="O8" i="1829"/>
  <c r="K22" i="1829"/>
  <c r="P9" i="1829"/>
  <c r="AC9" i="1829" s="1"/>
  <c r="AD9" i="1829" s="1"/>
  <c r="M21" i="1829"/>
  <c r="AB21" i="1829"/>
  <c r="AD21" i="1829" s="1"/>
  <c r="L22" i="1829"/>
  <c r="O22" i="1829" s="1"/>
  <c r="P8" i="1829"/>
  <c r="AC8" i="1829" s="1"/>
  <c r="AB10" i="1829"/>
  <c r="M20" i="1829"/>
  <c r="AB20" i="1829"/>
  <c r="AD20" i="1829" s="1"/>
  <c r="O21" i="1829"/>
  <c r="M19" i="1829"/>
  <c r="O20" i="1829"/>
  <c r="M8" i="1829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1828"/>
  <c r="L20" i="1828"/>
  <c r="L19" i="1828"/>
  <c r="L18" i="1828"/>
  <c r="L13" i="1828"/>
  <c r="K13" i="1828"/>
  <c r="K12" i="1828"/>
  <c r="L10" i="1828"/>
  <c r="K10" i="1828" s="1"/>
  <c r="L9" i="1828"/>
  <c r="L8" i="1828"/>
  <c r="K8" i="1828" s="1"/>
  <c r="L7" i="1828"/>
  <c r="K21" i="1828"/>
  <c r="K20" i="1828"/>
  <c r="K19" i="1828"/>
  <c r="K18" i="1828"/>
  <c r="K15" i="1828"/>
  <c r="K9" i="1828"/>
  <c r="K7" i="1828"/>
  <c r="A77" i="1828"/>
  <c r="A78" i="1828" s="1"/>
  <c r="A79" i="1828" s="1"/>
  <c r="A80" i="1828" s="1"/>
  <c r="A81" i="1828" s="1"/>
  <c r="A82" i="1828" s="1"/>
  <c r="AF61" i="1828"/>
  <c r="AF63" i="1828" s="1"/>
  <c r="AF60" i="1828"/>
  <c r="AA22" i="1828"/>
  <c r="Z22" i="1828"/>
  <c r="Y22" i="1828"/>
  <c r="X22" i="1828"/>
  <c r="W22" i="1828"/>
  <c r="V22" i="1828"/>
  <c r="U22" i="1828"/>
  <c r="T22" i="1828"/>
  <c r="S22" i="1828"/>
  <c r="R22" i="1828"/>
  <c r="N22" i="1828"/>
  <c r="J22" i="1828"/>
  <c r="I22" i="1828"/>
  <c r="AF21" i="1828"/>
  <c r="AB21" i="1828"/>
  <c r="Q21" i="1828"/>
  <c r="P21" i="1828"/>
  <c r="AC21" i="1828" s="1"/>
  <c r="O21" i="1828"/>
  <c r="M21" i="1828"/>
  <c r="AF20" i="1828"/>
  <c r="Q20" i="1828"/>
  <c r="O20" i="1828"/>
  <c r="AF19" i="1828"/>
  <c r="Q19" i="1828"/>
  <c r="P19" i="1828"/>
  <c r="AC19" i="1828" s="1"/>
  <c r="O19" i="1828"/>
  <c r="AB19" i="1828"/>
  <c r="AF18" i="1828"/>
  <c r="AB18" i="1828"/>
  <c r="Q18" i="1828"/>
  <c r="P18" i="1828" s="1"/>
  <c r="AC18" i="1828" s="1"/>
  <c r="O18" i="1828"/>
  <c r="M18" i="1828"/>
  <c r="AF17" i="1828"/>
  <c r="AB17" i="1828"/>
  <c r="Q17" i="1828"/>
  <c r="P17" i="1828"/>
  <c r="AC17" i="1828" s="1"/>
  <c r="O17" i="1828"/>
  <c r="M17" i="1828"/>
  <c r="K17" i="1828"/>
  <c r="AF16" i="1828"/>
  <c r="AB16" i="1828"/>
  <c r="Q16" i="1828"/>
  <c r="P16" i="1828"/>
  <c r="AC16" i="1828" s="1"/>
  <c r="O16" i="1828"/>
  <c r="M16" i="1828"/>
  <c r="K16" i="1828"/>
  <c r="AF15" i="1828"/>
  <c r="Q15" i="1828"/>
  <c r="P15" i="1828"/>
  <c r="AC15" i="1828" s="1"/>
  <c r="O15" i="1828"/>
  <c r="AF14" i="1828"/>
  <c r="AB14" i="1828"/>
  <c r="Q14" i="1828"/>
  <c r="P14" i="1828"/>
  <c r="AC14" i="1828" s="1"/>
  <c r="O14" i="1828"/>
  <c r="M14" i="1828"/>
  <c r="K14" i="1828"/>
  <c r="AF13" i="1828"/>
  <c r="AB13" i="1828"/>
  <c r="Q13" i="1828"/>
  <c r="P13" i="1828"/>
  <c r="AC13" i="1828" s="1"/>
  <c r="O13" i="1828"/>
  <c r="M13" i="1828"/>
  <c r="AF12" i="1828"/>
  <c r="AB12" i="1828"/>
  <c r="Q12" i="1828"/>
  <c r="P12" i="1828" s="1"/>
  <c r="AC12" i="1828" s="1"/>
  <c r="O12" i="1828"/>
  <c r="M12" i="1828"/>
  <c r="AF11" i="1828"/>
  <c r="AC11" i="1828"/>
  <c r="AB11" i="1828"/>
  <c r="Q11" i="1828"/>
  <c r="P11" i="1828"/>
  <c r="O11" i="1828"/>
  <c r="M11" i="1828"/>
  <c r="K11" i="1828"/>
  <c r="AF10" i="1828"/>
  <c r="Q10" i="1828"/>
  <c r="O10" i="1828"/>
  <c r="AF9" i="1828"/>
  <c r="AB9" i="1828"/>
  <c r="Q9" i="1828"/>
  <c r="P9" i="1828" s="1"/>
  <c r="AC9" i="1828" s="1"/>
  <c r="O9" i="1828"/>
  <c r="M9" i="1828"/>
  <c r="AF8" i="1828"/>
  <c r="Q8" i="1828"/>
  <c r="P8" i="1828"/>
  <c r="AC8" i="1828" s="1"/>
  <c r="AF7" i="1828"/>
  <c r="Q7" i="1828"/>
  <c r="P7" i="1828" s="1"/>
  <c r="AC7" i="1828" s="1"/>
  <c r="L22" i="1828"/>
  <c r="O22" i="1828" s="1"/>
  <c r="AF6" i="1828"/>
  <c r="AC6" i="1828"/>
  <c r="AB6" i="1828"/>
  <c r="Q6" i="1828"/>
  <c r="P6" i="1828"/>
  <c r="O6" i="1828"/>
  <c r="M6" i="1828"/>
  <c r="K6" i="1828"/>
  <c r="AE21" i="1830" l="1"/>
  <c r="AE11" i="1830"/>
  <c r="AE9" i="1830"/>
  <c r="AE6" i="1830"/>
  <c r="AE16" i="1830"/>
  <c r="AE14" i="1830"/>
  <c r="AE18" i="1830"/>
  <c r="AE13" i="1830"/>
  <c r="AE19" i="1830"/>
  <c r="AE12" i="1830"/>
  <c r="AE10" i="1830"/>
  <c r="AE7" i="1830"/>
  <c r="AE20" i="1830"/>
  <c r="AE17" i="1830"/>
  <c r="AE15" i="1830"/>
  <c r="AE8" i="1830"/>
  <c r="AC22" i="1829"/>
  <c r="AB22" i="1829"/>
  <c r="M22" i="1829"/>
  <c r="AD8" i="1829"/>
  <c r="AD10" i="1829"/>
  <c r="P22" i="1829"/>
  <c r="P20" i="1828"/>
  <c r="AC20" i="1828" s="1"/>
  <c r="AB10" i="1828"/>
  <c r="AD21" i="1828"/>
  <c r="AD18" i="1828"/>
  <c r="P10" i="1828"/>
  <c r="AC10" i="1828" s="1"/>
  <c r="AD10" i="1828" s="1"/>
  <c r="Q22" i="1828"/>
  <c r="AD9" i="1828"/>
  <c r="AD11" i="1828"/>
  <c r="AD12" i="1828"/>
  <c r="AD13" i="1828"/>
  <c r="AD14" i="1828"/>
  <c r="AD16" i="1828"/>
  <c r="AD17" i="1828"/>
  <c r="AD19" i="1828"/>
  <c r="AC22" i="1828"/>
  <c r="P22" i="1828"/>
  <c r="M8" i="1828"/>
  <c r="AD6" i="1828"/>
  <c r="AB8" i="1828"/>
  <c r="M7" i="1828"/>
  <c r="AB7" i="1828"/>
  <c r="O8" i="1828"/>
  <c r="M15" i="1828"/>
  <c r="AB15" i="1828"/>
  <c r="AD15" i="1828" s="1"/>
  <c r="M20" i="1828"/>
  <c r="AB20" i="1828"/>
  <c r="AD20" i="1828" s="1"/>
  <c r="O7" i="1828"/>
  <c r="K22" i="1828"/>
  <c r="M10" i="1828"/>
  <c r="M19" i="1828"/>
  <c r="P65" i="1827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2" i="1827"/>
  <c r="L21" i="1827"/>
  <c r="L20" i="1827"/>
  <c r="L19" i="1827"/>
  <c r="K19" i="1827" s="1"/>
  <c r="AF19" i="1827"/>
  <c r="Q19" i="1827"/>
  <c r="AB19" i="1827"/>
  <c r="L18" i="1827"/>
  <c r="AD22" i="1829" l="1"/>
  <c r="AE21" i="1829" s="1"/>
  <c r="AD8" i="1828"/>
  <c r="AD7" i="1828"/>
  <c r="AD22" i="1828" s="1"/>
  <c r="AB22" i="1828"/>
  <c r="M22" i="1828"/>
  <c r="M19" i="1827"/>
  <c r="O19" i="1827"/>
  <c r="P19" i="1827"/>
  <c r="AC19" i="1827" s="1"/>
  <c r="AD19" i="1827" s="1"/>
  <c r="L15" i="1827"/>
  <c r="K15" i="1827"/>
  <c r="L10" i="1827"/>
  <c r="L9" i="1827"/>
  <c r="K9" i="1827"/>
  <c r="L8" i="1827"/>
  <c r="L7" i="1827"/>
  <c r="AE9" i="1829" l="1"/>
  <c r="AE6" i="1829"/>
  <c r="AE8" i="1829"/>
  <c r="AE13" i="1829"/>
  <c r="AE10" i="1829"/>
  <c r="AE14" i="1829"/>
  <c r="AE11" i="1829"/>
  <c r="AE15" i="1829"/>
  <c r="AE12" i="1829"/>
  <c r="AE16" i="1829"/>
  <c r="AE18" i="1829"/>
  <c r="AE17" i="1829"/>
  <c r="AE20" i="1829"/>
  <c r="AE19" i="1829"/>
  <c r="AE7" i="1829"/>
  <c r="AE13" i="1828"/>
  <c r="AE21" i="1828"/>
  <c r="AE18" i="1828"/>
  <c r="AE16" i="1828"/>
  <c r="AE9" i="1828"/>
  <c r="AE19" i="1828"/>
  <c r="AE14" i="1828"/>
  <c r="AE12" i="1828"/>
  <c r="AE10" i="1828"/>
  <c r="AE6" i="1828"/>
  <c r="AE20" i="1828"/>
  <c r="AE17" i="1828"/>
  <c r="AE15" i="1828"/>
  <c r="AE7" i="1828"/>
  <c r="AE11" i="1828"/>
  <c r="AE8" i="1828"/>
  <c r="K21" i="1827"/>
  <c r="K20" i="1827"/>
  <c r="K18" i="1827"/>
  <c r="K10" i="1827"/>
  <c r="K8" i="1827"/>
  <c r="K7" i="1827"/>
  <c r="A78" i="1827"/>
  <c r="A79" i="1827" s="1"/>
  <c r="A80" i="1827" s="1"/>
  <c r="A81" i="1827" s="1"/>
  <c r="A82" i="1827" s="1"/>
  <c r="A83" i="1827" s="1"/>
  <c r="AF62" i="1827"/>
  <c r="AF61" i="1827"/>
  <c r="AF64" i="1827" s="1"/>
  <c r="AA23" i="1827"/>
  <c r="Z23" i="1827"/>
  <c r="Y23" i="1827"/>
  <c r="X23" i="1827"/>
  <c r="W23" i="1827"/>
  <c r="V23" i="1827"/>
  <c r="U23" i="1827"/>
  <c r="T23" i="1827"/>
  <c r="S23" i="1827"/>
  <c r="R23" i="1827"/>
  <c r="N23" i="1827"/>
  <c r="J23" i="1827"/>
  <c r="I23" i="1827"/>
  <c r="AF22" i="1827"/>
  <c r="Q22" i="1827"/>
  <c r="P22" i="1827" s="1"/>
  <c r="AC22" i="1827" s="1"/>
  <c r="O22" i="1827"/>
  <c r="AF21" i="1827"/>
  <c r="Q21" i="1827"/>
  <c r="P21" i="1827"/>
  <c r="AC21" i="1827" s="1"/>
  <c r="O21" i="1827"/>
  <c r="AB21" i="1827"/>
  <c r="AF20" i="1827"/>
  <c r="AB20" i="1827"/>
  <c r="Q20" i="1827"/>
  <c r="P20" i="1827" s="1"/>
  <c r="AC20" i="1827" s="1"/>
  <c r="O20" i="1827"/>
  <c r="M20" i="1827"/>
  <c r="AF18" i="1827"/>
  <c r="Q18" i="1827"/>
  <c r="M18" i="1827"/>
  <c r="AF17" i="1827"/>
  <c r="AB17" i="1827"/>
  <c r="Q17" i="1827"/>
  <c r="P17" i="1827"/>
  <c r="AC17" i="1827" s="1"/>
  <c r="O17" i="1827"/>
  <c r="M17" i="1827"/>
  <c r="K17" i="1827"/>
  <c r="AF16" i="1827"/>
  <c r="AB16" i="1827"/>
  <c r="Q16" i="1827"/>
  <c r="P16" i="1827"/>
  <c r="AC16" i="1827" s="1"/>
  <c r="AD16" i="1827" s="1"/>
  <c r="O16" i="1827"/>
  <c r="M16" i="1827"/>
  <c r="K16" i="1827"/>
  <c r="AF15" i="1827"/>
  <c r="AB15" i="1827"/>
  <c r="Q15" i="1827"/>
  <c r="P15" i="1827"/>
  <c r="AC15" i="1827" s="1"/>
  <c r="O15" i="1827"/>
  <c r="M15" i="1827"/>
  <c r="AF14" i="1827"/>
  <c r="AB14" i="1827"/>
  <c r="Q14" i="1827"/>
  <c r="P14" i="1827"/>
  <c r="AC14" i="1827" s="1"/>
  <c r="O14" i="1827"/>
  <c r="M14" i="1827"/>
  <c r="K14" i="1827"/>
  <c r="AF13" i="1827"/>
  <c r="AB13" i="1827"/>
  <c r="Q13" i="1827"/>
  <c r="P13" i="1827"/>
  <c r="AC13" i="1827" s="1"/>
  <c r="AD13" i="1827" s="1"/>
  <c r="O13" i="1827"/>
  <c r="M13" i="1827"/>
  <c r="K13" i="1827"/>
  <c r="AF12" i="1827"/>
  <c r="AB12" i="1827"/>
  <c r="Q12" i="1827"/>
  <c r="P12" i="1827"/>
  <c r="AC12" i="1827" s="1"/>
  <c r="O12" i="1827"/>
  <c r="M12" i="1827"/>
  <c r="K12" i="1827"/>
  <c r="AF11" i="1827"/>
  <c r="AB11" i="1827"/>
  <c r="Q11" i="1827"/>
  <c r="P11" i="1827"/>
  <c r="AC11" i="1827" s="1"/>
  <c r="O11" i="1827"/>
  <c r="M11" i="1827"/>
  <c r="K11" i="1827"/>
  <c r="AF10" i="1827"/>
  <c r="AB10" i="1827"/>
  <c r="Q10" i="1827"/>
  <c r="P10" i="1827" s="1"/>
  <c r="AC10" i="1827" s="1"/>
  <c r="O10" i="1827"/>
  <c r="M10" i="1827"/>
  <c r="AF9" i="1827"/>
  <c r="AB9" i="1827"/>
  <c r="Q9" i="1827"/>
  <c r="P9" i="1827" s="1"/>
  <c r="AC9" i="1827" s="1"/>
  <c r="M9" i="1827"/>
  <c r="AF8" i="1827"/>
  <c r="Q8" i="1827"/>
  <c r="P8" i="1827" s="1"/>
  <c r="AC8" i="1827" s="1"/>
  <c r="AF7" i="1827"/>
  <c r="Q7" i="1827"/>
  <c r="P7" i="1827" s="1"/>
  <c r="AC7" i="1827" s="1"/>
  <c r="O7" i="1827"/>
  <c r="AB7" i="1827"/>
  <c r="AF6" i="1827"/>
  <c r="AB6" i="1827"/>
  <c r="Q6" i="1827"/>
  <c r="P6" i="1827"/>
  <c r="AC6" i="1827" s="1"/>
  <c r="O6" i="1827"/>
  <c r="M6" i="1827"/>
  <c r="K6" i="1827"/>
  <c r="AD12" i="1827" l="1"/>
  <c r="AD11" i="1827"/>
  <c r="Q23" i="1827"/>
  <c r="AD20" i="1827"/>
  <c r="AD14" i="1827"/>
  <c r="AD10" i="1827"/>
  <c r="AD7" i="1827"/>
  <c r="AD17" i="1827"/>
  <c r="AD15" i="1827"/>
  <c r="AD21" i="1827"/>
  <c r="AB18" i="1827"/>
  <c r="AD6" i="1827"/>
  <c r="M8" i="1827"/>
  <c r="AB8" i="1827"/>
  <c r="O9" i="1827"/>
  <c r="AD9" i="1827" s="1"/>
  <c r="O18" i="1827"/>
  <c r="M22" i="1827"/>
  <c r="AB22" i="1827"/>
  <c r="AD22" i="1827" s="1"/>
  <c r="L23" i="1827"/>
  <c r="O23" i="1827" s="1"/>
  <c r="M7" i="1827"/>
  <c r="O8" i="1827"/>
  <c r="P18" i="1827"/>
  <c r="AC18" i="1827" s="1"/>
  <c r="AC23" i="1827" s="1"/>
  <c r="M21" i="1827"/>
  <c r="K23" i="1827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1" i="1826"/>
  <c r="L20" i="1826"/>
  <c r="L19" i="1826"/>
  <c r="K19" i="1826"/>
  <c r="L18" i="1826"/>
  <c r="L10" i="1826"/>
  <c r="L9" i="1826"/>
  <c r="K9" i="1826"/>
  <c r="L8" i="1826"/>
  <c r="L7" i="1826"/>
  <c r="K7" i="1826" s="1"/>
  <c r="K20" i="1826"/>
  <c r="K18" i="1826"/>
  <c r="K10" i="1826"/>
  <c r="K8" i="1826"/>
  <c r="A77" i="1826"/>
  <c r="A78" i="1826" s="1"/>
  <c r="A79" i="1826" s="1"/>
  <c r="A80" i="1826" s="1"/>
  <c r="A81" i="1826" s="1"/>
  <c r="A82" i="1826" s="1"/>
  <c r="AF61" i="1826"/>
  <c r="AF60" i="1826"/>
  <c r="AF63" i="1826" s="1"/>
  <c r="AA22" i="1826"/>
  <c r="Z22" i="1826"/>
  <c r="Y22" i="1826"/>
  <c r="X22" i="1826"/>
  <c r="W22" i="1826"/>
  <c r="V22" i="1826"/>
  <c r="U22" i="1826"/>
  <c r="T22" i="1826"/>
  <c r="S22" i="1826"/>
  <c r="R22" i="1826"/>
  <c r="N22" i="1826"/>
  <c r="J22" i="1826"/>
  <c r="I22" i="1826"/>
  <c r="AF21" i="1826"/>
  <c r="AB21" i="1826"/>
  <c r="Q21" i="1826"/>
  <c r="P21" i="1826"/>
  <c r="AC21" i="1826" s="1"/>
  <c r="AD21" i="1826" s="1"/>
  <c r="O21" i="1826"/>
  <c r="M21" i="1826"/>
  <c r="K21" i="1826"/>
  <c r="AF20" i="1826"/>
  <c r="AB20" i="1826"/>
  <c r="Q20" i="1826"/>
  <c r="P20" i="1826" s="1"/>
  <c r="AC20" i="1826" s="1"/>
  <c r="O20" i="1826"/>
  <c r="M20" i="1826"/>
  <c r="AF19" i="1826"/>
  <c r="AB19" i="1826"/>
  <c r="Q19" i="1826"/>
  <c r="P19" i="1826"/>
  <c r="AC19" i="1826" s="1"/>
  <c r="O19" i="1826"/>
  <c r="M19" i="1826"/>
  <c r="AF18" i="1826"/>
  <c r="AB18" i="1826"/>
  <c r="Q18" i="1826"/>
  <c r="O18" i="1826"/>
  <c r="M18" i="1826"/>
  <c r="L22" i="1826"/>
  <c r="O22" i="1826" s="1"/>
  <c r="AF17" i="1826"/>
  <c r="AB17" i="1826"/>
  <c r="Q17" i="1826"/>
  <c r="P17" i="1826"/>
  <c r="AC17" i="1826" s="1"/>
  <c r="O17" i="1826"/>
  <c r="M17" i="1826"/>
  <c r="K17" i="1826"/>
  <c r="AF16" i="1826"/>
  <c r="AB16" i="1826"/>
  <c r="Q16" i="1826"/>
  <c r="P16" i="1826"/>
  <c r="AC16" i="1826" s="1"/>
  <c r="AD16" i="1826" s="1"/>
  <c r="O16" i="1826"/>
  <c r="M16" i="1826"/>
  <c r="K16" i="1826"/>
  <c r="AF15" i="1826"/>
  <c r="AB15" i="1826"/>
  <c r="Q15" i="1826"/>
  <c r="P15" i="1826"/>
  <c r="AC15" i="1826" s="1"/>
  <c r="O15" i="1826"/>
  <c r="M15" i="1826"/>
  <c r="K15" i="1826"/>
  <c r="AF14" i="1826"/>
  <c r="AC14" i="1826"/>
  <c r="AB14" i="1826"/>
  <c r="Q14" i="1826"/>
  <c r="P14" i="1826"/>
  <c r="O14" i="1826"/>
  <c r="M14" i="1826"/>
  <c r="K14" i="1826"/>
  <c r="AF13" i="1826"/>
  <c r="AB13" i="1826"/>
  <c r="Q13" i="1826"/>
  <c r="P13" i="1826"/>
  <c r="AC13" i="1826" s="1"/>
  <c r="AD13" i="1826" s="1"/>
  <c r="O13" i="1826"/>
  <c r="M13" i="1826"/>
  <c r="K13" i="1826"/>
  <c r="AF12" i="1826"/>
  <c r="AB12" i="1826"/>
  <c r="Q12" i="1826"/>
  <c r="P12" i="1826"/>
  <c r="AC12" i="1826" s="1"/>
  <c r="AD12" i="1826" s="1"/>
  <c r="O12" i="1826"/>
  <c r="M12" i="1826"/>
  <c r="K12" i="1826"/>
  <c r="AF11" i="1826"/>
  <c r="AB11" i="1826"/>
  <c r="Q11" i="1826"/>
  <c r="P11" i="1826"/>
  <c r="AC11" i="1826" s="1"/>
  <c r="O11" i="1826"/>
  <c r="M11" i="1826"/>
  <c r="K11" i="1826"/>
  <c r="AF10" i="1826"/>
  <c r="AB10" i="1826"/>
  <c r="Q10" i="1826"/>
  <c r="P10" i="1826" s="1"/>
  <c r="AC10" i="1826" s="1"/>
  <c r="AD10" i="1826" s="1"/>
  <c r="O10" i="1826"/>
  <c r="M10" i="1826"/>
  <c r="AF9" i="1826"/>
  <c r="AB9" i="1826"/>
  <c r="Q9" i="1826"/>
  <c r="P9" i="1826" s="1"/>
  <c r="AC9" i="1826" s="1"/>
  <c r="O9" i="1826"/>
  <c r="M9" i="1826"/>
  <c r="AF8" i="1826"/>
  <c r="AB8" i="1826"/>
  <c r="Q8" i="1826"/>
  <c r="P8" i="1826" s="1"/>
  <c r="AC8" i="1826" s="1"/>
  <c r="O8" i="1826"/>
  <c r="M8" i="1826"/>
  <c r="AF7" i="1826"/>
  <c r="AB7" i="1826"/>
  <c r="Q7" i="1826"/>
  <c r="P7" i="1826" s="1"/>
  <c r="AC7" i="1826" s="1"/>
  <c r="O7" i="1826"/>
  <c r="M7" i="1826"/>
  <c r="AF6" i="1826"/>
  <c r="AC6" i="1826"/>
  <c r="AB6" i="1826"/>
  <c r="Q6" i="1826"/>
  <c r="P6" i="1826"/>
  <c r="O6" i="1826"/>
  <c r="M6" i="1826"/>
  <c r="K6" i="1826"/>
  <c r="M23" i="1827" l="1"/>
  <c r="AD18" i="1827"/>
  <c r="AB23" i="1827"/>
  <c r="AD8" i="1827"/>
  <c r="AD23" i="1827" s="1"/>
  <c r="AE19" i="1827" s="1"/>
  <c r="P23" i="1827"/>
  <c r="AD20" i="1826"/>
  <c r="AD8" i="1826"/>
  <c r="Q22" i="1826"/>
  <c r="AD7" i="1826"/>
  <c r="M22" i="1826"/>
  <c r="AB22" i="1826"/>
  <c r="AD11" i="1826"/>
  <c r="AD14" i="1826"/>
  <c r="AD17" i="1826"/>
  <c r="AD19" i="1826"/>
  <c r="AD9" i="1826"/>
  <c r="AD15" i="1826"/>
  <c r="AD6" i="1826"/>
  <c r="K22" i="1826"/>
  <c r="P18" i="1826"/>
  <c r="AC18" i="1826" s="1"/>
  <c r="AD18" i="1826" s="1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18" i="1825"/>
  <c r="AE22" i="1827" l="1"/>
  <c r="AE17" i="1827"/>
  <c r="AE8" i="1827"/>
  <c r="AE18" i="1827"/>
  <c r="AE9" i="1827"/>
  <c r="AE13" i="1827"/>
  <c r="AE20" i="1827"/>
  <c r="AE16" i="1827"/>
  <c r="AE14" i="1827"/>
  <c r="AE12" i="1827"/>
  <c r="AE10" i="1827"/>
  <c r="AE6" i="1827"/>
  <c r="AE21" i="1827"/>
  <c r="AE7" i="1827"/>
  <c r="AE15" i="1827"/>
  <c r="AE11" i="1827"/>
  <c r="AC22" i="1826"/>
  <c r="AD22" i="1826"/>
  <c r="P22" i="1826"/>
  <c r="K21" i="1825"/>
  <c r="K20" i="1825"/>
  <c r="K19" i="1825"/>
  <c r="K18" i="1825"/>
  <c r="K12" i="1825"/>
  <c r="K10" i="1825"/>
  <c r="K9" i="1825"/>
  <c r="K8" i="1825"/>
  <c r="A77" i="1825"/>
  <c r="A78" i="1825" s="1"/>
  <c r="A79" i="1825" s="1"/>
  <c r="A80" i="1825" s="1"/>
  <c r="A81" i="1825" s="1"/>
  <c r="A82" i="1825" s="1"/>
  <c r="AF63" i="1825"/>
  <c r="AF61" i="1825"/>
  <c r="AF60" i="1825"/>
  <c r="AA22" i="1825"/>
  <c r="Z22" i="1825"/>
  <c r="Y22" i="1825"/>
  <c r="X22" i="1825"/>
  <c r="W22" i="1825"/>
  <c r="V22" i="1825"/>
  <c r="U22" i="1825"/>
  <c r="T22" i="1825"/>
  <c r="S22" i="1825"/>
  <c r="R22" i="1825"/>
  <c r="N22" i="1825"/>
  <c r="J22" i="1825"/>
  <c r="I22" i="1825"/>
  <c r="AF21" i="1825"/>
  <c r="Q21" i="1825"/>
  <c r="P21" i="1825"/>
  <c r="AC21" i="1825" s="1"/>
  <c r="O21" i="1825"/>
  <c r="AB21" i="1825"/>
  <c r="AF20" i="1825"/>
  <c r="AB20" i="1825"/>
  <c r="Q20" i="1825"/>
  <c r="P20" i="1825" s="1"/>
  <c r="AC20" i="1825" s="1"/>
  <c r="O20" i="1825"/>
  <c r="M20" i="1825"/>
  <c r="AF19" i="1825"/>
  <c r="Q19" i="1825"/>
  <c r="O19" i="1825"/>
  <c r="AF18" i="1825"/>
  <c r="Q18" i="1825"/>
  <c r="P18" i="1825" s="1"/>
  <c r="AC18" i="1825" s="1"/>
  <c r="AB18" i="1825"/>
  <c r="AF17" i="1825"/>
  <c r="AC17" i="1825"/>
  <c r="AB17" i="1825"/>
  <c r="Q17" i="1825"/>
  <c r="P17" i="1825"/>
  <c r="O17" i="1825"/>
  <c r="M17" i="1825"/>
  <c r="K17" i="1825"/>
  <c r="AF16" i="1825"/>
  <c r="AB16" i="1825"/>
  <c r="Q16" i="1825"/>
  <c r="P16" i="1825"/>
  <c r="AC16" i="1825" s="1"/>
  <c r="O16" i="1825"/>
  <c r="M16" i="1825"/>
  <c r="K16" i="1825"/>
  <c r="AF15" i="1825"/>
  <c r="AB15" i="1825"/>
  <c r="Q15" i="1825"/>
  <c r="P15" i="1825"/>
  <c r="AC15" i="1825" s="1"/>
  <c r="AD15" i="1825" s="1"/>
  <c r="O15" i="1825"/>
  <c r="M15" i="1825"/>
  <c r="K15" i="1825"/>
  <c r="AF14" i="1825"/>
  <c r="AB14" i="1825"/>
  <c r="Q14" i="1825"/>
  <c r="P14" i="1825"/>
  <c r="AC14" i="1825" s="1"/>
  <c r="AD14" i="1825" s="1"/>
  <c r="O14" i="1825"/>
  <c r="M14" i="1825"/>
  <c r="K14" i="1825"/>
  <c r="AF13" i="1825"/>
  <c r="AB13" i="1825"/>
  <c r="Q13" i="1825"/>
  <c r="P13" i="1825"/>
  <c r="AC13" i="1825" s="1"/>
  <c r="AD13" i="1825" s="1"/>
  <c r="O13" i="1825"/>
  <c r="M13" i="1825"/>
  <c r="K13" i="1825"/>
  <c r="AF12" i="1825"/>
  <c r="AB12" i="1825"/>
  <c r="Q12" i="1825"/>
  <c r="P12" i="1825" s="1"/>
  <c r="AC12" i="1825" s="1"/>
  <c r="O12" i="1825"/>
  <c r="M12" i="1825"/>
  <c r="AF11" i="1825"/>
  <c r="AB11" i="1825"/>
  <c r="Q11" i="1825"/>
  <c r="P11" i="1825"/>
  <c r="AC11" i="1825" s="1"/>
  <c r="AD11" i="1825" s="1"/>
  <c r="O11" i="1825"/>
  <c r="M11" i="1825"/>
  <c r="K11" i="1825"/>
  <c r="AF10" i="1825"/>
  <c r="Q10" i="1825"/>
  <c r="O10" i="1825"/>
  <c r="AF9" i="1825"/>
  <c r="AB9" i="1825"/>
  <c r="Q9" i="1825"/>
  <c r="P9" i="1825"/>
  <c r="AC9" i="1825" s="1"/>
  <c r="O9" i="1825"/>
  <c r="M9" i="1825"/>
  <c r="AF8" i="1825"/>
  <c r="AB8" i="1825"/>
  <c r="Q8" i="1825"/>
  <c r="P8" i="1825" s="1"/>
  <c r="AC8" i="1825" s="1"/>
  <c r="O8" i="1825"/>
  <c r="M8" i="1825"/>
  <c r="L22" i="1825"/>
  <c r="O22" i="1825" s="1"/>
  <c r="AF7" i="1825"/>
  <c r="AB7" i="1825"/>
  <c r="Q7" i="1825"/>
  <c r="O7" i="1825"/>
  <c r="M7" i="1825"/>
  <c r="K7" i="1825"/>
  <c r="AF6" i="1825"/>
  <c r="AC6" i="1825"/>
  <c r="AD6" i="1825" s="1"/>
  <c r="AB6" i="1825"/>
  <c r="Q6" i="1825"/>
  <c r="P6" i="1825"/>
  <c r="O6" i="1825"/>
  <c r="M6" i="1825"/>
  <c r="K6" i="1825"/>
  <c r="AE21" i="1826" l="1"/>
  <c r="AE19" i="1826"/>
  <c r="AE15" i="1826"/>
  <c r="AE7" i="1826"/>
  <c r="AE20" i="1826"/>
  <c r="AE18" i="1826"/>
  <c r="AE13" i="1826"/>
  <c r="AE16" i="1826"/>
  <c r="AE14" i="1826"/>
  <c r="AE12" i="1826"/>
  <c r="AE10" i="1826"/>
  <c r="AE8" i="1826"/>
  <c r="AE6" i="1826"/>
  <c r="AE17" i="1826"/>
  <c r="AE11" i="1826"/>
  <c r="AE9" i="1826"/>
  <c r="AD20" i="1825"/>
  <c r="Q22" i="1825"/>
  <c r="P7" i="1825"/>
  <c r="AC7" i="1825" s="1"/>
  <c r="AD7" i="1825" s="1"/>
  <c r="AD8" i="1825"/>
  <c r="AD17" i="1825"/>
  <c r="AD12" i="1825"/>
  <c r="AD9" i="1825"/>
  <c r="AD16" i="1825"/>
  <c r="AD21" i="1825"/>
  <c r="K22" i="1825"/>
  <c r="P10" i="1825"/>
  <c r="AC10" i="1825" s="1"/>
  <c r="O18" i="1825"/>
  <c r="AD18" i="1825" s="1"/>
  <c r="P19" i="1825"/>
  <c r="AC19" i="1825" s="1"/>
  <c r="M21" i="1825"/>
  <c r="M10" i="1825"/>
  <c r="AB10" i="1825"/>
  <c r="M19" i="1825"/>
  <c r="AB19" i="1825"/>
  <c r="M18" i="1825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1" i="1824"/>
  <c r="L20" i="1824"/>
  <c r="K20" i="1824"/>
  <c r="L19" i="1824"/>
  <c r="O19" i="1824" s="1"/>
  <c r="L18" i="1824"/>
  <c r="AB18" i="1824" s="1"/>
  <c r="K12" i="1824"/>
  <c r="L10" i="1824"/>
  <c r="K10" i="1824" s="1"/>
  <c r="K9" i="1824"/>
  <c r="L8" i="1824"/>
  <c r="K8" i="1824" s="1"/>
  <c r="K21" i="1824"/>
  <c r="K19" i="1824"/>
  <c r="K18" i="1824"/>
  <c r="K6" i="1824"/>
  <c r="A77" i="1824"/>
  <c r="A78" i="1824" s="1"/>
  <c r="A79" i="1824" s="1"/>
  <c r="A80" i="1824" s="1"/>
  <c r="A81" i="1824" s="1"/>
  <c r="A82" i="1824" s="1"/>
  <c r="AF61" i="1824"/>
  <c r="AF60" i="1824"/>
  <c r="AA22" i="1824"/>
  <c r="Z22" i="1824"/>
  <c r="Y22" i="1824"/>
  <c r="X22" i="1824"/>
  <c r="W22" i="1824"/>
  <c r="V22" i="1824"/>
  <c r="U22" i="1824"/>
  <c r="T22" i="1824"/>
  <c r="S22" i="1824"/>
  <c r="R22" i="1824"/>
  <c r="N22" i="1824"/>
  <c r="J22" i="1824"/>
  <c r="I22" i="1824"/>
  <c r="AF21" i="1824"/>
  <c r="AB21" i="1824"/>
  <c r="Q21" i="1824"/>
  <c r="M21" i="1824"/>
  <c r="P21" i="1824"/>
  <c r="AC21" i="1824" s="1"/>
  <c r="AF20" i="1824"/>
  <c r="Q20" i="1824"/>
  <c r="AF19" i="1824"/>
  <c r="AB19" i="1824"/>
  <c r="Q19" i="1824"/>
  <c r="P19" i="1824" s="1"/>
  <c r="AC19" i="1824" s="1"/>
  <c r="M19" i="1824"/>
  <c r="AF18" i="1824"/>
  <c r="Q18" i="1824"/>
  <c r="O18" i="1824"/>
  <c r="AF17" i="1824"/>
  <c r="AB17" i="1824"/>
  <c r="Q17" i="1824"/>
  <c r="P17" i="1824"/>
  <c r="AC17" i="1824" s="1"/>
  <c r="O17" i="1824"/>
  <c r="M17" i="1824"/>
  <c r="K17" i="1824"/>
  <c r="AF16" i="1824"/>
  <c r="AB16" i="1824"/>
  <c r="Q16" i="1824"/>
  <c r="P16" i="1824"/>
  <c r="AC16" i="1824" s="1"/>
  <c r="O16" i="1824"/>
  <c r="M16" i="1824"/>
  <c r="K16" i="1824"/>
  <c r="AF15" i="1824"/>
  <c r="AB15" i="1824"/>
  <c r="Q15" i="1824"/>
  <c r="P15" i="1824"/>
  <c r="AC15" i="1824" s="1"/>
  <c r="O15" i="1824"/>
  <c r="M15" i="1824"/>
  <c r="K15" i="1824"/>
  <c r="AF14" i="1824"/>
  <c r="AB14" i="1824"/>
  <c r="Q14" i="1824"/>
  <c r="P14" i="1824"/>
  <c r="AC14" i="1824" s="1"/>
  <c r="O14" i="1824"/>
  <c r="M14" i="1824"/>
  <c r="K14" i="1824"/>
  <c r="AF13" i="1824"/>
  <c r="AB13" i="1824"/>
  <c r="Q13" i="1824"/>
  <c r="P13" i="1824"/>
  <c r="AC13" i="1824" s="1"/>
  <c r="O13" i="1824"/>
  <c r="M13" i="1824"/>
  <c r="K13" i="1824"/>
  <c r="AF12" i="1824"/>
  <c r="AB12" i="1824"/>
  <c r="Q12" i="1824"/>
  <c r="P12" i="1824" s="1"/>
  <c r="AC12" i="1824" s="1"/>
  <c r="M12" i="1824"/>
  <c r="O12" i="1824"/>
  <c r="AF11" i="1824"/>
  <c r="AB11" i="1824"/>
  <c r="Q11" i="1824"/>
  <c r="P11" i="1824"/>
  <c r="AC11" i="1824" s="1"/>
  <c r="AD11" i="1824" s="1"/>
  <c r="O11" i="1824"/>
  <c r="M11" i="1824"/>
  <c r="K11" i="1824"/>
  <c r="AF10" i="1824"/>
  <c r="Q10" i="1824"/>
  <c r="O10" i="1824"/>
  <c r="AB10" i="1824"/>
  <c r="AF9" i="1824"/>
  <c r="AB9" i="1824"/>
  <c r="Q9" i="1824"/>
  <c r="P9" i="1824"/>
  <c r="AC9" i="1824" s="1"/>
  <c r="O9" i="1824"/>
  <c r="M9" i="1824"/>
  <c r="AF8" i="1824"/>
  <c r="Q8" i="1824"/>
  <c r="AF7" i="1824"/>
  <c r="AB7" i="1824"/>
  <c r="Q7" i="1824"/>
  <c r="P7" i="1824"/>
  <c r="AC7" i="1824" s="1"/>
  <c r="O7" i="1824"/>
  <c r="M7" i="1824"/>
  <c r="K7" i="1824"/>
  <c r="AF6" i="1824"/>
  <c r="AB6" i="1824"/>
  <c r="Q6" i="1824"/>
  <c r="P6" i="1824" s="1"/>
  <c r="AC6" i="1824" s="1"/>
  <c r="O6" i="1824"/>
  <c r="M6" i="1824"/>
  <c r="AC22" i="1825" l="1"/>
  <c r="M22" i="1825"/>
  <c r="AB22" i="1825"/>
  <c r="AD19" i="1825"/>
  <c r="AD10" i="1825"/>
  <c r="P22" i="1825"/>
  <c r="P20" i="1824"/>
  <c r="AC20" i="1824" s="1"/>
  <c r="M8" i="1824"/>
  <c r="AB8" i="1824"/>
  <c r="AD16" i="1824"/>
  <c r="O8" i="1824"/>
  <c r="P8" i="1824"/>
  <c r="AC8" i="1824" s="1"/>
  <c r="Q22" i="1824"/>
  <c r="AD9" i="1824"/>
  <c r="AD15" i="1824"/>
  <c r="AD19" i="1824"/>
  <c r="AF63" i="1824"/>
  <c r="AD7" i="1824"/>
  <c r="AD8" i="1824"/>
  <c r="AD12" i="1824"/>
  <c r="AD14" i="1824"/>
  <c r="AD13" i="1824"/>
  <c r="AD17" i="1824"/>
  <c r="AD6" i="1824"/>
  <c r="L22" i="1824"/>
  <c r="O22" i="1824" s="1"/>
  <c r="K22" i="1824"/>
  <c r="P10" i="1824"/>
  <c r="AC10" i="1824" s="1"/>
  <c r="AD10" i="1824" s="1"/>
  <c r="P18" i="1824"/>
  <c r="AC18" i="1824" s="1"/>
  <c r="AD18" i="1824" s="1"/>
  <c r="M20" i="1824"/>
  <c r="AB20" i="1824"/>
  <c r="O21" i="1824"/>
  <c r="AD21" i="1824" s="1"/>
  <c r="O20" i="1824"/>
  <c r="M10" i="1824"/>
  <c r="M18" i="1824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3" i="1823"/>
  <c r="O23" i="1823" s="1"/>
  <c r="L22" i="1823"/>
  <c r="L21" i="1823"/>
  <c r="K21" i="1823"/>
  <c r="L20" i="1823"/>
  <c r="AB20" i="1823" s="1"/>
  <c r="K14" i="1823"/>
  <c r="L13" i="1823"/>
  <c r="O13" i="1823" s="1"/>
  <c r="K13" i="1823"/>
  <c r="L11" i="1823"/>
  <c r="L9" i="1823"/>
  <c r="K7" i="1823"/>
  <c r="AF7" i="1823"/>
  <c r="AB7" i="1823"/>
  <c r="Q7" i="1823"/>
  <c r="P7" i="1823" s="1"/>
  <c r="AC7" i="1823" s="1"/>
  <c r="O7" i="1823"/>
  <c r="M7" i="1823"/>
  <c r="K22" i="1823"/>
  <c r="K11" i="1823"/>
  <c r="K10" i="1823"/>
  <c r="K9" i="1823"/>
  <c r="K8" i="1823"/>
  <c r="K6" i="1823"/>
  <c r="A80" i="1823"/>
  <c r="A81" i="1823" s="1"/>
  <c r="A82" i="1823" s="1"/>
  <c r="A83" i="1823" s="1"/>
  <c r="A84" i="1823" s="1"/>
  <c r="A79" i="1823"/>
  <c r="AF65" i="1823"/>
  <c r="AF63" i="1823"/>
  <c r="AF62" i="1823"/>
  <c r="AA24" i="1823"/>
  <c r="Z24" i="1823"/>
  <c r="Y24" i="1823"/>
  <c r="X24" i="1823"/>
  <c r="W24" i="1823"/>
  <c r="V24" i="1823"/>
  <c r="U24" i="1823"/>
  <c r="T24" i="1823"/>
  <c r="S24" i="1823"/>
  <c r="R24" i="1823"/>
  <c r="N24" i="1823"/>
  <c r="J24" i="1823"/>
  <c r="I24" i="1823"/>
  <c r="AF23" i="1823"/>
  <c r="Q23" i="1823"/>
  <c r="AF22" i="1823"/>
  <c r="AB22" i="1823"/>
  <c r="Q22" i="1823"/>
  <c r="P22" i="1823"/>
  <c r="AC22" i="1823" s="1"/>
  <c r="M22" i="1823"/>
  <c r="O22" i="1823"/>
  <c r="AF21" i="1823"/>
  <c r="Q21" i="1823"/>
  <c r="O21" i="1823"/>
  <c r="AF20" i="1823"/>
  <c r="Q20" i="1823"/>
  <c r="M20" i="1823"/>
  <c r="AF19" i="1823"/>
  <c r="AB19" i="1823"/>
  <c r="Q19" i="1823"/>
  <c r="P19" i="1823"/>
  <c r="AC19" i="1823" s="1"/>
  <c r="O19" i="1823"/>
  <c r="M19" i="1823"/>
  <c r="K19" i="1823"/>
  <c r="AF18" i="1823"/>
  <c r="AB18" i="1823"/>
  <c r="Q18" i="1823"/>
  <c r="P18" i="1823"/>
  <c r="AC18" i="1823" s="1"/>
  <c r="O18" i="1823"/>
  <c r="M18" i="1823"/>
  <c r="K18" i="1823"/>
  <c r="AF17" i="1823"/>
  <c r="AB17" i="1823"/>
  <c r="Q17" i="1823"/>
  <c r="P17" i="1823"/>
  <c r="AC17" i="1823" s="1"/>
  <c r="AD17" i="1823" s="1"/>
  <c r="O17" i="1823"/>
  <c r="M17" i="1823"/>
  <c r="K17" i="1823"/>
  <c r="AF16" i="1823"/>
  <c r="AB16" i="1823"/>
  <c r="Q16" i="1823"/>
  <c r="P16" i="1823"/>
  <c r="AC16" i="1823" s="1"/>
  <c r="O16" i="1823"/>
  <c r="M16" i="1823"/>
  <c r="K16" i="1823"/>
  <c r="AF15" i="1823"/>
  <c r="AB15" i="1823"/>
  <c r="Q15" i="1823"/>
  <c r="P15" i="1823"/>
  <c r="AC15" i="1823" s="1"/>
  <c r="O15" i="1823"/>
  <c r="M15" i="1823"/>
  <c r="K15" i="1823"/>
  <c r="AF14" i="1823"/>
  <c r="AB14" i="1823"/>
  <c r="Q14" i="1823"/>
  <c r="P14" i="1823" s="1"/>
  <c r="AC14" i="1823" s="1"/>
  <c r="O14" i="1823"/>
  <c r="M14" i="1823"/>
  <c r="AF13" i="1823"/>
  <c r="Q13" i="1823"/>
  <c r="P13" i="1823" s="1"/>
  <c r="AC13" i="1823" s="1"/>
  <c r="AF12" i="1823"/>
  <c r="AB12" i="1823"/>
  <c r="Q12" i="1823"/>
  <c r="P12" i="1823"/>
  <c r="AC12" i="1823" s="1"/>
  <c r="O12" i="1823"/>
  <c r="M12" i="1823"/>
  <c r="K12" i="1823"/>
  <c r="AF11" i="1823"/>
  <c r="AB11" i="1823"/>
  <c r="Q11" i="1823"/>
  <c r="P11" i="1823"/>
  <c r="AC11" i="1823" s="1"/>
  <c r="M11" i="1823"/>
  <c r="O11" i="1823"/>
  <c r="AF10" i="1823"/>
  <c r="Q10" i="1823"/>
  <c r="O10" i="1823"/>
  <c r="P10" i="1823"/>
  <c r="AC10" i="1823" s="1"/>
  <c r="AF9" i="1823"/>
  <c r="AB9" i="1823"/>
  <c r="Q9" i="1823"/>
  <c r="P9" i="1823"/>
  <c r="AC9" i="1823" s="1"/>
  <c r="O9" i="1823"/>
  <c r="M9" i="1823"/>
  <c r="AF8" i="1823"/>
  <c r="AB8" i="1823"/>
  <c r="Q8" i="1823"/>
  <c r="P8" i="1823" s="1"/>
  <c r="AC8" i="1823" s="1"/>
  <c r="O8" i="1823"/>
  <c r="M8" i="1823"/>
  <c r="AF6" i="1823"/>
  <c r="Q6" i="1823"/>
  <c r="O6" i="1823"/>
  <c r="AD22" i="1825" l="1"/>
  <c r="AB22" i="1824"/>
  <c r="M22" i="1824"/>
  <c r="P22" i="1824"/>
  <c r="AD20" i="1824"/>
  <c r="P23" i="1823"/>
  <c r="AC23" i="1823" s="1"/>
  <c r="K23" i="1823"/>
  <c r="AD22" i="1823"/>
  <c r="P20" i="1823"/>
  <c r="AC20" i="1823" s="1"/>
  <c r="AD20" i="1823" s="1"/>
  <c r="K20" i="1823"/>
  <c r="O20" i="1823"/>
  <c r="Q24" i="1823"/>
  <c r="AD7" i="1823"/>
  <c r="AD16" i="1823"/>
  <c r="AD12" i="1823"/>
  <c r="AD15" i="1823"/>
  <c r="AD19" i="1823"/>
  <c r="AD18" i="1823"/>
  <c r="P6" i="1823"/>
  <c r="AC6" i="1823" s="1"/>
  <c r="AD8" i="1823"/>
  <c r="AD14" i="1823"/>
  <c r="AD9" i="1823"/>
  <c r="AD11" i="1823"/>
  <c r="M6" i="1823"/>
  <c r="AB6" i="1823"/>
  <c r="M10" i="1823"/>
  <c r="AB10" i="1823"/>
  <c r="AD10" i="1823" s="1"/>
  <c r="M13" i="1823"/>
  <c r="AB13" i="1823"/>
  <c r="AD13" i="1823" s="1"/>
  <c r="P21" i="1823"/>
  <c r="AC21" i="1823" s="1"/>
  <c r="M23" i="1823"/>
  <c r="AB23" i="1823"/>
  <c r="AD23" i="1823" s="1"/>
  <c r="L24" i="1823"/>
  <c r="O24" i="1823" s="1"/>
  <c r="M21" i="1823"/>
  <c r="AB21" i="1823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AE21" i="1825" l="1"/>
  <c r="AE17" i="1825"/>
  <c r="AE15" i="1825"/>
  <c r="AE13" i="1825"/>
  <c r="AE11" i="1825"/>
  <c r="AE6" i="1825"/>
  <c r="AE19" i="1825"/>
  <c r="AE12" i="1825"/>
  <c r="AE18" i="1825"/>
  <c r="AE9" i="1825"/>
  <c r="AE16" i="1825"/>
  <c r="AE14" i="1825"/>
  <c r="AE10" i="1825"/>
  <c r="AE7" i="1825"/>
  <c r="AE20" i="1825"/>
  <c r="AE8" i="1825"/>
  <c r="AC22" i="1824"/>
  <c r="AD22" i="1824"/>
  <c r="P24" i="1823"/>
  <c r="M24" i="1823"/>
  <c r="K24" i="1823"/>
  <c r="AD21" i="1823"/>
  <c r="AB24" i="1823"/>
  <c r="AD6" i="1823"/>
  <c r="AC24" i="1823"/>
  <c r="L22" i="1822"/>
  <c r="L23" i="1822" s="1"/>
  <c r="O23" i="1822" s="1"/>
  <c r="L21" i="1822"/>
  <c r="AB21" i="1822" s="1"/>
  <c r="L20" i="1822"/>
  <c r="L19" i="1822"/>
  <c r="K19" i="1822" s="1"/>
  <c r="AF13" i="1822"/>
  <c r="Q13" i="1822"/>
  <c r="O13" i="1822"/>
  <c r="AB13" i="1822"/>
  <c r="L12" i="1822"/>
  <c r="L10" i="1822"/>
  <c r="L9" i="1822"/>
  <c r="L8" i="1822"/>
  <c r="L6" i="1822"/>
  <c r="K6" i="1822" s="1"/>
  <c r="K22" i="1822"/>
  <c r="K21" i="1822"/>
  <c r="K20" i="1822"/>
  <c r="K14" i="1822"/>
  <c r="K9" i="1822"/>
  <c r="K8" i="1822"/>
  <c r="K7" i="1822"/>
  <c r="A78" i="1822"/>
  <c r="A79" i="1822" s="1"/>
  <c r="A80" i="1822" s="1"/>
  <c r="A81" i="1822" s="1"/>
  <c r="A82" i="1822" s="1"/>
  <c r="A83" i="1822" s="1"/>
  <c r="AF64" i="1822"/>
  <c r="AF62" i="1822"/>
  <c r="AF61" i="1822"/>
  <c r="AA23" i="1822"/>
  <c r="Z23" i="1822"/>
  <c r="Y23" i="1822"/>
  <c r="X23" i="1822"/>
  <c r="W23" i="1822"/>
  <c r="V23" i="1822"/>
  <c r="U23" i="1822"/>
  <c r="T23" i="1822"/>
  <c r="S23" i="1822"/>
  <c r="R23" i="1822"/>
  <c r="N23" i="1822"/>
  <c r="J23" i="1822"/>
  <c r="I23" i="1822"/>
  <c r="AF22" i="1822"/>
  <c r="Q22" i="1822"/>
  <c r="AB22" i="1822"/>
  <c r="AF21" i="1822"/>
  <c r="AC21" i="1822"/>
  <c r="Q21" i="1822"/>
  <c r="P21" i="1822"/>
  <c r="O21" i="1822"/>
  <c r="AF20" i="1822"/>
  <c r="AB20" i="1822"/>
  <c r="Q20" i="1822"/>
  <c r="M20" i="1822"/>
  <c r="AF19" i="1822"/>
  <c r="Q19" i="1822"/>
  <c r="P19" i="1822"/>
  <c r="AC19" i="1822" s="1"/>
  <c r="AF18" i="1822"/>
  <c r="AB18" i="1822"/>
  <c r="Q18" i="1822"/>
  <c r="P18" i="1822"/>
  <c r="AC18" i="1822" s="1"/>
  <c r="AD18" i="1822" s="1"/>
  <c r="O18" i="1822"/>
  <c r="M18" i="1822"/>
  <c r="K18" i="1822"/>
  <c r="AF17" i="1822"/>
  <c r="AB17" i="1822"/>
  <c r="Q17" i="1822"/>
  <c r="P17" i="1822"/>
  <c r="AC17" i="1822" s="1"/>
  <c r="AD17" i="1822" s="1"/>
  <c r="O17" i="1822"/>
  <c r="M17" i="1822"/>
  <c r="K17" i="1822"/>
  <c r="AF16" i="1822"/>
  <c r="AB16" i="1822"/>
  <c r="Q16" i="1822"/>
  <c r="P16" i="1822"/>
  <c r="AC16" i="1822" s="1"/>
  <c r="O16" i="1822"/>
  <c r="M16" i="1822"/>
  <c r="K16" i="1822"/>
  <c r="AF15" i="1822"/>
  <c r="AC15" i="1822"/>
  <c r="AD15" i="1822" s="1"/>
  <c r="AB15" i="1822"/>
  <c r="Q15" i="1822"/>
  <c r="P15" i="1822"/>
  <c r="O15" i="1822"/>
  <c r="M15" i="1822"/>
  <c r="K15" i="1822"/>
  <c r="AF14" i="1822"/>
  <c r="Q14" i="1822"/>
  <c r="P14" i="1822"/>
  <c r="AC14" i="1822" s="1"/>
  <c r="O14" i="1822"/>
  <c r="AF12" i="1822"/>
  <c r="Q12" i="1822"/>
  <c r="AF11" i="1822"/>
  <c r="AB11" i="1822"/>
  <c r="Q11" i="1822"/>
  <c r="P11" i="1822"/>
  <c r="AC11" i="1822" s="1"/>
  <c r="O11" i="1822"/>
  <c r="M11" i="1822"/>
  <c r="K11" i="1822"/>
  <c r="AF10" i="1822"/>
  <c r="Q10" i="1822"/>
  <c r="AF9" i="1822"/>
  <c r="AB9" i="1822"/>
  <c r="Q9" i="1822"/>
  <c r="P9" i="1822" s="1"/>
  <c r="AC9" i="1822" s="1"/>
  <c r="O9" i="1822"/>
  <c r="M9" i="1822"/>
  <c r="AF8" i="1822"/>
  <c r="Q8" i="1822"/>
  <c r="M8" i="1822"/>
  <c r="AF7" i="1822"/>
  <c r="Q7" i="1822"/>
  <c r="P7" i="1822"/>
  <c r="AC7" i="1822" s="1"/>
  <c r="O7" i="1822"/>
  <c r="AF6" i="1822"/>
  <c r="AB6" i="1822"/>
  <c r="Q6" i="1822"/>
  <c r="P6" i="1822" s="1"/>
  <c r="AC6" i="1822" s="1"/>
  <c r="O6" i="1822"/>
  <c r="M6" i="1822"/>
  <c r="AE21" i="1824" l="1"/>
  <c r="AE17" i="1824"/>
  <c r="AE15" i="1824"/>
  <c r="AE13" i="1824"/>
  <c r="AE12" i="1824"/>
  <c r="AE9" i="1824"/>
  <c r="AE10" i="1824"/>
  <c r="AE7" i="1824"/>
  <c r="AE6" i="1824"/>
  <c r="AE18" i="1824"/>
  <c r="AE19" i="1824"/>
  <c r="AE16" i="1824"/>
  <c r="AE14" i="1824"/>
  <c r="AE8" i="1824"/>
  <c r="AE20" i="1824"/>
  <c r="AE11" i="1824"/>
  <c r="AD24" i="1823"/>
  <c r="AE7" i="1823" s="1"/>
  <c r="P22" i="1822"/>
  <c r="AC22" i="1822" s="1"/>
  <c r="AD22" i="1822" s="1"/>
  <c r="O22" i="1822"/>
  <c r="M21" i="1822"/>
  <c r="P20" i="1822"/>
  <c r="AC20" i="1822" s="1"/>
  <c r="K13" i="1822"/>
  <c r="P13" i="1822"/>
  <c r="AC13" i="1822" s="1"/>
  <c r="AD13" i="1822" s="1"/>
  <c r="P10" i="1822"/>
  <c r="AC10" i="1822" s="1"/>
  <c r="M13" i="1822"/>
  <c r="P12" i="1822"/>
  <c r="AC12" i="1822" s="1"/>
  <c r="AB12" i="1822"/>
  <c r="M12" i="1822"/>
  <c r="O12" i="1822"/>
  <c r="K12" i="1822"/>
  <c r="M10" i="1822"/>
  <c r="AB10" i="1822"/>
  <c r="O10" i="1822"/>
  <c r="K10" i="1822"/>
  <c r="Q23" i="1822"/>
  <c r="AD16" i="1822"/>
  <c r="AD21" i="1822"/>
  <c r="AD9" i="1822"/>
  <c r="AD11" i="1822"/>
  <c r="AD14" i="1822"/>
  <c r="AD6" i="1822"/>
  <c r="M19" i="1822"/>
  <c r="AB19" i="1822"/>
  <c r="O20" i="1822"/>
  <c r="AD20" i="1822" s="1"/>
  <c r="M7" i="1822"/>
  <c r="AB7" i="1822"/>
  <c r="O8" i="1822"/>
  <c r="M14" i="1822"/>
  <c r="AB14" i="1822"/>
  <c r="O19" i="1822"/>
  <c r="M22" i="1822"/>
  <c r="AB8" i="1822"/>
  <c r="K23" i="1822"/>
  <c r="P8" i="1822"/>
  <c r="AC8" i="1822" s="1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AG4" i="16" s="1"/>
  <c r="B3" i="16"/>
  <c r="AG6" i="16"/>
  <c r="AG5" i="16"/>
  <c r="AG3" i="16"/>
  <c r="L21" i="1821"/>
  <c r="K21" i="1821" s="1"/>
  <c r="L20" i="1821"/>
  <c r="K20" i="1821" s="1"/>
  <c r="L19" i="1821"/>
  <c r="K19" i="1821" s="1"/>
  <c r="L18" i="1821"/>
  <c r="K18" i="1821" s="1"/>
  <c r="L13" i="1821"/>
  <c r="K13" i="1821" s="1"/>
  <c r="L10" i="1821"/>
  <c r="L9" i="1821"/>
  <c r="L8" i="1821"/>
  <c r="L7" i="1821"/>
  <c r="K7" i="1821"/>
  <c r="L6" i="1821"/>
  <c r="K12" i="1821"/>
  <c r="K10" i="1821"/>
  <c r="K9" i="1821"/>
  <c r="K8" i="1821"/>
  <c r="K6" i="1821"/>
  <c r="AE23" i="1823" l="1"/>
  <c r="AE19" i="1823"/>
  <c r="AE17" i="1823"/>
  <c r="AE6" i="1823"/>
  <c r="AE14" i="1823"/>
  <c r="AE8" i="1823"/>
  <c r="AE20" i="1823"/>
  <c r="AE11" i="1823"/>
  <c r="AE21" i="1823"/>
  <c r="AE18" i="1823"/>
  <c r="AE16" i="1823"/>
  <c r="AE22" i="1823"/>
  <c r="AE12" i="1823"/>
  <c r="AE9" i="1823"/>
  <c r="AE15" i="1823"/>
  <c r="AE13" i="1823"/>
  <c r="AE10" i="1823"/>
  <c r="AC23" i="1822"/>
  <c r="AD12" i="1822"/>
  <c r="AD10" i="1822"/>
  <c r="AB23" i="1822"/>
  <c r="M23" i="1822"/>
  <c r="AD19" i="1822"/>
  <c r="AD7" i="1822"/>
  <c r="AD8" i="1822"/>
  <c r="P23" i="1822"/>
  <c r="O21" i="1821"/>
  <c r="O6" i="1821"/>
  <c r="K15" i="1821"/>
  <c r="A79" i="1821"/>
  <c r="A80" i="1821" s="1"/>
  <c r="A81" i="1821" s="1"/>
  <c r="A82" i="1821" s="1"/>
  <c r="A78" i="1821"/>
  <c r="A77" i="1821"/>
  <c r="AF61" i="1821"/>
  <c r="AF60" i="1821"/>
  <c r="AF63" i="1821" s="1"/>
  <c r="AA22" i="1821"/>
  <c r="Z22" i="1821"/>
  <c r="Y22" i="1821"/>
  <c r="X22" i="1821"/>
  <c r="W22" i="1821"/>
  <c r="V22" i="1821"/>
  <c r="U22" i="1821"/>
  <c r="T22" i="1821"/>
  <c r="S22" i="1821"/>
  <c r="R22" i="1821"/>
  <c r="N22" i="1821"/>
  <c r="J22" i="1821"/>
  <c r="I22" i="1821"/>
  <c r="AF21" i="1821"/>
  <c r="AB21" i="1821"/>
  <c r="Q21" i="1821"/>
  <c r="P21" i="1821" s="1"/>
  <c r="AC21" i="1821" s="1"/>
  <c r="M21" i="1821"/>
  <c r="AF20" i="1821"/>
  <c r="Q20" i="1821"/>
  <c r="M20" i="1821"/>
  <c r="O20" i="1821"/>
  <c r="AF19" i="1821"/>
  <c r="Q19" i="1821"/>
  <c r="O19" i="1821"/>
  <c r="AB19" i="1821"/>
  <c r="AF18" i="1821"/>
  <c r="AB18" i="1821"/>
  <c r="Q18" i="1821"/>
  <c r="P18" i="1821"/>
  <c r="AC18" i="1821" s="1"/>
  <c r="O18" i="1821"/>
  <c r="M18" i="1821"/>
  <c r="AF17" i="1821"/>
  <c r="AB17" i="1821"/>
  <c r="Q17" i="1821"/>
  <c r="P17" i="1821"/>
  <c r="AC17" i="1821" s="1"/>
  <c r="O17" i="1821"/>
  <c r="M17" i="1821"/>
  <c r="K17" i="1821"/>
  <c r="AF16" i="1821"/>
  <c r="AB16" i="1821"/>
  <c r="Q16" i="1821"/>
  <c r="P16" i="1821"/>
  <c r="AC16" i="1821" s="1"/>
  <c r="O16" i="1821"/>
  <c r="M16" i="1821"/>
  <c r="K16" i="1821"/>
  <c r="AF15" i="1821"/>
  <c r="AB15" i="1821"/>
  <c r="Q15" i="1821"/>
  <c r="P15" i="1821"/>
  <c r="AC15" i="1821" s="1"/>
  <c r="M15" i="1821"/>
  <c r="O15" i="1821"/>
  <c r="AF14" i="1821"/>
  <c r="AB14" i="1821"/>
  <c r="Q14" i="1821"/>
  <c r="P14" i="1821"/>
  <c r="AC14" i="1821" s="1"/>
  <c r="O14" i="1821"/>
  <c r="M14" i="1821"/>
  <c r="K14" i="1821"/>
  <c r="AF13" i="1821"/>
  <c r="Q13" i="1821"/>
  <c r="P13" i="1821" s="1"/>
  <c r="AC13" i="1821" s="1"/>
  <c r="AF12" i="1821"/>
  <c r="AB12" i="1821"/>
  <c r="Q12" i="1821"/>
  <c r="O12" i="1821"/>
  <c r="M12" i="1821"/>
  <c r="AF11" i="1821"/>
  <c r="AB11" i="1821"/>
  <c r="Q11" i="1821"/>
  <c r="P11" i="1821"/>
  <c r="AC11" i="1821" s="1"/>
  <c r="O11" i="1821"/>
  <c r="M11" i="1821"/>
  <c r="K11" i="1821"/>
  <c r="AF10" i="1821"/>
  <c r="AB10" i="1821"/>
  <c r="Q10" i="1821"/>
  <c r="P10" i="1821" s="1"/>
  <c r="AC10" i="1821" s="1"/>
  <c r="M10" i="1821"/>
  <c r="O10" i="1821"/>
  <c r="AF9" i="1821"/>
  <c r="Q9" i="1821"/>
  <c r="O9" i="1821"/>
  <c r="AB9" i="1821"/>
  <c r="AF8" i="1821"/>
  <c r="AB8" i="1821"/>
  <c r="Q8" i="1821"/>
  <c r="P8" i="1821" s="1"/>
  <c r="AC8" i="1821" s="1"/>
  <c r="O8" i="1821"/>
  <c r="M8" i="1821"/>
  <c r="AF7" i="1821"/>
  <c r="AB7" i="1821"/>
  <c r="Q7" i="1821"/>
  <c r="P7" i="1821" s="1"/>
  <c r="AC7" i="1821" s="1"/>
  <c r="O7" i="1821"/>
  <c r="M7" i="1821"/>
  <c r="AF6" i="1821"/>
  <c r="AB6" i="1821"/>
  <c r="Q6" i="1821"/>
  <c r="M6" i="1821"/>
  <c r="AD23" i="1822" l="1"/>
  <c r="AD7" i="1821"/>
  <c r="AD18" i="1821"/>
  <c r="AD14" i="1821"/>
  <c r="AD17" i="1821"/>
  <c r="AD21" i="1821"/>
  <c r="P20" i="1821"/>
  <c r="AC20" i="1821" s="1"/>
  <c r="P12" i="1821"/>
  <c r="AC12" i="1821" s="1"/>
  <c r="Q22" i="1821"/>
  <c r="P6" i="1821"/>
  <c r="AC6" i="1821" s="1"/>
  <c r="AD8" i="1821"/>
  <c r="AD12" i="1821"/>
  <c r="AD16" i="1821"/>
  <c r="AD11" i="1821"/>
  <c r="AD15" i="1821"/>
  <c r="AD10" i="1821"/>
  <c r="L22" i="1821"/>
  <c r="O22" i="1821" s="1"/>
  <c r="AD6" i="1821"/>
  <c r="K22" i="1821"/>
  <c r="P9" i="1821"/>
  <c r="M13" i="1821"/>
  <c r="AB13" i="1821"/>
  <c r="P19" i="1821"/>
  <c r="AC19" i="1821" s="1"/>
  <c r="AD19" i="1821" s="1"/>
  <c r="O13" i="1821"/>
  <c r="AB20" i="1821"/>
  <c r="M9" i="1821"/>
  <c r="M19" i="1821"/>
  <c r="AE18" i="1822" l="1"/>
  <c r="AE13" i="1822"/>
  <c r="AE10" i="1822"/>
  <c r="AE9" i="1822"/>
  <c r="AE11" i="1822"/>
  <c r="AE22" i="1822"/>
  <c r="AE7" i="1822"/>
  <c r="AE12" i="1822"/>
  <c r="AE15" i="1822"/>
  <c r="AE19" i="1822"/>
  <c r="AE14" i="1822"/>
  <c r="AE21" i="1822"/>
  <c r="AE17" i="1822"/>
  <c r="AE16" i="1822"/>
  <c r="AE6" i="1822"/>
  <c r="AE8" i="1822"/>
  <c r="AE20" i="1822"/>
  <c r="AD20" i="1821"/>
  <c r="M22" i="1821"/>
  <c r="AD13" i="1821"/>
  <c r="P22" i="1821"/>
  <c r="AC9" i="1821"/>
  <c r="AB22" i="1821"/>
  <c r="AD9" i="1821" l="1"/>
  <c r="AC22" i="1821"/>
  <c r="AD22" i="1821" l="1"/>
  <c r="AE10" i="1821" l="1"/>
  <c r="AE12" i="1821"/>
  <c r="AE7" i="1821"/>
  <c r="AE13" i="1821"/>
  <c r="AE20" i="1821"/>
  <c r="AE11" i="1821"/>
  <c r="AE9" i="1821"/>
  <c r="AE16" i="1821"/>
  <c r="AE15" i="1821"/>
  <c r="AE14" i="1821"/>
  <c r="AE6" i="1821"/>
  <c r="AE18" i="1821"/>
  <c r="AE17" i="1821"/>
  <c r="AE19" i="1821"/>
  <c r="AE8" i="1821"/>
  <c r="AE21" i="1821"/>
</calcChain>
</file>

<file path=xl/sharedStrings.xml><?xml version="1.0" encoding="utf-8"?>
<sst xmlns="http://schemas.openxmlformats.org/spreadsheetml/2006/main" count="5720" uniqueCount="577">
  <si>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</si>
  <si>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</si>
  <si>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</si>
  <si>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</si>
  <si>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</si>
  <si>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</si>
  <si>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</si>
  <si>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</si>
  <si>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</si>
  <si>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</si>
  <si>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</si>
  <si>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</si>
  <si>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</si>
  <si>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</si>
  <si>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</si>
  <si>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</si>
  <si>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</si>
  <si>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</si>
  <si>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</si>
  <si>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</si>
  <si>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</si>
  <si>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</si>
  <si>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</si>
  <si>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</si>
  <si>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</si>
  <si>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</si>
  <si>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</si>
  <si>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</si>
  <si>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</si>
  <si>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</si>
  <si>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</si>
  <si>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</si>
  <si>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</si>
  <si>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</si>
  <si>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</si>
  <si>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</si>
  <si>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</si>
  <si>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</si>
  <si>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</si>
  <si>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</si>
  <si>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</si>
  <si>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</si>
  <si>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</si>
  <si>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</si>
  <si>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</si>
  <si>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</si>
  <si>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</si>
  <si>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</si>
  <si>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</si>
  <si>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</si>
  <si>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</si>
  <si>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</si>
  <si>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</si>
  <si>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</si>
  <si>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</si>
  <si>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</si>
  <si>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</si>
  <si>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</si>
  <si>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</si>
  <si>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</si>
  <si>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</si>
  <si>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</si>
  <si>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</si>
  <si>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</si>
  <si>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</si>
  <si>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</si>
  <si>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</si>
  <si>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</si>
  <si>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</si>
  <si>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</si>
  <si>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</si>
  <si>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</si>
  <si>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</si>
  <si>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</si>
  <si>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</si>
  <si>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</si>
  <si>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</si>
  <si>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</si>
  <si>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</si>
  <si>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</si>
  <si>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</si>
  <si>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</si>
  <si>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</si>
  <si>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</si>
  <si>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</si>
  <si>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</si>
  <si>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</si>
  <si>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</si>
  <si>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</si>
  <si>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</si>
  <si>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</si>
  <si>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</si>
  <si>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</si>
  <si>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</si>
  <si>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</si>
  <si>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</si>
  <si>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</si>
  <si>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</si>
  <si>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</si>
  <si>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</si>
  <si>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</si>
  <si>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</si>
  <si>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</si>
  <si>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</si>
  <si>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</si>
  <si>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</si>
  <si>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</si>
  <si>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</si>
  <si>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</si>
  <si>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</si>
  <si>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</si>
  <si>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</si>
  <si>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</si>
  <si>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</si>
  <si>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</si>
  <si>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</si>
  <si>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</si>
  <si>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</si>
  <si>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SST</t>
    <phoneticPr fontId="2" type="noConversion"/>
  </si>
  <si>
    <t>HICON</t>
    <phoneticPr fontId="2" type="noConversion"/>
  </si>
  <si>
    <t>가스</t>
    <phoneticPr fontId="2" type="noConversion"/>
  </si>
  <si>
    <t>AYE</t>
    <phoneticPr fontId="2" type="noConversion"/>
  </si>
  <si>
    <t>SGF2041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</si>
  <si>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</si>
  <si>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</si>
  <si>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</si>
  <si>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SF2255 I/V</t>
    <phoneticPr fontId="2" type="noConversion"/>
  </si>
  <si>
    <t>ADAPTER</t>
    <phoneticPr fontId="2" type="noConversion"/>
  </si>
  <si>
    <t>7301</t>
    <phoneticPr fontId="2" type="noConversion"/>
  </si>
  <si>
    <t>STOPPER</t>
    <phoneticPr fontId="2" type="noConversion"/>
  </si>
  <si>
    <t>수리후양산</t>
    <phoneticPr fontId="2" type="noConversion"/>
  </si>
  <si>
    <t>HDB08NL-78T4</t>
    <phoneticPr fontId="2" type="noConversion"/>
  </si>
  <si>
    <t>COVER</t>
    <phoneticPr fontId="2" type="noConversion"/>
  </si>
  <si>
    <t>K-JR01936-C01AWA</t>
    <phoneticPr fontId="2" type="noConversion"/>
  </si>
  <si>
    <t>SGF2030</t>
    <phoneticPr fontId="2" type="noConversion"/>
  </si>
  <si>
    <t>품  명</t>
    <phoneticPr fontId="2" type="noConversion"/>
  </si>
  <si>
    <t>형체이상</t>
    <phoneticPr fontId="2" type="noConversion"/>
  </si>
  <si>
    <t>엥겔</t>
    <phoneticPr fontId="2" type="noConversion"/>
  </si>
  <si>
    <t>드라이버 교체</t>
    <phoneticPr fontId="2" type="noConversion"/>
  </si>
  <si>
    <t>수리예정</t>
    <phoneticPr fontId="2" type="noConversion"/>
  </si>
  <si>
    <t>2</t>
    <phoneticPr fontId="2" type="noConversion"/>
  </si>
  <si>
    <t>발주분양산</t>
    <phoneticPr fontId="2" type="noConversion"/>
  </si>
  <si>
    <t>13</t>
    <phoneticPr fontId="2" type="noConversion"/>
  </si>
  <si>
    <t>1</t>
    <phoneticPr fontId="2" type="noConversion"/>
  </si>
  <si>
    <t>SLIDER</t>
    <phoneticPr fontId="2" type="noConversion"/>
  </si>
  <si>
    <t>SGF2030 N/P</t>
    <phoneticPr fontId="2" type="noConversion"/>
  </si>
  <si>
    <t>SGF2041 N/P</t>
    <phoneticPr fontId="2" type="noConversion"/>
  </si>
  <si>
    <t>K-JR01887-G01CBA</t>
    <phoneticPr fontId="2" type="noConversion"/>
  </si>
  <si>
    <t>KR6166CB299UA</t>
    <phoneticPr fontId="2" type="noConversion"/>
  </si>
  <si>
    <t>.</t>
    <phoneticPr fontId="2" type="noConversion"/>
  </si>
  <si>
    <t>KR6166-GG200QC</t>
    <phoneticPr fontId="2" type="noConversion"/>
  </si>
  <si>
    <t>14</t>
    <phoneticPr fontId="2" type="noConversion"/>
  </si>
  <si>
    <t>8</t>
    <phoneticPr fontId="2" type="noConversion"/>
  </si>
  <si>
    <t>HDB08NL-78B1(4C)</t>
    <phoneticPr fontId="2" type="noConversion"/>
  </si>
  <si>
    <t>NP595-352-012#LB</t>
    <phoneticPr fontId="2" type="noConversion"/>
  </si>
  <si>
    <t>4</t>
    <phoneticPr fontId="2" type="noConversion"/>
  </si>
  <si>
    <t>SGP2030R N/P</t>
    <phoneticPr fontId="2" type="noConversion"/>
  </si>
  <si>
    <t>HDBF05-M01B1</t>
    <phoneticPr fontId="2" type="noConversion"/>
  </si>
  <si>
    <t>SF2255</t>
    <phoneticPr fontId="2" type="noConversion"/>
  </si>
  <si>
    <t>K-JR01903-D180ZA</t>
    <phoneticPr fontId="2" type="noConversion"/>
  </si>
  <si>
    <t>SGP2020R</t>
    <phoneticPr fontId="2" type="noConversion"/>
  </si>
  <si>
    <t>HDBF05-M02B1</t>
    <phoneticPr fontId="2" type="noConversion"/>
  </si>
  <si>
    <t>22P</t>
    <phoneticPr fontId="2" type="noConversion"/>
  </si>
  <si>
    <t>AMC0821A-KAA-R1</t>
    <phoneticPr fontId="2" type="noConversion"/>
  </si>
  <si>
    <t>G1300H</t>
    <phoneticPr fontId="2" type="noConversion"/>
  </si>
  <si>
    <t>AMM0890A-KAC-R1</t>
    <phoneticPr fontId="2" type="noConversion"/>
  </si>
  <si>
    <t>K-JR01920-C01AWA</t>
    <phoneticPr fontId="2" type="noConversion"/>
  </si>
  <si>
    <t>K-JR01920-B414AZB</t>
    <phoneticPr fontId="2" type="noConversion"/>
  </si>
  <si>
    <t>HDBF05-M01B1(2C)</t>
    <phoneticPr fontId="2" type="noConversion"/>
  </si>
  <si>
    <t>KR6197-D475PA</t>
    <phoneticPr fontId="2" type="noConversion"/>
  </si>
  <si>
    <t>2C BASE</t>
    <phoneticPr fontId="2" type="noConversion"/>
  </si>
  <si>
    <r>
      <t>2020년 09월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</si>
  <si>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09월 호기별 가동현황</t>
    <phoneticPr fontId="2" type="noConversion"/>
  </si>
  <si>
    <t>전일 ISSUE 사항(01일)</t>
    <phoneticPr fontId="2" type="noConversion"/>
  </si>
  <si>
    <t>HDBF05-M02B1(1C)</t>
    <phoneticPr fontId="2" type="noConversion"/>
  </si>
  <si>
    <t>수리후양산-&gt;코아파손2회-&gt;뜯김정지</t>
    <phoneticPr fontId="2" type="noConversion"/>
  </si>
  <si>
    <t>K-JR01903-D180ZA</t>
    <phoneticPr fontId="2" type="noConversion"/>
  </si>
  <si>
    <t>발주분양산-&gt;코아파손정지</t>
    <phoneticPr fontId="2" type="noConversion"/>
  </si>
  <si>
    <t>8</t>
    <phoneticPr fontId="2" type="noConversion"/>
  </si>
  <si>
    <t>STOPPER</t>
    <phoneticPr fontId="2" type="noConversion"/>
  </si>
  <si>
    <t>15</t>
    <phoneticPr fontId="2" type="noConversion"/>
  </si>
  <si>
    <t>HDB08NL-78B1(4C)</t>
    <phoneticPr fontId="2" type="noConversion"/>
  </si>
  <si>
    <t>수리후양산</t>
    <phoneticPr fontId="2" type="noConversion"/>
  </si>
  <si>
    <t>22P(4POST)</t>
    <phoneticPr fontId="2" type="noConversion"/>
  </si>
  <si>
    <t>DI</t>
    <phoneticPr fontId="2" type="noConversion"/>
  </si>
  <si>
    <t>16</t>
    <phoneticPr fontId="2" type="noConversion"/>
  </si>
  <si>
    <t>당일 진행 사항(02일)</t>
    <phoneticPr fontId="2" type="noConversion"/>
  </si>
  <si>
    <t>AMB07U9A-KAA-R3</t>
    <phoneticPr fontId="2" type="noConversion"/>
  </si>
  <si>
    <t>K-JR01921-A784AWA</t>
    <phoneticPr fontId="2" type="noConversion"/>
  </si>
  <si>
    <t>AMB0172A-KAA-R2</t>
    <phoneticPr fontId="2" type="noConversion"/>
  </si>
  <si>
    <t>7</t>
    <phoneticPr fontId="2" type="noConversion"/>
  </si>
  <si>
    <t>SAMPLE 진행 사항(01일)</t>
    <phoneticPr fontId="2" type="noConversion"/>
  </si>
  <si>
    <t>HICON</t>
    <phoneticPr fontId="2" type="noConversion"/>
  </si>
  <si>
    <t>SLIDER</t>
    <phoneticPr fontId="2" type="noConversion"/>
  </si>
  <si>
    <t>SGF2041 N/P</t>
    <phoneticPr fontId="2" type="noConversion"/>
  </si>
  <si>
    <t>수정</t>
    <phoneticPr fontId="2" type="noConversion"/>
  </si>
  <si>
    <t>2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</si>
  <si>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</si>
  <si>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</si>
  <si>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2020년 09월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</si>
  <si>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SGF2033</t>
    <phoneticPr fontId="2" type="noConversion"/>
  </si>
  <si>
    <t>전일 ISSUE 사항(02일)</t>
    <phoneticPr fontId="2" type="noConversion"/>
  </si>
  <si>
    <t>코아파손정지</t>
    <phoneticPr fontId="2" type="noConversion"/>
  </si>
  <si>
    <t>수리후양산-&gt;코아파손정지</t>
    <phoneticPr fontId="2" type="noConversion"/>
  </si>
  <si>
    <t>당일 진행 사항(03일)</t>
    <phoneticPr fontId="2" type="noConversion"/>
  </si>
  <si>
    <t>KR6166-B299UA</t>
    <phoneticPr fontId="2" type="noConversion"/>
  </si>
  <si>
    <t>AMB0129A-KAA-R5</t>
    <phoneticPr fontId="2" type="noConversion"/>
  </si>
  <si>
    <t>AMB0222A-KAA-R1</t>
    <phoneticPr fontId="2" type="noConversion"/>
  </si>
  <si>
    <t>SAMPLE 진행 사항(02일)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</si>
  <si>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</si>
  <si>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</si>
  <si>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2020년 09월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</si>
  <si>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SPL/발주</t>
    <phoneticPr fontId="2" type="noConversion"/>
  </si>
  <si>
    <t>F/A</t>
    <phoneticPr fontId="2" type="noConversion"/>
  </si>
  <si>
    <t>AMB20E3B-KAA-R1</t>
    <phoneticPr fontId="2" type="noConversion"/>
  </si>
  <si>
    <t>SGF2050</t>
    <phoneticPr fontId="2" type="noConversion"/>
  </si>
  <si>
    <t>AMB0222A-KAA-R2</t>
    <phoneticPr fontId="2" type="noConversion"/>
  </si>
  <si>
    <t>ACTUATOR</t>
    <phoneticPr fontId="2" type="noConversion"/>
  </si>
  <si>
    <t>AMB1901D-JAA-R2</t>
    <phoneticPr fontId="2" type="noConversion"/>
  </si>
  <si>
    <t>전일 ISSUE 사항(03일)</t>
    <phoneticPr fontId="2" type="noConversion"/>
  </si>
  <si>
    <t>치수확인후양산-&gt;가스3회수리</t>
    <phoneticPr fontId="2" type="noConversion"/>
  </si>
  <si>
    <t>발주분양산-&gt;BURR수리</t>
    <phoneticPr fontId="2" type="noConversion"/>
  </si>
  <si>
    <t>1C파손</t>
    <phoneticPr fontId="2" type="noConversion"/>
  </si>
  <si>
    <t>당일 진행 사항(04일)</t>
    <phoneticPr fontId="2" type="noConversion"/>
  </si>
  <si>
    <t>SAMPLE 진행 사항(03일)</t>
    <phoneticPr fontId="2" type="noConversion"/>
  </si>
  <si>
    <t>옵션</t>
    <phoneticPr fontId="2" type="noConversion"/>
  </si>
  <si>
    <t>가스3회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</si>
  <si>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</si>
  <si>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</si>
  <si>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2020년 09월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</si>
  <si>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AMB0182A-KAA-R1</t>
    <phoneticPr fontId="2" type="noConversion"/>
  </si>
  <si>
    <t>전일 ISSUE 사항(04일)</t>
    <phoneticPr fontId="2" type="noConversion"/>
  </si>
  <si>
    <t>수리후양산-&gt;코아파손2회정지</t>
    <phoneticPr fontId="2" type="noConversion"/>
  </si>
  <si>
    <t>당일 진행 사항(05일)</t>
    <phoneticPr fontId="2" type="noConversion"/>
  </si>
  <si>
    <t>SAMPLE 진행 사항(04일)</t>
    <phoneticPr fontId="2" type="noConversion"/>
  </si>
  <si>
    <t>K-AR3542-1A</t>
    <phoneticPr fontId="2" type="noConversion"/>
  </si>
  <si>
    <t>K-AR3539-1A</t>
    <phoneticPr fontId="2" type="noConversion"/>
  </si>
  <si>
    <t>L/G</t>
    <phoneticPr fontId="2" type="noConversion"/>
  </si>
  <si>
    <t>KR6421-M01ABA</t>
    <phoneticPr fontId="2" type="noConversion"/>
  </si>
  <si>
    <t>K-AR3543-1A</t>
    <phoneticPr fontId="2" type="noConversion"/>
  </si>
  <si>
    <t>LEAD IN</t>
    <phoneticPr fontId="2" type="noConversion"/>
  </si>
  <si>
    <t>K-AR3540-1A</t>
    <phoneticPr fontId="2" type="noConversion"/>
  </si>
  <si>
    <t>9</t>
    <phoneticPr fontId="2" type="noConversion"/>
  </si>
  <si>
    <t>AAM0818D-KAB-R3</t>
    <phoneticPr fontId="2" type="noConversion"/>
  </si>
  <si>
    <t>KR6421-B156AZB</t>
    <phoneticPr fontId="2" type="noConversion"/>
  </si>
  <si>
    <t>E6007LHF</t>
    <phoneticPr fontId="2" type="noConversion"/>
  </si>
  <si>
    <t>신작</t>
    <phoneticPr fontId="2" type="noConversion"/>
  </si>
  <si>
    <t>요청</t>
    <phoneticPr fontId="2" type="noConversion"/>
  </si>
  <si>
    <t>원재료</t>
    <phoneticPr fontId="2" type="noConversion"/>
  </si>
  <si>
    <t>하측뜯김</t>
    <phoneticPr fontId="2" type="noConversion"/>
  </si>
  <si>
    <t>금형안닫힘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</si>
  <si>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</si>
  <si>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</si>
  <si>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2020년 09월 05일(주간)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</si>
  <si>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전일 ISSUE 사항(05일)</t>
    <phoneticPr fontId="2" type="noConversion"/>
  </si>
  <si>
    <t>당일 진행 사항(07일)</t>
    <phoneticPr fontId="2" type="noConversion"/>
  </si>
  <si>
    <t>세척후양산</t>
    <phoneticPr fontId="2" type="noConversion"/>
  </si>
  <si>
    <t>SAMPLE 진행 사항(05일)</t>
    <phoneticPr fontId="2" type="noConversion"/>
  </si>
  <si>
    <t>증작</t>
    <phoneticPr fontId="2" type="noConversion"/>
  </si>
  <si>
    <t>2C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</si>
  <si>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</si>
  <si>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</si>
  <si>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2020년 09월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</si>
  <si>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전일 ISSUE 사항(07일)</t>
    <phoneticPr fontId="2" type="noConversion"/>
  </si>
  <si>
    <t>발주분양산-&gt;코아파손5EA 진행</t>
    <phoneticPr fontId="2" type="noConversion"/>
  </si>
  <si>
    <t>코아파손수리후양산</t>
    <phoneticPr fontId="2" type="noConversion"/>
  </si>
  <si>
    <t>당일 진행 사항(08일)</t>
    <phoneticPr fontId="2" type="noConversion"/>
  </si>
  <si>
    <t>AMB1917A-KAA-R1</t>
    <phoneticPr fontId="2" type="noConversion"/>
  </si>
  <si>
    <t>HL192-10A1-M1/M2</t>
    <phoneticPr fontId="2" type="noConversion"/>
  </si>
  <si>
    <t>10</t>
    <phoneticPr fontId="2" type="noConversion"/>
  </si>
  <si>
    <t>TOP/BOTTOM</t>
    <phoneticPr fontId="2" type="noConversion"/>
  </si>
  <si>
    <t>SAMPLE 진행 사항(07일)</t>
    <phoneticPr fontId="2" type="noConversion"/>
  </si>
  <si>
    <t>K-AR3541-1A</t>
    <phoneticPr fontId="2" type="noConversion"/>
  </si>
  <si>
    <t>오조립수리</t>
    <phoneticPr fontId="2" type="noConversion"/>
  </si>
  <si>
    <t>K-AR3538-1A</t>
    <phoneticPr fontId="2" type="noConversion"/>
  </si>
  <si>
    <t>코아파손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</si>
  <si>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</si>
  <si>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</si>
  <si>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2020년 09월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</si>
  <si>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HL192-10A1-M1/2</t>
    <phoneticPr fontId="2" type="noConversion"/>
  </si>
  <si>
    <t>2*1</t>
    <phoneticPr fontId="2" type="noConversion"/>
  </si>
  <si>
    <t>LEAD GUIDE</t>
    <phoneticPr fontId="2" type="noConversion"/>
  </si>
  <si>
    <t>AMC1201A-KAA-R1</t>
    <phoneticPr fontId="2" type="noConversion"/>
  </si>
  <si>
    <t>GN2330</t>
    <phoneticPr fontId="2" type="noConversion"/>
  </si>
  <si>
    <t>전일 ISSUE 사항(08일)</t>
    <phoneticPr fontId="2" type="noConversion"/>
  </si>
  <si>
    <t>발주분양산-&gt;뜯김수리ㅡ&gt;코아파손정지</t>
    <phoneticPr fontId="2" type="noConversion"/>
  </si>
  <si>
    <t>발주분양산-&gt;코아파손4회정지</t>
    <phoneticPr fontId="2" type="noConversion"/>
  </si>
  <si>
    <t>당일 진행 사항(09일)</t>
    <phoneticPr fontId="2" type="noConversion"/>
  </si>
  <si>
    <t>NP628-1056-001#IN-B</t>
    <phoneticPr fontId="2" type="noConversion"/>
  </si>
  <si>
    <t>SAMPLE 진행 사항(08일)</t>
    <phoneticPr fontId="2" type="noConversion"/>
  </si>
  <si>
    <t>Pattern Cover</t>
    <phoneticPr fontId="2" type="noConversion"/>
  </si>
  <si>
    <t>아람</t>
    <phoneticPr fontId="2" type="noConversion"/>
  </si>
  <si>
    <t>RTP/NORYL</t>
    <phoneticPr fontId="2" type="noConversion"/>
  </si>
  <si>
    <t>32CAV</t>
    <phoneticPr fontId="2" type="noConversion"/>
  </si>
  <si>
    <t>뜯김수리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</si>
  <si>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</si>
  <si>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</si>
  <si>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2020년 09월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</si>
  <si>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KR6421-B153AZB</t>
    <phoneticPr fontId="2" type="noConversion"/>
  </si>
  <si>
    <t>LG35</t>
    <phoneticPr fontId="2" type="noConversion"/>
  </si>
  <si>
    <t>전일 ISSUE 사항(09일)</t>
    <phoneticPr fontId="2" type="noConversion"/>
  </si>
  <si>
    <t>코아파손수리</t>
    <phoneticPr fontId="2" type="noConversion"/>
  </si>
  <si>
    <t>발주분양산-&gt;오조립</t>
    <phoneticPr fontId="2" type="noConversion"/>
  </si>
  <si>
    <t>당일 진행 사항(10일)</t>
    <phoneticPr fontId="2" type="noConversion"/>
  </si>
  <si>
    <t>NP413-77549#IN-B</t>
    <phoneticPr fontId="2" type="noConversion"/>
  </si>
  <si>
    <t>AAM1209A-KAA/B-R2</t>
    <phoneticPr fontId="2" type="noConversion"/>
  </si>
  <si>
    <t>5</t>
    <phoneticPr fontId="2" type="noConversion"/>
  </si>
  <si>
    <t>SAMPLE 진행 사항(09일)</t>
    <phoneticPr fontId="2" type="noConversion"/>
  </si>
  <si>
    <t>HDB08PL-96B1(4C)</t>
    <phoneticPr fontId="2" type="noConversion"/>
  </si>
  <si>
    <t>HDB08PL-96S2(4C)</t>
    <phoneticPr fontId="2" type="noConversion"/>
  </si>
  <si>
    <t>상측박힘</t>
    <phoneticPr fontId="2" type="noConversion"/>
  </si>
  <si>
    <t>치수NG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</si>
  <si>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</si>
  <si>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</si>
  <si>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2020년 09월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</si>
  <si>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전일 ISSUE 사항(10일)</t>
    <phoneticPr fontId="2" type="noConversion"/>
  </si>
  <si>
    <t>가이드핀파손수리-&gt;코아파손정지</t>
    <phoneticPr fontId="2" type="noConversion"/>
  </si>
  <si>
    <t>발주분양산-&gt;BURR2회-&gt;뜯김정지</t>
    <phoneticPr fontId="2" type="noConversion"/>
  </si>
  <si>
    <t>상측BURR2회수리</t>
    <phoneticPr fontId="2" type="noConversion"/>
  </si>
  <si>
    <t>BURR2회수리</t>
    <phoneticPr fontId="2" type="noConversion"/>
  </si>
  <si>
    <t>당일 진행 사항(11일)</t>
    <phoneticPr fontId="2" type="noConversion"/>
  </si>
  <si>
    <t>HL192-10M3/4</t>
    <phoneticPr fontId="2" type="noConversion"/>
  </si>
  <si>
    <t>BASE/LID</t>
    <phoneticPr fontId="2" type="noConversion"/>
  </si>
  <si>
    <t>PUSHER</t>
    <phoneticPr fontId="2" type="noConversion"/>
  </si>
  <si>
    <t>HL192-10A-M5</t>
    <phoneticPr fontId="2" type="noConversion"/>
  </si>
  <si>
    <t>SAMPLE 진행 사항(10일)</t>
    <phoneticPr fontId="2" type="noConversion"/>
  </si>
  <si>
    <t>상측박힘수리</t>
    <phoneticPr fontId="2" type="noConversion"/>
  </si>
  <si>
    <t>HDB08PL-96L5(4C)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</si>
  <si>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</si>
  <si>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</si>
  <si>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t>NP413-254-056#IN-A</t>
    <phoneticPr fontId="2" type="noConversion"/>
  </si>
  <si>
    <t>설비</t>
    <phoneticPr fontId="2" type="noConversion"/>
  </si>
  <si>
    <t>6</t>
    <phoneticPr fontId="2" type="noConversion"/>
  </si>
  <si>
    <t>미성형정지</t>
    <phoneticPr fontId="2" type="noConversion"/>
  </si>
  <si>
    <r>
      <t>2020년 09월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</si>
  <si>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LID/BASE</t>
    <phoneticPr fontId="2" type="noConversion"/>
  </si>
  <si>
    <t>ODT</t>
    <phoneticPr fontId="2" type="noConversion"/>
  </si>
  <si>
    <t>12V</t>
    <phoneticPr fontId="2" type="noConversion"/>
  </si>
  <si>
    <t>SW-003072</t>
    <phoneticPr fontId="2" type="noConversion"/>
  </si>
  <si>
    <t>LEB2211</t>
    <phoneticPr fontId="2" type="noConversion"/>
  </si>
  <si>
    <t>전일 ISSUE 사항(11일)</t>
    <phoneticPr fontId="2" type="noConversion"/>
  </si>
  <si>
    <t>상측BURR수리</t>
    <phoneticPr fontId="2" type="noConversion"/>
  </si>
  <si>
    <t>BURR수리</t>
    <phoneticPr fontId="2" type="noConversion"/>
  </si>
  <si>
    <t>당일 진행 사항(12일)</t>
    <phoneticPr fontId="2" type="noConversion"/>
  </si>
  <si>
    <t>SAMPLE 진행 사항(11일)</t>
    <phoneticPr fontId="2" type="noConversion"/>
  </si>
  <si>
    <t>HDB08NL-78T4(4C)</t>
    <phoneticPr fontId="2" type="noConversion"/>
  </si>
  <si>
    <t>BURR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</si>
  <si>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</si>
  <si>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</si>
  <si>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2020년 09월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</si>
  <si>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전일 ISSUE 사항(12일)</t>
    <phoneticPr fontId="2" type="noConversion"/>
  </si>
  <si>
    <t>가스정지</t>
    <phoneticPr fontId="2" type="noConversion"/>
  </si>
  <si>
    <t>당일 진행 사항(14일)</t>
    <phoneticPr fontId="2" type="noConversion"/>
  </si>
  <si>
    <t>RIVET</t>
    <phoneticPr fontId="2" type="noConversion"/>
  </si>
  <si>
    <t>SW-003205</t>
    <phoneticPr fontId="2" type="noConversion"/>
  </si>
  <si>
    <t>CASE</t>
    <phoneticPr fontId="2" type="noConversion"/>
  </si>
  <si>
    <t>SAMPLE 진행 사항(12일)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</si>
  <si>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</si>
  <si>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</si>
  <si>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2020년 09월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</si>
  <si>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RV1.0-1.2HD-1.15A1</t>
    <phoneticPr fontId="2" type="noConversion"/>
  </si>
  <si>
    <t>RTP</t>
    <phoneticPr fontId="2" type="noConversion"/>
  </si>
  <si>
    <t>PC B/K</t>
    <phoneticPr fontId="2" type="noConversion"/>
  </si>
  <si>
    <t>전일 ISSUE 사항(14일)</t>
    <phoneticPr fontId="2" type="noConversion"/>
  </si>
  <si>
    <t>치수확인후양산-&gt;2회진행</t>
    <phoneticPr fontId="2" type="noConversion"/>
  </si>
  <si>
    <t>뜯김수리-&gt;코아파손정지</t>
    <phoneticPr fontId="2" type="noConversion"/>
  </si>
  <si>
    <t>당일 진행 사항(15일)</t>
    <phoneticPr fontId="2" type="noConversion"/>
  </si>
  <si>
    <t>승인후양산</t>
    <phoneticPr fontId="2" type="noConversion"/>
  </si>
  <si>
    <t>K-JR01928-B01AZE</t>
    <phoneticPr fontId="2" type="noConversion"/>
  </si>
  <si>
    <t>SAMPLE 진행 사항(14일)</t>
    <phoneticPr fontId="2" type="noConversion"/>
  </si>
  <si>
    <t>HDBF05-M02B1(2C)</t>
    <phoneticPr fontId="2" type="noConversion"/>
  </si>
  <si>
    <t>12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</si>
  <si>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</si>
  <si>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</si>
  <si>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2020년 09월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</si>
  <si>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AMB1915B-KAA-R1</t>
    <phoneticPr fontId="2" type="noConversion"/>
  </si>
  <si>
    <t>전일 ISSUE 사항(15일)</t>
    <phoneticPr fontId="2" type="noConversion"/>
  </si>
  <si>
    <t>승인후양산-&gt;1C파손막음</t>
    <phoneticPr fontId="2" type="noConversion"/>
  </si>
  <si>
    <t>치수확인후양산</t>
    <phoneticPr fontId="2" type="noConversion"/>
  </si>
  <si>
    <t>당일 진행 사항(16일)</t>
    <phoneticPr fontId="2" type="noConversion"/>
  </si>
  <si>
    <t>K-JR01928-G01BWA</t>
    <phoneticPr fontId="2" type="noConversion"/>
  </si>
  <si>
    <t>NP595-352-012#IN</t>
    <phoneticPr fontId="2" type="noConversion"/>
  </si>
  <si>
    <t>K-JR01928-C01AWB</t>
    <phoneticPr fontId="2" type="noConversion"/>
  </si>
  <si>
    <t>SAMPLE 진행 사항(15일)</t>
    <phoneticPr fontId="2" type="noConversion"/>
  </si>
  <si>
    <t>KR6166-GP200JA</t>
    <phoneticPr fontId="2" type="noConversion"/>
  </si>
  <si>
    <t>BLUE</t>
    <phoneticPr fontId="2" type="noConversion"/>
  </si>
  <si>
    <t>KR6105-B273UA</t>
    <phoneticPr fontId="2" type="noConversion"/>
  </si>
  <si>
    <t>이관</t>
    <phoneticPr fontId="2" type="noConversion"/>
  </si>
  <si>
    <t>뜯김2회진행</t>
    <phoneticPr fontId="2" type="noConversion"/>
  </si>
  <si>
    <t>KR6105-D315UA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</si>
  <si>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</si>
  <si>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</si>
  <si>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2020년 09월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</si>
  <si>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SGF203</t>
    <phoneticPr fontId="2" type="noConversion"/>
  </si>
  <si>
    <t>SGP2030R</t>
    <phoneticPr fontId="2" type="noConversion"/>
  </si>
  <si>
    <t>KR6182-B624CB</t>
    <phoneticPr fontId="2" type="noConversion"/>
  </si>
  <si>
    <t>전일 ISSUE 사항(16일)</t>
    <phoneticPr fontId="2" type="noConversion"/>
  </si>
  <si>
    <t>노즐수리후양산</t>
    <phoneticPr fontId="2" type="noConversion"/>
  </si>
  <si>
    <t>발주분양산-&gt;뜯김2회정지</t>
    <phoneticPr fontId="2" type="noConversion"/>
  </si>
  <si>
    <t>1C파손막음</t>
    <phoneticPr fontId="2" type="noConversion"/>
  </si>
  <si>
    <t>당일 진행 사항(17일)</t>
    <phoneticPr fontId="2" type="noConversion"/>
  </si>
  <si>
    <t>수정후양산</t>
    <phoneticPr fontId="2" type="noConversion"/>
  </si>
  <si>
    <t>K-JR01887-A221ATA</t>
    <phoneticPr fontId="2" type="noConversion"/>
  </si>
  <si>
    <t>11</t>
    <phoneticPr fontId="2" type="noConversion"/>
  </si>
  <si>
    <t>SAMPLE 진행 사항(16일)</t>
    <phoneticPr fontId="2" type="noConversion"/>
  </si>
  <si>
    <t>AMB1930B-KAA-R1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</si>
  <si>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</si>
  <si>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</si>
  <si>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2020년 09월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</si>
  <si>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JD4901</t>
    <phoneticPr fontId="2" type="noConversion"/>
  </si>
  <si>
    <t>전일 ISSUE 사항(17일)</t>
    <phoneticPr fontId="2" type="noConversion"/>
  </si>
  <si>
    <t>3</t>
    <phoneticPr fontId="2" type="noConversion"/>
  </si>
  <si>
    <t>수정후양산-&gt;수정안됨</t>
    <phoneticPr fontId="2" type="noConversion"/>
  </si>
  <si>
    <t>발주분양산-&gt;코아파손수리</t>
    <phoneticPr fontId="2" type="noConversion"/>
  </si>
  <si>
    <t>NP413-082-092#GP</t>
    <phoneticPr fontId="2" type="noConversion"/>
  </si>
  <si>
    <t>NP413-187-092#IN-A</t>
    <phoneticPr fontId="2" type="noConversion"/>
  </si>
  <si>
    <t>K-JR01887-B221AUA</t>
    <phoneticPr fontId="2" type="noConversion"/>
  </si>
  <si>
    <t>KR6152-GE130AB</t>
    <phoneticPr fontId="2" type="noConversion"/>
  </si>
  <si>
    <t>금형 수리 내역(17일)</t>
    <phoneticPr fontId="2" type="noConversion"/>
  </si>
  <si>
    <t>SAMPLE 진행 사항(17일)</t>
    <phoneticPr fontId="2" type="noConversion"/>
  </si>
  <si>
    <t>당일 진행 사항(18일)</t>
    <phoneticPr fontId="2" type="noConversion"/>
  </si>
  <si>
    <t>설비 점검 내역(17일)</t>
    <phoneticPr fontId="2" type="noConversion"/>
  </si>
  <si>
    <r>
      <t>2020년 09월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</si>
  <si>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K-JR01887-G03CBA</t>
    <phoneticPr fontId="2" type="noConversion"/>
  </si>
  <si>
    <t xml:space="preserve">SGF2030 </t>
    <phoneticPr fontId="2" type="noConversion"/>
  </si>
  <si>
    <t>전일 ISSUE 사항(18일)</t>
    <phoneticPr fontId="2" type="noConversion"/>
  </si>
  <si>
    <t>치수확인후양산-&gt;1C뜯김막음</t>
    <phoneticPr fontId="2" type="noConversion"/>
  </si>
  <si>
    <t>밀핀파손수리</t>
    <phoneticPr fontId="2" type="noConversion"/>
  </si>
  <si>
    <t>발주분양산-&gt;게이트막힘-&gt;오조립수리</t>
    <phoneticPr fontId="2" type="noConversion"/>
  </si>
  <si>
    <t>1C수리후양산</t>
    <phoneticPr fontId="2" type="noConversion"/>
  </si>
  <si>
    <t>288C84A-B122D</t>
    <phoneticPr fontId="2" type="noConversion"/>
  </si>
  <si>
    <t>당일 진행 사항(21일)</t>
    <phoneticPr fontId="2" type="noConversion"/>
  </si>
  <si>
    <t>OKINS</t>
    <phoneticPr fontId="2" type="noConversion"/>
  </si>
  <si>
    <t>BURR정지</t>
    <phoneticPr fontId="2" type="noConversion"/>
  </si>
  <si>
    <t>KR6105-GP063AC</t>
    <phoneticPr fontId="2" type="noConversion"/>
  </si>
  <si>
    <t>KR6105-C315TA</t>
    <phoneticPr fontId="2" type="noConversion"/>
  </si>
  <si>
    <t>KR6105-F315UA</t>
    <phoneticPr fontId="2" type="noConversion"/>
  </si>
  <si>
    <t>SAMPLE 진행 사항(18일)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</si>
  <si>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</si>
  <si>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</si>
  <si>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t>에젝타 이상</t>
    <phoneticPr fontId="2" type="noConversion"/>
  </si>
  <si>
    <t>에젝타스크류 교환 예정</t>
    <phoneticPr fontId="2" type="noConversion"/>
  </si>
  <si>
    <t>스미토모</t>
    <phoneticPr fontId="2" type="noConversion"/>
  </si>
  <si>
    <t>지급요청</t>
    <phoneticPr fontId="2" type="noConversion"/>
  </si>
  <si>
    <r>
      <t>2020년 09월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</si>
  <si>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8301</t>
    <phoneticPr fontId="2" type="noConversion"/>
  </si>
  <si>
    <t>전일 ISSUE 사항(21일)</t>
    <phoneticPr fontId="2" type="noConversion"/>
  </si>
  <si>
    <t>KR6105-C315TC</t>
    <phoneticPr fontId="2" type="noConversion"/>
  </si>
  <si>
    <t>런너막힘수리후양산</t>
    <phoneticPr fontId="2" type="noConversion"/>
  </si>
  <si>
    <t>발주분양산&gt;오조립수리</t>
    <phoneticPr fontId="2" type="noConversion"/>
  </si>
  <si>
    <t>당일 진행 사항(22일)</t>
    <phoneticPr fontId="2" type="noConversion"/>
  </si>
  <si>
    <t>NP413-187-092#IN-B</t>
    <phoneticPr fontId="2" type="noConversion"/>
  </si>
  <si>
    <t>KR6422-B589CA</t>
    <phoneticPr fontId="2" type="noConversion"/>
  </si>
  <si>
    <t>SAMPLE 진행 사항(21일)</t>
    <phoneticPr fontId="2" type="noConversion"/>
  </si>
  <si>
    <t>LEAD GUIDER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</si>
  <si>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</si>
  <si>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</si>
  <si>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2020년 09월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</si>
  <si>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전일 ISSUE 사항(22일)</t>
    <phoneticPr fontId="2" type="noConversion"/>
  </si>
  <si>
    <t>뜯김2회수리</t>
    <phoneticPr fontId="2" type="noConversion"/>
  </si>
  <si>
    <t>발주분양산-&gt;상측박힘-&gt;단차수리</t>
    <phoneticPr fontId="2" type="noConversion"/>
  </si>
  <si>
    <t>1C파손 막음</t>
    <phoneticPr fontId="2" type="noConversion"/>
  </si>
  <si>
    <t>당일 진행 사항(23일)</t>
    <phoneticPr fontId="2" type="noConversion"/>
  </si>
  <si>
    <t>SHAFT</t>
    <phoneticPr fontId="2" type="noConversion"/>
  </si>
  <si>
    <t>KR6197-06KA</t>
    <phoneticPr fontId="2" type="noConversion"/>
  </si>
  <si>
    <t>HDBF05-M04B1</t>
    <phoneticPr fontId="2" type="noConversion"/>
  </si>
  <si>
    <t>대치분양산</t>
    <phoneticPr fontId="2" type="noConversion"/>
  </si>
  <si>
    <t>SW-003072(12V)</t>
    <phoneticPr fontId="2" type="noConversion"/>
  </si>
  <si>
    <t>AMM0890A-KAA-R1</t>
    <phoneticPr fontId="2" type="noConversion"/>
  </si>
  <si>
    <t>SAMPLE 진행 사항(22일)</t>
    <phoneticPr fontId="2" type="noConversion"/>
  </si>
  <si>
    <t>KR6405-E03TA</t>
    <phoneticPr fontId="2" type="noConversion"/>
  </si>
  <si>
    <t>LATCH</t>
    <phoneticPr fontId="2" type="noConversion"/>
  </si>
  <si>
    <t>KR6197-GS153PNB</t>
    <phoneticPr fontId="2" type="noConversion"/>
  </si>
  <si>
    <t>SF2250EPR N/P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</si>
  <si>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</si>
  <si>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</si>
  <si>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2020년 09월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</si>
  <si>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JCL3030</t>
    <phoneticPr fontId="2" type="noConversion"/>
  </si>
  <si>
    <t>LEN2211</t>
    <phoneticPr fontId="2" type="noConversion"/>
  </si>
  <si>
    <t>전일 ISSUE 사항(23일)</t>
    <phoneticPr fontId="2" type="noConversion"/>
  </si>
  <si>
    <t>미성형수리</t>
    <phoneticPr fontId="2" type="noConversion"/>
  </si>
  <si>
    <t>당일 진행 사항(24일)</t>
    <phoneticPr fontId="2" type="noConversion"/>
  </si>
  <si>
    <t>KR6166BB299UA</t>
    <phoneticPr fontId="2" type="noConversion"/>
  </si>
  <si>
    <t>SAMPLE 진행 사항(23일)</t>
    <phoneticPr fontId="2" type="noConversion"/>
  </si>
  <si>
    <t>치수NG2회진행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</si>
  <si>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</si>
  <si>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</si>
  <si>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2020년 09월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</si>
  <si>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전일 ISSUE 사항(24일)</t>
    <phoneticPr fontId="2" type="noConversion"/>
  </si>
  <si>
    <t>발주분양산-&gt;코아파손수리-&gt;미성형정지</t>
    <phoneticPr fontId="2" type="noConversion"/>
  </si>
  <si>
    <t>발주분양산-&gt;코아파손3회정지</t>
    <phoneticPr fontId="2" type="noConversion"/>
  </si>
  <si>
    <t>런너박힘,상측박힘수리</t>
    <phoneticPr fontId="2" type="noConversion"/>
  </si>
  <si>
    <t>당일 진행 사항(25일)</t>
    <phoneticPr fontId="2" type="noConversion"/>
  </si>
  <si>
    <t>3159016</t>
    <phoneticPr fontId="2" type="noConversion"/>
  </si>
  <si>
    <t>GUIDE</t>
    <phoneticPr fontId="2" type="noConversion"/>
  </si>
  <si>
    <t>SAMPLE 진행 사항(24일)</t>
    <phoneticPr fontId="2" type="noConversion"/>
  </si>
  <si>
    <t>HDB08QL-102L5</t>
    <phoneticPr fontId="2" type="noConversion"/>
  </si>
  <si>
    <t>HDB08QL-102S2</t>
    <phoneticPr fontId="2" type="noConversion"/>
  </si>
  <si>
    <t>KR6304-ER01TA</t>
    <phoneticPr fontId="2" type="noConversion"/>
  </si>
  <si>
    <t>ROLLER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</si>
  <si>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</si>
  <si>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</si>
  <si>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t>수리완료</t>
    <phoneticPr fontId="2" type="noConversion"/>
  </si>
  <si>
    <t>설비 점검 내역(25일)</t>
    <phoneticPr fontId="2" type="noConversion"/>
  </si>
  <si>
    <t>금형 수리 내역(25일)</t>
    <phoneticPr fontId="2" type="noConversion"/>
  </si>
  <si>
    <r>
      <t>2020년 09월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</si>
  <si>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38P</t>
    <phoneticPr fontId="2" type="noConversion"/>
  </si>
  <si>
    <t>AM0164A-A</t>
    <phoneticPr fontId="2" type="noConversion"/>
  </si>
  <si>
    <t>E PR</t>
    <phoneticPr fontId="2" type="noConversion"/>
  </si>
  <si>
    <t>전일 ISSUE 사항(25일)</t>
    <phoneticPr fontId="2" type="noConversion"/>
  </si>
  <si>
    <t>수리후양산-&gt;뜯김2회-&gt;오조립-&gt;코아파손정지</t>
    <phoneticPr fontId="2" type="noConversion"/>
  </si>
  <si>
    <t>수리후양산-&gt;코아파손3회정지</t>
    <phoneticPr fontId="2" type="noConversion"/>
  </si>
  <si>
    <t>당일 진행 사항(26일)</t>
    <phoneticPr fontId="2" type="noConversion"/>
  </si>
  <si>
    <t>SAMPLE 진행 사항(25일)</t>
    <phoneticPr fontId="2" type="noConversion"/>
  </si>
  <si>
    <t>HDB08QL-102C3</t>
    <phoneticPr fontId="2" type="noConversion"/>
  </si>
  <si>
    <t>CR02</t>
    <phoneticPr fontId="2" type="noConversion"/>
  </si>
  <si>
    <t>HDB08QL-102T4</t>
    <phoneticPr fontId="2" type="noConversion"/>
  </si>
  <si>
    <t>HDB08QL-102B1</t>
    <phoneticPr fontId="2" type="noConversion"/>
  </si>
  <si>
    <r>
      <t>2020년 09월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</si>
  <si>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사항(26일)</t>
    <phoneticPr fontId="2" type="noConversion"/>
  </si>
  <si>
    <t>당일 진행 사항(27일)</t>
    <phoneticPr fontId="2" type="noConversion"/>
  </si>
  <si>
    <t>SAMPLE 진행 사항(26일)</t>
    <phoneticPr fontId="2" type="noConversion"/>
  </si>
  <si>
    <t>HDB75-M01A4-1</t>
    <phoneticPr fontId="2" type="noConversion"/>
  </si>
  <si>
    <t>KR6197-GR254PNB</t>
    <phoneticPr fontId="2" type="noConversion"/>
  </si>
  <si>
    <t>SF2255EPR N/P</t>
    <phoneticPr fontId="2" type="noConversion"/>
  </si>
  <si>
    <t>오조립2회진행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</si>
  <si>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</si>
  <si>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</si>
  <si>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2020년 09월 27일(주간)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</si>
  <si>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전일 ISSUE 사항(27일)</t>
    <phoneticPr fontId="2" type="noConversion"/>
  </si>
  <si>
    <t>이물제거2회</t>
    <phoneticPr fontId="2" type="noConversion"/>
  </si>
  <si>
    <t>5</t>
    <phoneticPr fontId="2" type="noConversion"/>
  </si>
  <si>
    <t>STOPPER</t>
    <phoneticPr fontId="2" type="noConversion"/>
  </si>
  <si>
    <t>KR6197-D475PA</t>
    <phoneticPr fontId="2" type="noConversion"/>
  </si>
  <si>
    <t>코아파손정지</t>
    <phoneticPr fontId="2" type="noConversion"/>
  </si>
  <si>
    <t>당일 진행 사항(28일)</t>
    <phoneticPr fontId="2" type="noConversion"/>
  </si>
  <si>
    <t>HR03A-06A1</t>
    <phoneticPr fontId="2" type="noConversion"/>
  </si>
  <si>
    <t>발주분양산</t>
    <phoneticPr fontId="2" type="noConversion"/>
  </si>
  <si>
    <t>HICON</t>
    <phoneticPr fontId="2" type="noConversion"/>
  </si>
  <si>
    <t>6</t>
    <phoneticPr fontId="2" type="noConversion"/>
  </si>
  <si>
    <t>LATCH</t>
    <phoneticPr fontId="2" type="noConversion"/>
  </si>
  <si>
    <t>OKINS</t>
    <phoneticPr fontId="2" type="noConversion"/>
  </si>
  <si>
    <t>7</t>
    <phoneticPr fontId="2" type="noConversion"/>
  </si>
  <si>
    <t>BASE</t>
    <phoneticPr fontId="2" type="noConversion"/>
  </si>
  <si>
    <t>OK75SSD-050-T32-BA-1</t>
    <phoneticPr fontId="2" type="noConversion"/>
  </si>
  <si>
    <t>SAMPLE 진행 사항(27일)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</si>
  <si>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</si>
  <si>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</si>
  <si>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2020년 09월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</si>
  <si>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KR6414-D414PA</t>
    <phoneticPr fontId="2" type="noConversion"/>
  </si>
  <si>
    <t>PLATE</t>
    <phoneticPr fontId="2" type="noConversion"/>
  </si>
  <si>
    <t>CAM</t>
    <phoneticPr fontId="2" type="noConversion"/>
  </si>
  <si>
    <t>전일 ISSUE 사항(28일)</t>
    <phoneticPr fontId="2" type="noConversion"/>
  </si>
  <si>
    <t>코아파손3회정지</t>
    <phoneticPr fontId="2" type="noConversion"/>
  </si>
  <si>
    <t>KR6414-D475PA</t>
    <phoneticPr fontId="2" type="noConversion"/>
  </si>
  <si>
    <t>발주분양산-&gt;하측박힘3회정지</t>
    <phoneticPr fontId="2" type="noConversion"/>
  </si>
  <si>
    <t>발주분양산-&gt;뜯김4회-&gt;BURR정지</t>
    <phoneticPr fontId="2" type="noConversion"/>
  </si>
  <si>
    <t>3107002</t>
    <phoneticPr fontId="2" type="noConversion"/>
  </si>
  <si>
    <t>BURR수리후양산</t>
    <phoneticPr fontId="2" type="noConversion"/>
  </si>
  <si>
    <t>당일 진행 사항(29일)</t>
    <phoneticPr fontId="2" type="noConversion"/>
  </si>
  <si>
    <t>SAMPLE 진행 사항(28일)</t>
    <phoneticPr fontId="2" type="noConversion"/>
  </si>
  <si>
    <t>KR6166-GAB178QA</t>
    <phoneticPr fontId="2" type="noConversion"/>
  </si>
  <si>
    <t>SF2255 N/P</t>
    <phoneticPr fontId="2" type="noConversion"/>
  </si>
  <si>
    <t>NP595-352-012#LB-1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</si>
  <si>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</si>
  <si>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</si>
  <si>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2020년 09월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</si>
  <si>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AMB0443A-KAA-R1</t>
    <phoneticPr fontId="2" type="noConversion"/>
  </si>
  <si>
    <t>전일 ISSUE 사항(29일)</t>
    <phoneticPr fontId="2" type="noConversion"/>
  </si>
  <si>
    <t>세척후양산-&gt;뜯김정지</t>
    <phoneticPr fontId="2" type="noConversion"/>
  </si>
  <si>
    <t>BURR2회정지</t>
    <phoneticPr fontId="2" type="noConversion"/>
  </si>
  <si>
    <t>AMB07M4A-KAA-R1</t>
    <phoneticPr fontId="2" type="noConversion"/>
  </si>
  <si>
    <t>AMB0102B-JAA-R2</t>
    <phoneticPr fontId="2" type="noConversion"/>
  </si>
  <si>
    <t>BURR확인후양산</t>
    <phoneticPr fontId="2" type="noConversion"/>
  </si>
  <si>
    <t>SAMPLE 진행 사항(29일)</t>
    <phoneticPr fontId="2" type="noConversion"/>
  </si>
  <si>
    <t>금형 수리 내역(29일)</t>
    <phoneticPr fontId="2" type="noConversion"/>
  </si>
  <si>
    <t>설비 점검 내역(29일)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</si>
</sst>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58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1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2C 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'01'!$L$6:$L$21</c:f>
              <c:numCache>
                <c:formatCode>_(* #,##0_);_(* \(#,##0\);_(* "-"_);_(@_)</c:formatCode>
                <c:ptCount val="16"/>
                <c:pt idx="0">
                  <c:v>5719</c:v>
                </c:pt>
                <c:pt idx="1">
                  <c:v>3683</c:v>
                </c:pt>
                <c:pt idx="2">
                  <c:v>4739</c:v>
                </c:pt>
                <c:pt idx="3">
                  <c:v>1537</c:v>
                </c:pt>
                <c:pt idx="4">
                  <c:v>6693</c:v>
                </c:pt>
                <c:pt idx="6">
                  <c:v>1194</c:v>
                </c:pt>
                <c:pt idx="7">
                  <c:v>497</c:v>
                </c:pt>
                <c:pt idx="12">
                  <c:v>9380</c:v>
                </c:pt>
                <c:pt idx="13">
                  <c:v>4031</c:v>
                </c:pt>
                <c:pt idx="14">
                  <c:v>24696</c:v>
                </c:pt>
                <c:pt idx="15">
                  <c:v>35600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F-4D01-AF62-BBEFFE3F6369}"/>
            </c:ext>
          </c:extLst>
        </c:ser>
        <c:ser>
          <c:idx val="1"/>
          <c:order val="1"/>
          <c:tx>
            <c:v>계획</c:v>
          </c:tx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2C 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'01'!$J$6:$J$21</c:f>
              <c:numCache>
                <c:formatCode>_(* #,##0_);_(* \(#,##0\);_(* "-"_);_(@_)</c:formatCode>
                <c:ptCount val="16"/>
                <c:pt idx="0">
                  <c:v>5719</c:v>
                </c:pt>
                <c:pt idx="1">
                  <c:v>3683</c:v>
                </c:pt>
                <c:pt idx="2">
                  <c:v>4739</c:v>
                </c:pt>
                <c:pt idx="3">
                  <c:v>1537</c:v>
                </c:pt>
                <c:pt idx="4">
                  <c:v>6693</c:v>
                </c:pt>
                <c:pt idx="5">
                  <c:v>14223</c:v>
                </c:pt>
                <c:pt idx="6">
                  <c:v>1194</c:v>
                </c:pt>
                <c:pt idx="7">
                  <c:v>497</c:v>
                </c:pt>
                <c:pt idx="8">
                  <c:v>112</c:v>
                </c:pt>
                <c:pt idx="9">
                  <c:v>5033</c:v>
                </c:pt>
                <c:pt idx="10">
                  <c:v>495</c:v>
                </c:pt>
                <c:pt idx="11">
                  <c:v>5947</c:v>
                </c:pt>
                <c:pt idx="12">
                  <c:v>9380</c:v>
                </c:pt>
                <c:pt idx="13">
                  <c:v>4031</c:v>
                </c:pt>
                <c:pt idx="14">
                  <c:v>24696</c:v>
                </c:pt>
                <c:pt idx="15">
                  <c:v>35600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F-4D01-AF62-BBEFFE3F6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'01'!$AD$6:$AD$21</c:f>
              <c:strCache>
                <c:ptCount val="16"/>
                <c:pt idx="0">
                  <c:v>100%</c:v>
                </c:pt>
                <c:pt idx="1">
                  <c:v>63%</c:v>
                </c:pt>
                <c:pt idx="2">
                  <c:v>100%</c:v>
                </c:pt>
                <c:pt idx="3">
                  <c:v>38%</c:v>
                </c:pt>
                <c:pt idx="4">
                  <c:v>100%</c:v>
                </c:pt>
                <c:pt idx="5">
                  <c:v>0%</c:v>
                </c:pt>
                <c:pt idx="6">
                  <c:v>29%</c:v>
                </c:pt>
                <c:pt idx="7">
                  <c:v>13%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79%</c:v>
                </c:pt>
                <c:pt idx="14">
                  <c:v>100%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2C 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'01'!$AD$6:$AD$21</c:f>
              <c:numCache>
                <c:formatCode>0%</c:formatCode>
                <c:ptCount val="16"/>
                <c:pt idx="0">
                  <c:v>1</c:v>
                </c:pt>
                <c:pt idx="1">
                  <c:v>0.625</c:v>
                </c:pt>
                <c:pt idx="2">
                  <c:v>1</c:v>
                </c:pt>
                <c:pt idx="3">
                  <c:v>0.375</c:v>
                </c:pt>
                <c:pt idx="4">
                  <c:v>1</c:v>
                </c:pt>
                <c:pt idx="5">
                  <c:v>0</c:v>
                </c:pt>
                <c:pt idx="6">
                  <c:v>0.29166666666666669</c:v>
                </c:pt>
                <c:pt idx="7">
                  <c:v>0.125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0.79166666666666663</c:v>
                </c:pt>
                <c:pt idx="14">
                  <c:v>1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8-4EA0-A1FA-18B2F035CBB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B8-4EA0-A1FA-18B2F035CB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2C 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'01'!$AE$6:$AE$21</c:f>
              <c:numCache>
                <c:formatCode>0%</c:formatCode>
                <c:ptCount val="16"/>
                <c:pt idx="0">
                  <c:v>0.46614583333333337</c:v>
                </c:pt>
                <c:pt idx="1">
                  <c:v>0.46614583333333337</c:v>
                </c:pt>
                <c:pt idx="2">
                  <c:v>0.46614583333333337</c:v>
                </c:pt>
                <c:pt idx="3">
                  <c:v>0.46614583333333337</c:v>
                </c:pt>
                <c:pt idx="4">
                  <c:v>0.46614583333333337</c:v>
                </c:pt>
                <c:pt idx="5">
                  <c:v>0.46614583333333337</c:v>
                </c:pt>
                <c:pt idx="6">
                  <c:v>0.46614583333333337</c:v>
                </c:pt>
                <c:pt idx="7">
                  <c:v>0.46614583333333337</c:v>
                </c:pt>
                <c:pt idx="8">
                  <c:v>0.46614583333333337</c:v>
                </c:pt>
                <c:pt idx="9">
                  <c:v>0.46614583333333337</c:v>
                </c:pt>
                <c:pt idx="10">
                  <c:v>0.46614583333333337</c:v>
                </c:pt>
                <c:pt idx="11">
                  <c:v>0.46614583333333337</c:v>
                </c:pt>
                <c:pt idx="12">
                  <c:v>0.46614583333333337</c:v>
                </c:pt>
                <c:pt idx="13">
                  <c:v>0.46614583333333337</c:v>
                </c:pt>
                <c:pt idx="14">
                  <c:v>0.46614583333333337</c:v>
                </c:pt>
                <c:pt idx="15">
                  <c:v>0.46614583333333337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8-4EA0-A1FA-18B2F035C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2C 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'01'!$L$6:$L$21</c:f>
              <c:numCache>
                <c:formatCode>_(* #,##0_);_(* \(#,##0\);_(* "-"_);_(@_)</c:formatCode>
                <c:ptCount val="16"/>
                <c:pt idx="0">
                  <c:v>5719</c:v>
                </c:pt>
                <c:pt idx="1">
                  <c:v>3683</c:v>
                </c:pt>
                <c:pt idx="2">
                  <c:v>4739</c:v>
                </c:pt>
                <c:pt idx="3">
                  <c:v>1537</c:v>
                </c:pt>
                <c:pt idx="4">
                  <c:v>6693</c:v>
                </c:pt>
                <c:pt idx="6">
                  <c:v>1194</c:v>
                </c:pt>
                <c:pt idx="7">
                  <c:v>497</c:v>
                </c:pt>
                <c:pt idx="12">
                  <c:v>9380</c:v>
                </c:pt>
                <c:pt idx="13">
                  <c:v>4031</c:v>
                </c:pt>
                <c:pt idx="14">
                  <c:v>24696</c:v>
                </c:pt>
                <c:pt idx="15">
                  <c:v>35600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2-4651-9603-8F7B742E27A9}"/>
            </c:ext>
          </c:extLst>
        </c:ser>
        <c:ser>
          <c:idx val="1"/>
          <c:order val="1"/>
          <c:tx>
            <c:v>계획</c:v>
          </c:tx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2C 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'01'!$J$6:$J$21</c:f>
              <c:numCache>
                <c:formatCode>_(* #,##0_);_(* \(#,##0\);_(* "-"_);_(@_)</c:formatCode>
                <c:ptCount val="16"/>
                <c:pt idx="0">
                  <c:v>5719</c:v>
                </c:pt>
                <c:pt idx="1">
                  <c:v>3683</c:v>
                </c:pt>
                <c:pt idx="2">
                  <c:v>4739</c:v>
                </c:pt>
                <c:pt idx="3">
                  <c:v>1537</c:v>
                </c:pt>
                <c:pt idx="4">
                  <c:v>6693</c:v>
                </c:pt>
                <c:pt idx="5">
                  <c:v>14223</c:v>
                </c:pt>
                <c:pt idx="6">
                  <c:v>1194</c:v>
                </c:pt>
                <c:pt idx="7">
                  <c:v>497</c:v>
                </c:pt>
                <c:pt idx="8">
                  <c:v>112</c:v>
                </c:pt>
                <c:pt idx="9">
                  <c:v>5033</c:v>
                </c:pt>
                <c:pt idx="10">
                  <c:v>495</c:v>
                </c:pt>
                <c:pt idx="11">
                  <c:v>5947</c:v>
                </c:pt>
                <c:pt idx="12">
                  <c:v>9380</c:v>
                </c:pt>
                <c:pt idx="13">
                  <c:v>4031</c:v>
                </c:pt>
                <c:pt idx="14">
                  <c:v>24696</c:v>
                </c:pt>
                <c:pt idx="15">
                  <c:v>35600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2-4651-9603-8F7B742E2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'01'!$AD$6:$AD$21</c:f>
              <c:strCache>
                <c:ptCount val="16"/>
                <c:pt idx="0">
                  <c:v>100%</c:v>
                </c:pt>
                <c:pt idx="1">
                  <c:v>63%</c:v>
                </c:pt>
                <c:pt idx="2">
                  <c:v>100%</c:v>
                </c:pt>
                <c:pt idx="3">
                  <c:v>38%</c:v>
                </c:pt>
                <c:pt idx="4">
                  <c:v>100%</c:v>
                </c:pt>
                <c:pt idx="5">
                  <c:v>0%</c:v>
                </c:pt>
                <c:pt idx="6">
                  <c:v>29%</c:v>
                </c:pt>
                <c:pt idx="7">
                  <c:v>13%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79%</c:v>
                </c:pt>
                <c:pt idx="14">
                  <c:v>100%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2C 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'01'!$AD$6:$AD$21</c:f>
              <c:numCache>
                <c:formatCode>0%</c:formatCode>
                <c:ptCount val="16"/>
                <c:pt idx="0">
                  <c:v>1</c:v>
                </c:pt>
                <c:pt idx="1">
                  <c:v>0.625</c:v>
                </c:pt>
                <c:pt idx="2">
                  <c:v>1</c:v>
                </c:pt>
                <c:pt idx="3">
                  <c:v>0.375</c:v>
                </c:pt>
                <c:pt idx="4">
                  <c:v>1</c:v>
                </c:pt>
                <c:pt idx="5">
                  <c:v>0</c:v>
                </c:pt>
                <c:pt idx="6">
                  <c:v>0.29166666666666669</c:v>
                </c:pt>
                <c:pt idx="7">
                  <c:v>0.125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0.79166666666666663</c:v>
                </c:pt>
                <c:pt idx="14">
                  <c:v>1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A-45C2-B550-AF674307857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6A-45C2-B550-AF67430785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2C 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'01'!$AE$6:$AE$21</c:f>
              <c:numCache>
                <c:formatCode>0%</c:formatCode>
                <c:ptCount val="16"/>
                <c:pt idx="0">
                  <c:v>0.46614583333333337</c:v>
                </c:pt>
                <c:pt idx="1">
                  <c:v>0.46614583333333337</c:v>
                </c:pt>
                <c:pt idx="2">
                  <c:v>0.46614583333333337</c:v>
                </c:pt>
                <c:pt idx="3">
                  <c:v>0.46614583333333337</c:v>
                </c:pt>
                <c:pt idx="4">
                  <c:v>0.46614583333333337</c:v>
                </c:pt>
                <c:pt idx="5">
                  <c:v>0.46614583333333337</c:v>
                </c:pt>
                <c:pt idx="6">
                  <c:v>0.46614583333333337</c:v>
                </c:pt>
                <c:pt idx="7">
                  <c:v>0.46614583333333337</c:v>
                </c:pt>
                <c:pt idx="8">
                  <c:v>0.46614583333333337</c:v>
                </c:pt>
                <c:pt idx="9">
                  <c:v>0.46614583333333337</c:v>
                </c:pt>
                <c:pt idx="10">
                  <c:v>0.46614583333333337</c:v>
                </c:pt>
                <c:pt idx="11">
                  <c:v>0.46614583333333337</c:v>
                </c:pt>
                <c:pt idx="12">
                  <c:v>0.46614583333333337</c:v>
                </c:pt>
                <c:pt idx="13">
                  <c:v>0.46614583333333337</c:v>
                </c:pt>
                <c:pt idx="14">
                  <c:v>0.46614583333333337</c:v>
                </c:pt>
                <c:pt idx="15">
                  <c:v>0.46614583333333337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6A-45C2-B550-AF6743078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AE7-4A51-A2CC-13444CCD6D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E7-4A51-A2CC-13444CCD6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AE7-4A51-A2CC-13444CCD6D2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E7-4A51-A2CC-13444CCD6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0">
                  <c:v>4896</c:v>
                </c:pt>
                <c:pt idx="1">
                  <c:v>2801</c:v>
                </c:pt>
                <c:pt idx="2">
                  <c:v>3866</c:v>
                </c:pt>
                <c:pt idx="3">
                  <c:v>3702</c:v>
                </c:pt>
                <c:pt idx="4">
                  <c:v>6634</c:v>
                </c:pt>
                <c:pt idx="6">
                  <c:v>3773</c:v>
                </c:pt>
                <c:pt idx="7">
                  <c:v>585</c:v>
                </c:pt>
                <c:pt idx="13">
                  <c:v>10984</c:v>
                </c:pt>
                <c:pt idx="14">
                  <c:v>4046</c:v>
                </c:pt>
                <c:pt idx="15">
                  <c:v>26472</c:v>
                </c:pt>
                <c:pt idx="16">
                  <c:v>34392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4-4AA0-9108-E2CB42324C76}"/>
            </c:ext>
          </c:extLst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4896</c:v>
                </c:pt>
                <c:pt idx="1">
                  <c:v>2801</c:v>
                </c:pt>
                <c:pt idx="2">
                  <c:v>3866</c:v>
                </c:pt>
                <c:pt idx="3">
                  <c:v>3702</c:v>
                </c:pt>
                <c:pt idx="4">
                  <c:v>6634</c:v>
                </c:pt>
                <c:pt idx="5">
                  <c:v>14223</c:v>
                </c:pt>
                <c:pt idx="6">
                  <c:v>3773</c:v>
                </c:pt>
                <c:pt idx="7">
                  <c:v>585</c:v>
                </c:pt>
                <c:pt idx="8">
                  <c:v>497</c:v>
                </c:pt>
                <c:pt idx="9">
                  <c:v>112</c:v>
                </c:pt>
                <c:pt idx="10">
                  <c:v>5033</c:v>
                </c:pt>
                <c:pt idx="11">
                  <c:v>495</c:v>
                </c:pt>
                <c:pt idx="12">
                  <c:v>5947</c:v>
                </c:pt>
                <c:pt idx="13">
                  <c:v>10984</c:v>
                </c:pt>
                <c:pt idx="14">
                  <c:v>4046</c:v>
                </c:pt>
                <c:pt idx="15">
                  <c:v>26472</c:v>
                </c:pt>
                <c:pt idx="16">
                  <c:v>34392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4-4AA0-9108-E2CB42324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7"/>
                <c:pt idx="0">
                  <c:v>92%</c:v>
                </c:pt>
                <c:pt idx="1">
                  <c:v>54%</c:v>
                </c:pt>
                <c:pt idx="2">
                  <c:v>83%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79%</c:v>
                </c:pt>
                <c:pt idx="7">
                  <c:v>17%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88%</c:v>
                </c:pt>
                <c:pt idx="15">
                  <c:v>100%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0.91666666666666663</c:v>
                </c:pt>
                <c:pt idx="1">
                  <c:v>0.54166666666666663</c:v>
                </c:pt>
                <c:pt idx="2">
                  <c:v>0.83333333333333337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0.79166666666666663</c:v>
                </c:pt>
                <c:pt idx="7">
                  <c:v>0.16666666666666666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0.875</c:v>
                </c:pt>
                <c:pt idx="15">
                  <c:v>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AE-4DA6-82BC-B5C808C5C3C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AE-4DA6-82BC-B5C808C5C3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0.49264705882352944</c:v>
                </c:pt>
                <c:pt idx="1">
                  <c:v>0.49264705882352944</c:v>
                </c:pt>
                <c:pt idx="2">
                  <c:v>0.49264705882352944</c:v>
                </c:pt>
                <c:pt idx="3">
                  <c:v>0.49264705882352944</c:v>
                </c:pt>
                <c:pt idx="4">
                  <c:v>0.49264705882352944</c:v>
                </c:pt>
                <c:pt idx="5">
                  <c:v>0.49264705882352944</c:v>
                </c:pt>
                <c:pt idx="6">
                  <c:v>0.49264705882352944</c:v>
                </c:pt>
                <c:pt idx="7">
                  <c:v>0.49264705882352944</c:v>
                </c:pt>
                <c:pt idx="8">
                  <c:v>0.49264705882352944</c:v>
                </c:pt>
                <c:pt idx="9">
                  <c:v>0.49264705882352944</c:v>
                </c:pt>
                <c:pt idx="10">
                  <c:v>0.49264705882352944</c:v>
                </c:pt>
                <c:pt idx="11">
                  <c:v>0.49264705882352944</c:v>
                </c:pt>
                <c:pt idx="12">
                  <c:v>0.49264705882352944</c:v>
                </c:pt>
                <c:pt idx="13">
                  <c:v>0.49264705882352944</c:v>
                </c:pt>
                <c:pt idx="14">
                  <c:v>0.49264705882352944</c:v>
                </c:pt>
                <c:pt idx="15">
                  <c:v>0.49264705882352944</c:v>
                </c:pt>
                <c:pt idx="16">
                  <c:v>0.49264705882352944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AE-4DA6-82BC-B5C808C5C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0">
                  <c:v>4896</c:v>
                </c:pt>
                <c:pt idx="1">
                  <c:v>2801</c:v>
                </c:pt>
                <c:pt idx="2">
                  <c:v>3866</c:v>
                </c:pt>
                <c:pt idx="3">
                  <c:v>3702</c:v>
                </c:pt>
                <c:pt idx="4">
                  <c:v>6634</c:v>
                </c:pt>
                <c:pt idx="6">
                  <c:v>3773</c:v>
                </c:pt>
                <c:pt idx="7">
                  <c:v>585</c:v>
                </c:pt>
                <c:pt idx="13">
                  <c:v>10984</c:v>
                </c:pt>
                <c:pt idx="14">
                  <c:v>4046</c:v>
                </c:pt>
                <c:pt idx="15">
                  <c:v>26472</c:v>
                </c:pt>
                <c:pt idx="16">
                  <c:v>34392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8-4DB3-ABDC-F5170DD04B12}"/>
            </c:ext>
          </c:extLst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4896</c:v>
                </c:pt>
                <c:pt idx="1">
                  <c:v>2801</c:v>
                </c:pt>
                <c:pt idx="2">
                  <c:v>3866</c:v>
                </c:pt>
                <c:pt idx="3">
                  <c:v>3702</c:v>
                </c:pt>
                <c:pt idx="4">
                  <c:v>6634</c:v>
                </c:pt>
                <c:pt idx="5">
                  <c:v>14223</c:v>
                </c:pt>
                <c:pt idx="6">
                  <c:v>3773</c:v>
                </c:pt>
                <c:pt idx="7">
                  <c:v>585</c:v>
                </c:pt>
                <c:pt idx="8">
                  <c:v>497</c:v>
                </c:pt>
                <c:pt idx="9">
                  <c:v>112</c:v>
                </c:pt>
                <c:pt idx="10">
                  <c:v>5033</c:v>
                </c:pt>
                <c:pt idx="11">
                  <c:v>495</c:v>
                </c:pt>
                <c:pt idx="12">
                  <c:v>5947</c:v>
                </c:pt>
                <c:pt idx="13">
                  <c:v>10984</c:v>
                </c:pt>
                <c:pt idx="14">
                  <c:v>4046</c:v>
                </c:pt>
                <c:pt idx="15">
                  <c:v>26472</c:v>
                </c:pt>
                <c:pt idx="16">
                  <c:v>34392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8-4DB3-ABDC-F5170DD04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7"/>
                <c:pt idx="0">
                  <c:v>92%</c:v>
                </c:pt>
                <c:pt idx="1">
                  <c:v>54%</c:v>
                </c:pt>
                <c:pt idx="2">
                  <c:v>83%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79%</c:v>
                </c:pt>
                <c:pt idx="7">
                  <c:v>17%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88%</c:v>
                </c:pt>
                <c:pt idx="15">
                  <c:v>100%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0.91666666666666663</c:v>
                </c:pt>
                <c:pt idx="1">
                  <c:v>0.54166666666666663</c:v>
                </c:pt>
                <c:pt idx="2">
                  <c:v>0.83333333333333337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0.79166666666666663</c:v>
                </c:pt>
                <c:pt idx="7">
                  <c:v>0.16666666666666666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0.875</c:v>
                </c:pt>
                <c:pt idx="15">
                  <c:v>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D-4ED7-900D-38CD48139D6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CD-4ED7-900D-38CD48139D6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0.49264705882352944</c:v>
                </c:pt>
                <c:pt idx="1">
                  <c:v>0.49264705882352944</c:v>
                </c:pt>
                <c:pt idx="2">
                  <c:v>0.49264705882352944</c:v>
                </c:pt>
                <c:pt idx="3">
                  <c:v>0.49264705882352944</c:v>
                </c:pt>
                <c:pt idx="4">
                  <c:v>0.49264705882352944</c:v>
                </c:pt>
                <c:pt idx="5">
                  <c:v>0.49264705882352944</c:v>
                </c:pt>
                <c:pt idx="6">
                  <c:v>0.49264705882352944</c:v>
                </c:pt>
                <c:pt idx="7">
                  <c:v>0.49264705882352944</c:v>
                </c:pt>
                <c:pt idx="8">
                  <c:v>0.49264705882352944</c:v>
                </c:pt>
                <c:pt idx="9">
                  <c:v>0.49264705882352944</c:v>
                </c:pt>
                <c:pt idx="10">
                  <c:v>0.49264705882352944</c:v>
                </c:pt>
                <c:pt idx="11">
                  <c:v>0.49264705882352944</c:v>
                </c:pt>
                <c:pt idx="12">
                  <c:v>0.49264705882352944</c:v>
                </c:pt>
                <c:pt idx="13">
                  <c:v>0.49264705882352944</c:v>
                </c:pt>
                <c:pt idx="14">
                  <c:v>0.49264705882352944</c:v>
                </c:pt>
                <c:pt idx="15">
                  <c:v>0.49264705882352944</c:v>
                </c:pt>
                <c:pt idx="16">
                  <c:v>0.49264705882352944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CD-4ED7-900D-38CD4813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C34-4D00-B2B2-F7A753E059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34-4D00-B2B2-F7A753E05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C34-4D00-B2B2-F7A753E059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34-4D00-B2B2-F7A753E05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'03'!$D$6:$D$23</c:f>
              <c:strCache>
                <c:ptCount val="17"/>
                <c:pt idx="0">
                  <c:v>ADAPTER</c:v>
                </c:pt>
                <c:pt idx="1">
                  <c:v>F/A</c:v>
                </c:pt>
                <c:pt idx="2">
                  <c:v>SLIDER</c:v>
                </c:pt>
                <c:pt idx="3">
                  <c:v>COVER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STOPPER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'03'!$L$6:$L$23</c:f>
              <c:numCache>
                <c:formatCode>_(* #,##0_);_(* \(#,##0\);_(* "-"_);_(@_)</c:formatCode>
                <c:ptCount val="18"/>
                <c:pt idx="0">
                  <c:v>784</c:v>
                </c:pt>
                <c:pt idx="1">
                  <c:v>690</c:v>
                </c:pt>
                <c:pt idx="3">
                  <c:v>4536</c:v>
                </c:pt>
                <c:pt idx="5">
                  <c:v>6720</c:v>
                </c:pt>
                <c:pt idx="7">
                  <c:v>1083</c:v>
                </c:pt>
                <c:pt idx="8">
                  <c:v>1071</c:v>
                </c:pt>
                <c:pt idx="14">
                  <c:v>8131</c:v>
                </c:pt>
                <c:pt idx="15">
                  <c:v>2998</c:v>
                </c:pt>
                <c:pt idx="16">
                  <c:v>26188</c:v>
                </c:pt>
                <c:pt idx="17">
                  <c:v>35932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8-4D6E-BDFE-6325A4B64CD9}"/>
            </c:ext>
          </c:extLst>
        </c:ser>
        <c:ser>
          <c:idx val="1"/>
          <c:order val="1"/>
          <c:tx>
            <c:v>계획</c:v>
          </c:tx>
          <c:cat>
            <c:strRef>
              <c:f>'03'!$D$6:$D$23</c:f>
              <c:strCache>
                <c:ptCount val="17"/>
                <c:pt idx="0">
                  <c:v>ADAPTER</c:v>
                </c:pt>
                <c:pt idx="1">
                  <c:v>F/A</c:v>
                </c:pt>
                <c:pt idx="2">
                  <c:v>SLIDER</c:v>
                </c:pt>
                <c:pt idx="3">
                  <c:v>COVER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STOPPER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'03'!$J$6:$J$23</c:f>
              <c:numCache>
                <c:formatCode>_(* #,##0_);_(* \(#,##0\);_(* "-"_);_(@_)</c:formatCode>
                <c:ptCount val="18"/>
                <c:pt idx="0">
                  <c:v>784</c:v>
                </c:pt>
                <c:pt idx="1">
                  <c:v>690</c:v>
                </c:pt>
                <c:pt idx="2">
                  <c:v>2801</c:v>
                </c:pt>
                <c:pt idx="3">
                  <c:v>4536</c:v>
                </c:pt>
                <c:pt idx="4">
                  <c:v>3702</c:v>
                </c:pt>
                <c:pt idx="5">
                  <c:v>6720</c:v>
                </c:pt>
                <c:pt idx="6">
                  <c:v>14223</c:v>
                </c:pt>
                <c:pt idx="7">
                  <c:v>1083</c:v>
                </c:pt>
                <c:pt idx="8">
                  <c:v>1071</c:v>
                </c:pt>
                <c:pt idx="9">
                  <c:v>497</c:v>
                </c:pt>
                <c:pt idx="10">
                  <c:v>112</c:v>
                </c:pt>
                <c:pt idx="11">
                  <c:v>5033</c:v>
                </c:pt>
                <c:pt idx="12">
                  <c:v>495</c:v>
                </c:pt>
                <c:pt idx="13">
                  <c:v>5947</c:v>
                </c:pt>
                <c:pt idx="14">
                  <c:v>8131</c:v>
                </c:pt>
                <c:pt idx="15">
                  <c:v>2998</c:v>
                </c:pt>
                <c:pt idx="16">
                  <c:v>26188</c:v>
                </c:pt>
                <c:pt idx="17">
                  <c:v>35932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8-4D6E-BDFE-6325A4B64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'03'!$AD$6:$AD$23</c:f>
              <c:strCache>
                <c:ptCount val="18"/>
                <c:pt idx="0">
                  <c:v>17%</c:v>
                </c:pt>
                <c:pt idx="1">
                  <c:v>17%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25%</c:v>
                </c:pt>
                <c:pt idx="8">
                  <c:v>25%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96%</c:v>
                </c:pt>
                <c:pt idx="15">
                  <c:v>63%</c:v>
                </c:pt>
                <c:pt idx="16">
                  <c:v>100%</c:v>
                </c:pt>
                <c:pt idx="17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ADAPTER</c:v>
                </c:pt>
                <c:pt idx="1">
                  <c:v>F/A</c:v>
                </c:pt>
                <c:pt idx="2">
                  <c:v>SLIDER</c:v>
                </c:pt>
                <c:pt idx="3">
                  <c:v>COVER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STOPPER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'03'!$AD$6:$AD$23</c:f>
              <c:numCache>
                <c:formatCode>0%</c:formatCode>
                <c:ptCount val="18"/>
                <c:pt idx="0">
                  <c:v>0.16666666666666666</c:v>
                </c:pt>
                <c:pt idx="1">
                  <c:v>0.16666666666666666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0.25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0.95833333333333337</c:v>
                </c:pt>
                <c:pt idx="15">
                  <c:v>0.625</c:v>
                </c:pt>
                <c:pt idx="16">
                  <c:v>1</c:v>
                </c:pt>
                <c:pt idx="17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8-4729-9E6E-05B9A75F6DC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F8-4729-9E6E-05B9A75F6D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ADAPTER</c:v>
                </c:pt>
                <c:pt idx="1">
                  <c:v>F/A</c:v>
                </c:pt>
                <c:pt idx="2">
                  <c:v>SLIDER</c:v>
                </c:pt>
                <c:pt idx="3">
                  <c:v>COVER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STOPPER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'03'!$AE$6:$AE$23</c:f>
              <c:numCache>
                <c:formatCode>0%</c:formatCode>
                <c:ptCount val="18"/>
                <c:pt idx="0">
                  <c:v>0.32638888888888884</c:v>
                </c:pt>
                <c:pt idx="1">
                  <c:v>0.32638888888888884</c:v>
                </c:pt>
                <c:pt idx="2">
                  <c:v>0.32638888888888884</c:v>
                </c:pt>
                <c:pt idx="3">
                  <c:v>0.32638888888888884</c:v>
                </c:pt>
                <c:pt idx="4">
                  <c:v>0.32638888888888884</c:v>
                </c:pt>
                <c:pt idx="5">
                  <c:v>0.32638888888888884</c:v>
                </c:pt>
                <c:pt idx="6">
                  <c:v>0.32638888888888884</c:v>
                </c:pt>
                <c:pt idx="7">
                  <c:v>0.32638888888888884</c:v>
                </c:pt>
                <c:pt idx="8">
                  <c:v>0.32638888888888884</c:v>
                </c:pt>
                <c:pt idx="9">
                  <c:v>0.32638888888888884</c:v>
                </c:pt>
                <c:pt idx="10">
                  <c:v>0.32638888888888884</c:v>
                </c:pt>
                <c:pt idx="11">
                  <c:v>0.32638888888888884</c:v>
                </c:pt>
                <c:pt idx="12">
                  <c:v>0.32638888888888884</c:v>
                </c:pt>
                <c:pt idx="13">
                  <c:v>0.32638888888888884</c:v>
                </c:pt>
                <c:pt idx="14">
                  <c:v>0.32638888888888884</c:v>
                </c:pt>
                <c:pt idx="15">
                  <c:v>0.32638888888888884</c:v>
                </c:pt>
                <c:pt idx="16">
                  <c:v>0.32638888888888884</c:v>
                </c:pt>
                <c:pt idx="17">
                  <c:v>0.32638888888888884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F8-4729-9E6E-05B9A75F6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'03'!$D$6:$D$23</c:f>
              <c:strCache>
                <c:ptCount val="17"/>
                <c:pt idx="0">
                  <c:v>ADAPTER</c:v>
                </c:pt>
                <c:pt idx="1">
                  <c:v>F/A</c:v>
                </c:pt>
                <c:pt idx="2">
                  <c:v>SLIDER</c:v>
                </c:pt>
                <c:pt idx="3">
                  <c:v>COVER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STOPPER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'03'!$L$6:$L$23</c:f>
              <c:numCache>
                <c:formatCode>_(* #,##0_);_(* \(#,##0\);_(* "-"_);_(@_)</c:formatCode>
                <c:ptCount val="18"/>
                <c:pt idx="0">
                  <c:v>784</c:v>
                </c:pt>
                <c:pt idx="1">
                  <c:v>690</c:v>
                </c:pt>
                <c:pt idx="3">
                  <c:v>4536</c:v>
                </c:pt>
                <c:pt idx="5">
                  <c:v>6720</c:v>
                </c:pt>
                <c:pt idx="7">
                  <c:v>1083</c:v>
                </c:pt>
                <c:pt idx="8">
                  <c:v>1071</c:v>
                </c:pt>
                <c:pt idx="14">
                  <c:v>8131</c:v>
                </c:pt>
                <c:pt idx="15">
                  <c:v>2998</c:v>
                </c:pt>
                <c:pt idx="16">
                  <c:v>26188</c:v>
                </c:pt>
                <c:pt idx="17">
                  <c:v>35932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BB-4F04-9E9D-524C8DB94737}"/>
            </c:ext>
          </c:extLst>
        </c:ser>
        <c:ser>
          <c:idx val="1"/>
          <c:order val="1"/>
          <c:tx>
            <c:v>계획</c:v>
          </c:tx>
          <c:cat>
            <c:strRef>
              <c:f>'03'!$D$6:$D$23</c:f>
              <c:strCache>
                <c:ptCount val="17"/>
                <c:pt idx="0">
                  <c:v>ADAPTER</c:v>
                </c:pt>
                <c:pt idx="1">
                  <c:v>F/A</c:v>
                </c:pt>
                <c:pt idx="2">
                  <c:v>SLIDER</c:v>
                </c:pt>
                <c:pt idx="3">
                  <c:v>COVER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STOPPER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'03'!$J$6:$J$23</c:f>
              <c:numCache>
                <c:formatCode>_(* #,##0_);_(* \(#,##0\);_(* "-"_);_(@_)</c:formatCode>
                <c:ptCount val="18"/>
                <c:pt idx="0">
                  <c:v>784</c:v>
                </c:pt>
                <c:pt idx="1">
                  <c:v>690</c:v>
                </c:pt>
                <c:pt idx="2">
                  <c:v>2801</c:v>
                </c:pt>
                <c:pt idx="3">
                  <c:v>4536</c:v>
                </c:pt>
                <c:pt idx="4">
                  <c:v>3702</c:v>
                </c:pt>
                <c:pt idx="5">
                  <c:v>6720</c:v>
                </c:pt>
                <c:pt idx="6">
                  <c:v>14223</c:v>
                </c:pt>
                <c:pt idx="7">
                  <c:v>1083</c:v>
                </c:pt>
                <c:pt idx="8">
                  <c:v>1071</c:v>
                </c:pt>
                <c:pt idx="9">
                  <c:v>497</c:v>
                </c:pt>
                <c:pt idx="10">
                  <c:v>112</c:v>
                </c:pt>
                <c:pt idx="11">
                  <c:v>5033</c:v>
                </c:pt>
                <c:pt idx="12">
                  <c:v>495</c:v>
                </c:pt>
                <c:pt idx="13">
                  <c:v>5947</c:v>
                </c:pt>
                <c:pt idx="14">
                  <c:v>8131</c:v>
                </c:pt>
                <c:pt idx="15">
                  <c:v>2998</c:v>
                </c:pt>
                <c:pt idx="16">
                  <c:v>26188</c:v>
                </c:pt>
                <c:pt idx="17">
                  <c:v>35932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BB-4F04-9E9D-524C8DB94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'03'!$AD$6:$AD$23</c:f>
              <c:strCache>
                <c:ptCount val="18"/>
                <c:pt idx="0">
                  <c:v>17%</c:v>
                </c:pt>
                <c:pt idx="1">
                  <c:v>17%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25%</c:v>
                </c:pt>
                <c:pt idx="8">
                  <c:v>25%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96%</c:v>
                </c:pt>
                <c:pt idx="15">
                  <c:v>63%</c:v>
                </c:pt>
                <c:pt idx="16">
                  <c:v>100%</c:v>
                </c:pt>
                <c:pt idx="17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ADAPTER</c:v>
                </c:pt>
                <c:pt idx="1">
                  <c:v>F/A</c:v>
                </c:pt>
                <c:pt idx="2">
                  <c:v>SLIDER</c:v>
                </c:pt>
                <c:pt idx="3">
                  <c:v>COVER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STOPPER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'03'!$AD$6:$AD$23</c:f>
              <c:numCache>
                <c:formatCode>0%</c:formatCode>
                <c:ptCount val="18"/>
                <c:pt idx="0">
                  <c:v>0.16666666666666666</c:v>
                </c:pt>
                <c:pt idx="1">
                  <c:v>0.16666666666666666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0.25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0.95833333333333337</c:v>
                </c:pt>
                <c:pt idx="15">
                  <c:v>0.625</c:v>
                </c:pt>
                <c:pt idx="16">
                  <c:v>1</c:v>
                </c:pt>
                <c:pt idx="17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7-4C38-89F6-68CDFD0055A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C7-4C38-89F6-68CDFD0055A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ADAPTER</c:v>
                </c:pt>
                <c:pt idx="1">
                  <c:v>F/A</c:v>
                </c:pt>
                <c:pt idx="2">
                  <c:v>SLIDER</c:v>
                </c:pt>
                <c:pt idx="3">
                  <c:v>COVER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BASE</c:v>
                </c:pt>
                <c:pt idx="8">
                  <c:v>STOPPER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'03'!$AE$6:$AE$23</c:f>
              <c:numCache>
                <c:formatCode>0%</c:formatCode>
                <c:ptCount val="18"/>
                <c:pt idx="0">
                  <c:v>0.32638888888888884</c:v>
                </c:pt>
                <c:pt idx="1">
                  <c:v>0.32638888888888884</c:v>
                </c:pt>
                <c:pt idx="2">
                  <c:v>0.32638888888888884</c:v>
                </c:pt>
                <c:pt idx="3">
                  <c:v>0.32638888888888884</c:v>
                </c:pt>
                <c:pt idx="4">
                  <c:v>0.32638888888888884</c:v>
                </c:pt>
                <c:pt idx="5">
                  <c:v>0.32638888888888884</c:v>
                </c:pt>
                <c:pt idx="6">
                  <c:v>0.32638888888888884</c:v>
                </c:pt>
                <c:pt idx="7">
                  <c:v>0.32638888888888884</c:v>
                </c:pt>
                <c:pt idx="8">
                  <c:v>0.32638888888888884</c:v>
                </c:pt>
                <c:pt idx="9">
                  <c:v>0.32638888888888884</c:v>
                </c:pt>
                <c:pt idx="10">
                  <c:v>0.32638888888888884</c:v>
                </c:pt>
                <c:pt idx="11">
                  <c:v>0.32638888888888884</c:v>
                </c:pt>
                <c:pt idx="12">
                  <c:v>0.32638888888888884</c:v>
                </c:pt>
                <c:pt idx="13">
                  <c:v>0.32638888888888884</c:v>
                </c:pt>
                <c:pt idx="14">
                  <c:v>0.32638888888888884</c:v>
                </c:pt>
                <c:pt idx="15">
                  <c:v>0.32638888888888884</c:v>
                </c:pt>
                <c:pt idx="16">
                  <c:v>0.32638888888888884</c:v>
                </c:pt>
                <c:pt idx="17">
                  <c:v>0.32638888888888884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C7-4C38-89F6-68CDFD005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F50-48DF-9343-D581EEFDB1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0-48DF-9343-D581EEFDB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F50-48DF-9343-D581EEFDB1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50-48DF-9343-D581EEFDB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4715</c:v>
                </c:pt>
                <c:pt idx="3">
                  <c:v>1102</c:v>
                </c:pt>
                <c:pt idx="4">
                  <c:v>6621</c:v>
                </c:pt>
                <c:pt idx="6">
                  <c:v>640</c:v>
                </c:pt>
                <c:pt idx="12">
                  <c:v>5074</c:v>
                </c:pt>
                <c:pt idx="13">
                  <c:v>5646</c:v>
                </c:pt>
                <c:pt idx="14">
                  <c:v>2933</c:v>
                </c:pt>
                <c:pt idx="15">
                  <c:v>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A-471F-B5A9-0E67B0C9F98C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2801</c:v>
                </c:pt>
                <c:pt idx="2">
                  <c:v>4715</c:v>
                </c:pt>
                <c:pt idx="3">
                  <c:v>1102</c:v>
                </c:pt>
                <c:pt idx="4">
                  <c:v>6621</c:v>
                </c:pt>
                <c:pt idx="5">
                  <c:v>14223</c:v>
                </c:pt>
                <c:pt idx="6">
                  <c:v>640</c:v>
                </c:pt>
                <c:pt idx="7">
                  <c:v>497</c:v>
                </c:pt>
                <c:pt idx="8">
                  <c:v>112</c:v>
                </c:pt>
                <c:pt idx="9">
                  <c:v>5033</c:v>
                </c:pt>
                <c:pt idx="10">
                  <c:v>495</c:v>
                </c:pt>
                <c:pt idx="11">
                  <c:v>5947</c:v>
                </c:pt>
                <c:pt idx="12">
                  <c:v>5074</c:v>
                </c:pt>
                <c:pt idx="13">
                  <c:v>5646</c:v>
                </c:pt>
                <c:pt idx="14">
                  <c:v>2933</c:v>
                </c:pt>
                <c:pt idx="15">
                  <c:v>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A-471F-B5A9-0E67B0C9F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100%</c:v>
                </c:pt>
                <c:pt idx="5">
                  <c:v>0%</c:v>
                </c:pt>
                <c:pt idx="6">
                  <c:v>17%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58%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1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0.58333333333333337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6A-4C36-8BC9-8BE2C9D71F0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6A-4C36-8BC9-8BE2C9D71F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0.31510416666666663</c:v>
                </c:pt>
                <c:pt idx="1">
                  <c:v>0.31510416666666663</c:v>
                </c:pt>
                <c:pt idx="2">
                  <c:v>0.31510416666666663</c:v>
                </c:pt>
                <c:pt idx="3">
                  <c:v>0.31510416666666663</c:v>
                </c:pt>
                <c:pt idx="4">
                  <c:v>0.31510416666666663</c:v>
                </c:pt>
                <c:pt idx="5">
                  <c:v>0.31510416666666663</c:v>
                </c:pt>
                <c:pt idx="6">
                  <c:v>0.31510416666666663</c:v>
                </c:pt>
                <c:pt idx="7">
                  <c:v>0.31510416666666663</c:v>
                </c:pt>
                <c:pt idx="8">
                  <c:v>0.31510416666666663</c:v>
                </c:pt>
                <c:pt idx="9">
                  <c:v>0.31510416666666663</c:v>
                </c:pt>
                <c:pt idx="10">
                  <c:v>0.31510416666666663</c:v>
                </c:pt>
                <c:pt idx="11">
                  <c:v>0.31510416666666663</c:v>
                </c:pt>
                <c:pt idx="12">
                  <c:v>0.31510416666666663</c:v>
                </c:pt>
                <c:pt idx="13">
                  <c:v>0.31510416666666663</c:v>
                </c:pt>
                <c:pt idx="14">
                  <c:v>0.31510416666666663</c:v>
                </c:pt>
                <c:pt idx="15">
                  <c:v>0.31510416666666663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6A-4C36-8BC9-8BE2C9D71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4715</c:v>
                </c:pt>
                <c:pt idx="3">
                  <c:v>1102</c:v>
                </c:pt>
                <c:pt idx="4">
                  <c:v>6621</c:v>
                </c:pt>
                <c:pt idx="6">
                  <c:v>640</c:v>
                </c:pt>
                <c:pt idx="12">
                  <c:v>5074</c:v>
                </c:pt>
                <c:pt idx="13">
                  <c:v>5646</c:v>
                </c:pt>
                <c:pt idx="14">
                  <c:v>2933</c:v>
                </c:pt>
                <c:pt idx="15">
                  <c:v>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5-44BA-823C-4520C9510BBC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2801</c:v>
                </c:pt>
                <c:pt idx="2">
                  <c:v>4715</c:v>
                </c:pt>
                <c:pt idx="3">
                  <c:v>1102</c:v>
                </c:pt>
                <c:pt idx="4">
                  <c:v>6621</c:v>
                </c:pt>
                <c:pt idx="5">
                  <c:v>14223</c:v>
                </c:pt>
                <c:pt idx="6">
                  <c:v>640</c:v>
                </c:pt>
                <c:pt idx="7">
                  <c:v>497</c:v>
                </c:pt>
                <c:pt idx="8">
                  <c:v>112</c:v>
                </c:pt>
                <c:pt idx="9">
                  <c:v>5033</c:v>
                </c:pt>
                <c:pt idx="10">
                  <c:v>495</c:v>
                </c:pt>
                <c:pt idx="11">
                  <c:v>5947</c:v>
                </c:pt>
                <c:pt idx="12">
                  <c:v>5074</c:v>
                </c:pt>
                <c:pt idx="13">
                  <c:v>5646</c:v>
                </c:pt>
                <c:pt idx="14">
                  <c:v>2933</c:v>
                </c:pt>
                <c:pt idx="15">
                  <c:v>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5-44BA-823C-4520C9510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100%</c:v>
                </c:pt>
                <c:pt idx="5">
                  <c:v>0%</c:v>
                </c:pt>
                <c:pt idx="6">
                  <c:v>17%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58%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1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0.58333333333333337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5-473B-BB17-88FE1045C38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5-473B-BB17-88FE1045C3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0.31510416666666663</c:v>
                </c:pt>
                <c:pt idx="1">
                  <c:v>0.31510416666666663</c:v>
                </c:pt>
                <c:pt idx="2">
                  <c:v>0.31510416666666663</c:v>
                </c:pt>
                <c:pt idx="3">
                  <c:v>0.31510416666666663</c:v>
                </c:pt>
                <c:pt idx="4">
                  <c:v>0.31510416666666663</c:v>
                </c:pt>
                <c:pt idx="5">
                  <c:v>0.31510416666666663</c:v>
                </c:pt>
                <c:pt idx="6">
                  <c:v>0.31510416666666663</c:v>
                </c:pt>
                <c:pt idx="7">
                  <c:v>0.31510416666666663</c:v>
                </c:pt>
                <c:pt idx="8">
                  <c:v>0.31510416666666663</c:v>
                </c:pt>
                <c:pt idx="9">
                  <c:v>0.31510416666666663</c:v>
                </c:pt>
                <c:pt idx="10">
                  <c:v>0.31510416666666663</c:v>
                </c:pt>
                <c:pt idx="11">
                  <c:v>0.31510416666666663</c:v>
                </c:pt>
                <c:pt idx="12">
                  <c:v>0.31510416666666663</c:v>
                </c:pt>
                <c:pt idx="13">
                  <c:v>0.31510416666666663</c:v>
                </c:pt>
                <c:pt idx="14">
                  <c:v>0.31510416666666663</c:v>
                </c:pt>
                <c:pt idx="15">
                  <c:v>0.31510416666666663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05-473B-BB17-88FE1045C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CB4-4373-8A79-ABA16E10D2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4-4373-8A79-ABA16E10D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CB4-4373-8A79-ABA16E10D2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B4-4373-8A79-ABA16E10D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1">
                  <c:v>972</c:v>
                </c:pt>
                <c:pt idx="2">
                  <c:v>2163</c:v>
                </c:pt>
                <c:pt idx="4">
                  <c:v>2957</c:v>
                </c:pt>
                <c:pt idx="12">
                  <c:v>4824</c:v>
                </c:pt>
                <c:pt idx="13">
                  <c:v>2387</c:v>
                </c:pt>
                <c:pt idx="14">
                  <c:v>2588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A-4368-BB23-92EDABB41417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972</c:v>
                </c:pt>
                <c:pt idx="2">
                  <c:v>2163</c:v>
                </c:pt>
                <c:pt idx="3">
                  <c:v>1102</c:v>
                </c:pt>
                <c:pt idx="4">
                  <c:v>2957</c:v>
                </c:pt>
                <c:pt idx="5">
                  <c:v>14223</c:v>
                </c:pt>
                <c:pt idx="6">
                  <c:v>640</c:v>
                </c:pt>
                <c:pt idx="7">
                  <c:v>497</c:v>
                </c:pt>
                <c:pt idx="8">
                  <c:v>112</c:v>
                </c:pt>
                <c:pt idx="9">
                  <c:v>5033</c:v>
                </c:pt>
                <c:pt idx="10">
                  <c:v>495</c:v>
                </c:pt>
                <c:pt idx="11">
                  <c:v>5947</c:v>
                </c:pt>
                <c:pt idx="12">
                  <c:v>4824</c:v>
                </c:pt>
                <c:pt idx="13">
                  <c:v>2387</c:v>
                </c:pt>
                <c:pt idx="14">
                  <c:v>2588</c:v>
                </c:pt>
                <c:pt idx="15">
                  <c:v>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A-4368-BB23-92EDABB41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0%</c:v>
                </c:pt>
                <c:pt idx="1">
                  <c:v>29%</c:v>
                </c:pt>
                <c:pt idx="2">
                  <c:v>46%</c:v>
                </c:pt>
                <c:pt idx="3">
                  <c:v>0%</c:v>
                </c:pt>
                <c:pt idx="4">
                  <c:v>46%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46%</c:v>
                </c:pt>
                <c:pt idx="13">
                  <c:v>46%</c:v>
                </c:pt>
                <c:pt idx="14">
                  <c:v>46%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0</c:v>
                </c:pt>
                <c:pt idx="1">
                  <c:v>0.29166666666666669</c:v>
                </c:pt>
                <c:pt idx="2">
                  <c:v>0.45833333333333331</c:v>
                </c:pt>
                <c:pt idx="3">
                  <c:v>0</c:v>
                </c:pt>
                <c:pt idx="4">
                  <c:v>0.45833333333333331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C-49EB-9C5E-9A5BADEF004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AC-49EB-9C5E-9A5BADEF004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0.16145833333333334</c:v>
                </c:pt>
                <c:pt idx="1">
                  <c:v>0.16145833333333334</c:v>
                </c:pt>
                <c:pt idx="2">
                  <c:v>0.16145833333333334</c:v>
                </c:pt>
                <c:pt idx="3">
                  <c:v>0.16145833333333334</c:v>
                </c:pt>
                <c:pt idx="4">
                  <c:v>0.16145833333333334</c:v>
                </c:pt>
                <c:pt idx="5">
                  <c:v>0.16145833333333334</c:v>
                </c:pt>
                <c:pt idx="6">
                  <c:v>0.16145833333333334</c:v>
                </c:pt>
                <c:pt idx="7">
                  <c:v>0.16145833333333334</c:v>
                </c:pt>
                <c:pt idx="8">
                  <c:v>0.16145833333333334</c:v>
                </c:pt>
                <c:pt idx="9">
                  <c:v>0.16145833333333334</c:v>
                </c:pt>
                <c:pt idx="10">
                  <c:v>0.16145833333333334</c:v>
                </c:pt>
                <c:pt idx="11">
                  <c:v>0.16145833333333334</c:v>
                </c:pt>
                <c:pt idx="12">
                  <c:v>0.16145833333333334</c:v>
                </c:pt>
                <c:pt idx="13">
                  <c:v>0.16145833333333334</c:v>
                </c:pt>
                <c:pt idx="14">
                  <c:v>0.16145833333333334</c:v>
                </c:pt>
                <c:pt idx="15">
                  <c:v>0.16145833333333334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AC-49EB-9C5E-9A5BADEF0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1">
                  <c:v>972</c:v>
                </c:pt>
                <c:pt idx="2">
                  <c:v>2163</c:v>
                </c:pt>
                <c:pt idx="4">
                  <c:v>2957</c:v>
                </c:pt>
                <c:pt idx="12">
                  <c:v>4824</c:v>
                </c:pt>
                <c:pt idx="13">
                  <c:v>2387</c:v>
                </c:pt>
                <c:pt idx="14">
                  <c:v>2588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6-4126-8147-08FA6A379B6B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972</c:v>
                </c:pt>
                <c:pt idx="2">
                  <c:v>2163</c:v>
                </c:pt>
                <c:pt idx="3">
                  <c:v>1102</c:v>
                </c:pt>
                <c:pt idx="4">
                  <c:v>2957</c:v>
                </c:pt>
                <c:pt idx="5">
                  <c:v>14223</c:v>
                </c:pt>
                <c:pt idx="6">
                  <c:v>640</c:v>
                </c:pt>
                <c:pt idx="7">
                  <c:v>497</c:v>
                </c:pt>
                <c:pt idx="8">
                  <c:v>112</c:v>
                </c:pt>
                <c:pt idx="9">
                  <c:v>5033</c:v>
                </c:pt>
                <c:pt idx="10">
                  <c:v>495</c:v>
                </c:pt>
                <c:pt idx="11">
                  <c:v>5947</c:v>
                </c:pt>
                <c:pt idx="12">
                  <c:v>4824</c:v>
                </c:pt>
                <c:pt idx="13">
                  <c:v>2387</c:v>
                </c:pt>
                <c:pt idx="14">
                  <c:v>2588</c:v>
                </c:pt>
                <c:pt idx="15">
                  <c:v>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36-4126-8147-08FA6A379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0%</c:v>
                </c:pt>
                <c:pt idx="1">
                  <c:v>29%</c:v>
                </c:pt>
                <c:pt idx="2">
                  <c:v>46%</c:v>
                </c:pt>
                <c:pt idx="3">
                  <c:v>0%</c:v>
                </c:pt>
                <c:pt idx="4">
                  <c:v>46%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46%</c:v>
                </c:pt>
                <c:pt idx="13">
                  <c:v>46%</c:v>
                </c:pt>
                <c:pt idx="14">
                  <c:v>46%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0</c:v>
                </c:pt>
                <c:pt idx="1">
                  <c:v>0.29166666666666669</c:v>
                </c:pt>
                <c:pt idx="2">
                  <c:v>0.45833333333333331</c:v>
                </c:pt>
                <c:pt idx="3">
                  <c:v>0</c:v>
                </c:pt>
                <c:pt idx="4">
                  <c:v>0.45833333333333331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A-43E7-89F1-DE3C2F7C039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7A-43E7-89F1-DE3C2F7C03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0.16145833333333334</c:v>
                </c:pt>
                <c:pt idx="1">
                  <c:v>0.16145833333333334</c:v>
                </c:pt>
                <c:pt idx="2">
                  <c:v>0.16145833333333334</c:v>
                </c:pt>
                <c:pt idx="3">
                  <c:v>0.16145833333333334</c:v>
                </c:pt>
                <c:pt idx="4">
                  <c:v>0.16145833333333334</c:v>
                </c:pt>
                <c:pt idx="5">
                  <c:v>0.16145833333333334</c:v>
                </c:pt>
                <c:pt idx="6">
                  <c:v>0.16145833333333334</c:v>
                </c:pt>
                <c:pt idx="7">
                  <c:v>0.16145833333333334</c:v>
                </c:pt>
                <c:pt idx="8">
                  <c:v>0.16145833333333334</c:v>
                </c:pt>
                <c:pt idx="9">
                  <c:v>0.16145833333333334</c:v>
                </c:pt>
                <c:pt idx="10">
                  <c:v>0.16145833333333334</c:v>
                </c:pt>
                <c:pt idx="11">
                  <c:v>0.16145833333333334</c:v>
                </c:pt>
                <c:pt idx="12">
                  <c:v>0.16145833333333334</c:v>
                </c:pt>
                <c:pt idx="13">
                  <c:v>0.16145833333333334</c:v>
                </c:pt>
                <c:pt idx="14">
                  <c:v>0.16145833333333334</c:v>
                </c:pt>
                <c:pt idx="15">
                  <c:v>0.16145833333333334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7A-43E7-89F1-DE3C2F7C0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09C-4E84-B03A-45737EC894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C-4E84-B03A-45737EC89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09C-4E84-B03A-45737EC8943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9C-4E84-B03A-45737EC89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1">
                  <c:v>5614</c:v>
                </c:pt>
                <c:pt idx="2">
                  <c:v>4452</c:v>
                </c:pt>
                <c:pt idx="3">
                  <c:v>2927</c:v>
                </c:pt>
                <c:pt idx="4">
                  <c:v>6280</c:v>
                </c:pt>
                <c:pt idx="12">
                  <c:v>7096</c:v>
                </c:pt>
                <c:pt idx="13">
                  <c:v>2899</c:v>
                </c:pt>
                <c:pt idx="14">
                  <c:v>4206</c:v>
                </c:pt>
                <c:pt idx="15">
                  <c:v>30816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4-4298-9F3D-F8F3158AC495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5614</c:v>
                </c:pt>
                <c:pt idx="2">
                  <c:v>4452</c:v>
                </c:pt>
                <c:pt idx="3">
                  <c:v>2927</c:v>
                </c:pt>
                <c:pt idx="4">
                  <c:v>6280</c:v>
                </c:pt>
                <c:pt idx="5">
                  <c:v>14223</c:v>
                </c:pt>
                <c:pt idx="6">
                  <c:v>640</c:v>
                </c:pt>
                <c:pt idx="7">
                  <c:v>497</c:v>
                </c:pt>
                <c:pt idx="8">
                  <c:v>112</c:v>
                </c:pt>
                <c:pt idx="9">
                  <c:v>5033</c:v>
                </c:pt>
                <c:pt idx="10">
                  <c:v>495</c:v>
                </c:pt>
                <c:pt idx="11">
                  <c:v>5947</c:v>
                </c:pt>
                <c:pt idx="12">
                  <c:v>7096</c:v>
                </c:pt>
                <c:pt idx="13">
                  <c:v>2899</c:v>
                </c:pt>
                <c:pt idx="14">
                  <c:v>4206</c:v>
                </c:pt>
                <c:pt idx="15">
                  <c:v>30816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4-4298-9F3D-F8F3158AC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67%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63%</c:v>
                </c:pt>
                <c:pt idx="14">
                  <c:v>79%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0.66666666666666663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0.625</c:v>
                </c:pt>
                <c:pt idx="14">
                  <c:v>0.79166666666666663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3-44BC-A0CE-2F4F2395922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53-44BC-A0CE-2F4F2395922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0.38802083333333337</c:v>
                </c:pt>
                <c:pt idx="1">
                  <c:v>0.38802083333333337</c:v>
                </c:pt>
                <c:pt idx="2">
                  <c:v>0.38802083333333337</c:v>
                </c:pt>
                <c:pt idx="3">
                  <c:v>0.38802083333333337</c:v>
                </c:pt>
                <c:pt idx="4">
                  <c:v>0.38802083333333337</c:v>
                </c:pt>
                <c:pt idx="5">
                  <c:v>0.38802083333333337</c:v>
                </c:pt>
                <c:pt idx="6">
                  <c:v>0.38802083333333337</c:v>
                </c:pt>
                <c:pt idx="7">
                  <c:v>0.38802083333333337</c:v>
                </c:pt>
                <c:pt idx="8">
                  <c:v>0.38802083333333337</c:v>
                </c:pt>
                <c:pt idx="9">
                  <c:v>0.38802083333333337</c:v>
                </c:pt>
                <c:pt idx="10">
                  <c:v>0.38802083333333337</c:v>
                </c:pt>
                <c:pt idx="11">
                  <c:v>0.38802083333333337</c:v>
                </c:pt>
                <c:pt idx="12">
                  <c:v>0.38802083333333337</c:v>
                </c:pt>
                <c:pt idx="13">
                  <c:v>0.38802083333333337</c:v>
                </c:pt>
                <c:pt idx="14">
                  <c:v>0.38802083333333337</c:v>
                </c:pt>
                <c:pt idx="15">
                  <c:v>0.38802083333333337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3-44BC-A0CE-2F4F23959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1">
                  <c:v>5614</c:v>
                </c:pt>
                <c:pt idx="2">
                  <c:v>4452</c:v>
                </c:pt>
                <c:pt idx="3">
                  <c:v>2927</c:v>
                </c:pt>
                <c:pt idx="4">
                  <c:v>6280</c:v>
                </c:pt>
                <c:pt idx="12">
                  <c:v>7096</c:v>
                </c:pt>
                <c:pt idx="13">
                  <c:v>2899</c:v>
                </c:pt>
                <c:pt idx="14">
                  <c:v>4206</c:v>
                </c:pt>
                <c:pt idx="15">
                  <c:v>30816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3-4FA4-8277-A64C9C8E6846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5614</c:v>
                </c:pt>
                <c:pt idx="2">
                  <c:v>4452</c:v>
                </c:pt>
                <c:pt idx="3">
                  <c:v>2927</c:v>
                </c:pt>
                <c:pt idx="4">
                  <c:v>6280</c:v>
                </c:pt>
                <c:pt idx="5">
                  <c:v>14223</c:v>
                </c:pt>
                <c:pt idx="6">
                  <c:v>640</c:v>
                </c:pt>
                <c:pt idx="7">
                  <c:v>497</c:v>
                </c:pt>
                <c:pt idx="8">
                  <c:v>112</c:v>
                </c:pt>
                <c:pt idx="9">
                  <c:v>5033</c:v>
                </c:pt>
                <c:pt idx="10">
                  <c:v>495</c:v>
                </c:pt>
                <c:pt idx="11">
                  <c:v>5947</c:v>
                </c:pt>
                <c:pt idx="12">
                  <c:v>7096</c:v>
                </c:pt>
                <c:pt idx="13">
                  <c:v>2899</c:v>
                </c:pt>
                <c:pt idx="14">
                  <c:v>4206</c:v>
                </c:pt>
                <c:pt idx="15">
                  <c:v>30816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03-4FA4-8277-A64C9C8E6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67%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63%</c:v>
                </c:pt>
                <c:pt idx="14">
                  <c:v>79%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0.66666666666666663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0.625</c:v>
                </c:pt>
                <c:pt idx="14">
                  <c:v>0.79166666666666663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91-458D-9984-D01E180E41F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91-458D-9984-D01E180E41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0.38802083333333337</c:v>
                </c:pt>
                <c:pt idx="1">
                  <c:v>0.38802083333333337</c:v>
                </c:pt>
                <c:pt idx="2">
                  <c:v>0.38802083333333337</c:v>
                </c:pt>
                <c:pt idx="3">
                  <c:v>0.38802083333333337</c:v>
                </c:pt>
                <c:pt idx="4">
                  <c:v>0.38802083333333337</c:v>
                </c:pt>
                <c:pt idx="5">
                  <c:v>0.38802083333333337</c:v>
                </c:pt>
                <c:pt idx="6">
                  <c:v>0.38802083333333337</c:v>
                </c:pt>
                <c:pt idx="7">
                  <c:v>0.38802083333333337</c:v>
                </c:pt>
                <c:pt idx="8">
                  <c:v>0.38802083333333337</c:v>
                </c:pt>
                <c:pt idx="9">
                  <c:v>0.38802083333333337</c:v>
                </c:pt>
                <c:pt idx="10">
                  <c:v>0.38802083333333337</c:v>
                </c:pt>
                <c:pt idx="11">
                  <c:v>0.38802083333333337</c:v>
                </c:pt>
                <c:pt idx="12">
                  <c:v>0.38802083333333337</c:v>
                </c:pt>
                <c:pt idx="13">
                  <c:v>0.38802083333333337</c:v>
                </c:pt>
                <c:pt idx="14">
                  <c:v>0.38802083333333337</c:v>
                </c:pt>
                <c:pt idx="15">
                  <c:v>0.38802083333333337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91-458D-9984-D01E180E4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24D-41F4-89DF-117FAC1050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D-41F4-89DF-117FAC105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24D-41F4-89DF-117FAC10500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4D-41F4-89DF-117FAC105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'08'!$L$6:$L$22</c:f>
              <c:numCache>
                <c:formatCode>_(* #,##0_);_(* \(#,##0\);_(* "-"_);_(@_)</c:formatCode>
                <c:ptCount val="17"/>
                <c:pt idx="1">
                  <c:v>6047</c:v>
                </c:pt>
                <c:pt idx="2">
                  <c:v>4746</c:v>
                </c:pt>
                <c:pt idx="3">
                  <c:v>3775</c:v>
                </c:pt>
                <c:pt idx="4">
                  <c:v>6678</c:v>
                </c:pt>
                <c:pt idx="9">
                  <c:v>2967</c:v>
                </c:pt>
                <c:pt idx="12">
                  <c:v>2680</c:v>
                </c:pt>
                <c:pt idx="13">
                  <c:v>1972</c:v>
                </c:pt>
                <c:pt idx="14">
                  <c:v>5033</c:v>
                </c:pt>
                <c:pt idx="15">
                  <c:v>4685</c:v>
                </c:pt>
                <c:pt idx="16">
                  <c:v>34860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2B-426E-873B-DEBBF076D6FF}"/>
            </c:ext>
          </c:extLst>
        </c:ser>
        <c:ser>
          <c:idx val="1"/>
          <c:order val="1"/>
          <c:tx>
            <c:v>계획</c:v>
          </c:tx>
          <c:cat>
            <c:strRef>
              <c:f>'08'!$D$6:$D$22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'08'!$J$6:$J$22</c:f>
              <c:numCache>
                <c:formatCode>_(* #,##0_);_(* \(#,##0\);_(* "-"_);_(@_)</c:formatCode>
                <c:ptCount val="17"/>
                <c:pt idx="0">
                  <c:v>690</c:v>
                </c:pt>
                <c:pt idx="1">
                  <c:v>6047</c:v>
                </c:pt>
                <c:pt idx="2">
                  <c:v>4746</c:v>
                </c:pt>
                <c:pt idx="3">
                  <c:v>3775</c:v>
                </c:pt>
                <c:pt idx="4">
                  <c:v>6678</c:v>
                </c:pt>
                <c:pt idx="5">
                  <c:v>14223</c:v>
                </c:pt>
                <c:pt idx="6">
                  <c:v>640</c:v>
                </c:pt>
                <c:pt idx="7">
                  <c:v>497</c:v>
                </c:pt>
                <c:pt idx="8">
                  <c:v>112</c:v>
                </c:pt>
                <c:pt idx="9">
                  <c:v>2967</c:v>
                </c:pt>
                <c:pt idx="10">
                  <c:v>495</c:v>
                </c:pt>
                <c:pt idx="11">
                  <c:v>5947</c:v>
                </c:pt>
                <c:pt idx="12">
                  <c:v>2680</c:v>
                </c:pt>
                <c:pt idx="13">
                  <c:v>1972</c:v>
                </c:pt>
                <c:pt idx="14">
                  <c:v>5033</c:v>
                </c:pt>
                <c:pt idx="15">
                  <c:v>4685</c:v>
                </c:pt>
                <c:pt idx="16">
                  <c:v>34860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B-426E-873B-DEBBF076D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67%</c:v>
                </c:pt>
                <c:pt idx="10">
                  <c:v>0%</c:v>
                </c:pt>
                <c:pt idx="11">
                  <c:v>0%</c:v>
                </c:pt>
                <c:pt idx="12">
                  <c:v>21%</c:v>
                </c:pt>
                <c:pt idx="13">
                  <c:v>42%</c:v>
                </c:pt>
                <c:pt idx="14">
                  <c:v>88%</c:v>
                </c:pt>
                <c:pt idx="15">
                  <c:v>88%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'08'!$AD$6:$AD$22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  <c:pt idx="10">
                  <c:v>0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0.41666666666666669</c:v>
                </c:pt>
                <c:pt idx="14">
                  <c:v>0.875</c:v>
                </c:pt>
                <c:pt idx="15">
                  <c:v>0.875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A-4F71-B770-7C3F497AC55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5A-4F71-B770-7C3F497AC5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'08'!$AE$6:$AE$22</c:f>
              <c:numCache>
                <c:formatCode>0%</c:formatCode>
                <c:ptCount val="17"/>
                <c:pt idx="0">
                  <c:v>0.43137254901960781</c:v>
                </c:pt>
                <c:pt idx="1">
                  <c:v>0.43137254901960781</c:v>
                </c:pt>
                <c:pt idx="2">
                  <c:v>0.43137254901960781</c:v>
                </c:pt>
                <c:pt idx="3">
                  <c:v>0.43137254901960781</c:v>
                </c:pt>
                <c:pt idx="4">
                  <c:v>0.43137254901960781</c:v>
                </c:pt>
                <c:pt idx="5">
                  <c:v>0.43137254901960781</c:v>
                </c:pt>
                <c:pt idx="6">
                  <c:v>0.43137254901960781</c:v>
                </c:pt>
                <c:pt idx="7">
                  <c:v>0.43137254901960781</c:v>
                </c:pt>
                <c:pt idx="8">
                  <c:v>0.43137254901960781</c:v>
                </c:pt>
                <c:pt idx="9">
                  <c:v>0.43137254901960781</c:v>
                </c:pt>
                <c:pt idx="10">
                  <c:v>0.43137254901960781</c:v>
                </c:pt>
                <c:pt idx="11">
                  <c:v>0.43137254901960781</c:v>
                </c:pt>
                <c:pt idx="12">
                  <c:v>0.43137254901960781</c:v>
                </c:pt>
                <c:pt idx="13">
                  <c:v>0.43137254901960781</c:v>
                </c:pt>
                <c:pt idx="14">
                  <c:v>0.43137254901960781</c:v>
                </c:pt>
                <c:pt idx="15">
                  <c:v>0.43137254901960781</c:v>
                </c:pt>
                <c:pt idx="16">
                  <c:v>0.43137254901960781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5A-4F71-B770-7C3F497AC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'08'!$L$6:$L$22</c:f>
              <c:numCache>
                <c:formatCode>_(* #,##0_);_(* \(#,##0\);_(* "-"_);_(@_)</c:formatCode>
                <c:ptCount val="17"/>
                <c:pt idx="1">
                  <c:v>6047</c:v>
                </c:pt>
                <c:pt idx="2">
                  <c:v>4746</c:v>
                </c:pt>
                <c:pt idx="3">
                  <c:v>3775</c:v>
                </c:pt>
                <c:pt idx="4">
                  <c:v>6678</c:v>
                </c:pt>
                <c:pt idx="9">
                  <c:v>2967</c:v>
                </c:pt>
                <c:pt idx="12">
                  <c:v>2680</c:v>
                </c:pt>
                <c:pt idx="13">
                  <c:v>1972</c:v>
                </c:pt>
                <c:pt idx="14">
                  <c:v>5033</c:v>
                </c:pt>
                <c:pt idx="15">
                  <c:v>4685</c:v>
                </c:pt>
                <c:pt idx="16">
                  <c:v>34860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E-45A3-8FD6-6003A5B8FF32}"/>
            </c:ext>
          </c:extLst>
        </c:ser>
        <c:ser>
          <c:idx val="1"/>
          <c:order val="1"/>
          <c:tx>
            <c:v>계획</c:v>
          </c:tx>
          <c:cat>
            <c:strRef>
              <c:f>'08'!$D$6:$D$22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'08'!$J$6:$J$22</c:f>
              <c:numCache>
                <c:formatCode>_(* #,##0_);_(* \(#,##0\);_(* "-"_);_(@_)</c:formatCode>
                <c:ptCount val="17"/>
                <c:pt idx="0">
                  <c:v>690</c:v>
                </c:pt>
                <c:pt idx="1">
                  <c:v>6047</c:v>
                </c:pt>
                <c:pt idx="2">
                  <c:v>4746</c:v>
                </c:pt>
                <c:pt idx="3">
                  <c:v>3775</c:v>
                </c:pt>
                <c:pt idx="4">
                  <c:v>6678</c:v>
                </c:pt>
                <c:pt idx="5">
                  <c:v>14223</c:v>
                </c:pt>
                <c:pt idx="6">
                  <c:v>640</c:v>
                </c:pt>
                <c:pt idx="7">
                  <c:v>497</c:v>
                </c:pt>
                <c:pt idx="8">
                  <c:v>112</c:v>
                </c:pt>
                <c:pt idx="9">
                  <c:v>2967</c:v>
                </c:pt>
                <c:pt idx="10">
                  <c:v>495</c:v>
                </c:pt>
                <c:pt idx="11">
                  <c:v>5947</c:v>
                </c:pt>
                <c:pt idx="12">
                  <c:v>2680</c:v>
                </c:pt>
                <c:pt idx="13">
                  <c:v>1972</c:v>
                </c:pt>
                <c:pt idx="14">
                  <c:v>5033</c:v>
                </c:pt>
                <c:pt idx="15">
                  <c:v>4685</c:v>
                </c:pt>
                <c:pt idx="16">
                  <c:v>34860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E-45A3-8FD6-6003A5B8F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67%</c:v>
                </c:pt>
                <c:pt idx="10">
                  <c:v>0%</c:v>
                </c:pt>
                <c:pt idx="11">
                  <c:v>0%</c:v>
                </c:pt>
                <c:pt idx="12">
                  <c:v>21%</c:v>
                </c:pt>
                <c:pt idx="13">
                  <c:v>42%</c:v>
                </c:pt>
                <c:pt idx="14">
                  <c:v>88%</c:v>
                </c:pt>
                <c:pt idx="15">
                  <c:v>88%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'08'!$AD$6:$AD$22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  <c:pt idx="10">
                  <c:v>0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0.41666666666666669</c:v>
                </c:pt>
                <c:pt idx="14">
                  <c:v>0.875</c:v>
                </c:pt>
                <c:pt idx="15">
                  <c:v>0.875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4-4471-BC1E-B9C213BAD5C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84-4471-BC1E-B9C213BAD5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'08'!$AE$6:$AE$22</c:f>
              <c:numCache>
                <c:formatCode>0%</c:formatCode>
                <c:ptCount val="17"/>
                <c:pt idx="0">
                  <c:v>0.43137254901960781</c:v>
                </c:pt>
                <c:pt idx="1">
                  <c:v>0.43137254901960781</c:v>
                </c:pt>
                <c:pt idx="2">
                  <c:v>0.43137254901960781</c:v>
                </c:pt>
                <c:pt idx="3">
                  <c:v>0.43137254901960781</c:v>
                </c:pt>
                <c:pt idx="4">
                  <c:v>0.43137254901960781</c:v>
                </c:pt>
                <c:pt idx="5">
                  <c:v>0.43137254901960781</c:v>
                </c:pt>
                <c:pt idx="6">
                  <c:v>0.43137254901960781</c:v>
                </c:pt>
                <c:pt idx="7">
                  <c:v>0.43137254901960781</c:v>
                </c:pt>
                <c:pt idx="8">
                  <c:v>0.43137254901960781</c:v>
                </c:pt>
                <c:pt idx="9">
                  <c:v>0.43137254901960781</c:v>
                </c:pt>
                <c:pt idx="10">
                  <c:v>0.43137254901960781</c:v>
                </c:pt>
                <c:pt idx="11">
                  <c:v>0.43137254901960781</c:v>
                </c:pt>
                <c:pt idx="12">
                  <c:v>0.43137254901960781</c:v>
                </c:pt>
                <c:pt idx="13">
                  <c:v>0.43137254901960781</c:v>
                </c:pt>
                <c:pt idx="14">
                  <c:v>0.43137254901960781</c:v>
                </c:pt>
                <c:pt idx="15">
                  <c:v>0.43137254901960781</c:v>
                </c:pt>
                <c:pt idx="16">
                  <c:v>0.43137254901960781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84-4471-BC1E-B9C213BAD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A8C-4291-AAF5-8E4AE0DA5A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C-4291-AAF5-8E4AE0DA5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A8C-4291-AAF5-8E4AE0DA5A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8C-4291-AAF5-8E4AE0DA5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LEAD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1">
                  <c:v>6028</c:v>
                </c:pt>
                <c:pt idx="2">
                  <c:v>4732</c:v>
                </c:pt>
                <c:pt idx="3">
                  <c:v>4115</c:v>
                </c:pt>
                <c:pt idx="4">
                  <c:v>6261</c:v>
                </c:pt>
                <c:pt idx="6">
                  <c:v>500</c:v>
                </c:pt>
                <c:pt idx="7">
                  <c:v>0</c:v>
                </c:pt>
                <c:pt idx="12">
                  <c:v>3729</c:v>
                </c:pt>
                <c:pt idx="13">
                  <c:v>5215</c:v>
                </c:pt>
                <c:pt idx="14">
                  <c:v>2333</c:v>
                </c:pt>
                <c:pt idx="15">
                  <c:v>35212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F8-4CDB-966C-20D3F33C3B6C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LEAD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6028</c:v>
                </c:pt>
                <c:pt idx="2">
                  <c:v>4732</c:v>
                </c:pt>
                <c:pt idx="3">
                  <c:v>4115</c:v>
                </c:pt>
                <c:pt idx="4">
                  <c:v>6261</c:v>
                </c:pt>
                <c:pt idx="5">
                  <c:v>14223</c:v>
                </c:pt>
                <c:pt idx="6">
                  <c:v>500</c:v>
                </c:pt>
                <c:pt idx="7">
                  <c:v>497</c:v>
                </c:pt>
                <c:pt idx="8">
                  <c:v>112</c:v>
                </c:pt>
                <c:pt idx="9">
                  <c:v>2967</c:v>
                </c:pt>
                <c:pt idx="10">
                  <c:v>495</c:v>
                </c:pt>
                <c:pt idx="11">
                  <c:v>5947</c:v>
                </c:pt>
                <c:pt idx="12">
                  <c:v>3729</c:v>
                </c:pt>
                <c:pt idx="13">
                  <c:v>5215</c:v>
                </c:pt>
                <c:pt idx="14">
                  <c:v>2333</c:v>
                </c:pt>
                <c:pt idx="15">
                  <c:v>35212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F8-4CDB-966C-20D3F33C3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83%</c:v>
                </c:pt>
                <c:pt idx="4">
                  <c:v>100%</c:v>
                </c:pt>
                <c:pt idx="5">
                  <c:v>0%</c:v>
                </c:pt>
                <c:pt idx="6">
                  <c:v>17%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92%</c:v>
                </c:pt>
                <c:pt idx="14">
                  <c:v>54%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LEAD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0.91666666666666663</c:v>
                </c:pt>
                <c:pt idx="14">
                  <c:v>0.54166666666666663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6-4F14-BCE0-81EC8A86C1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56-4F14-BCE0-81EC8A86C1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LEAD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0.41666666666666669</c:v>
                </c:pt>
                <c:pt idx="6">
                  <c:v>0.41666666666666669</c:v>
                </c:pt>
                <c:pt idx="7">
                  <c:v>0.41666666666666669</c:v>
                </c:pt>
                <c:pt idx="8">
                  <c:v>0.41666666666666669</c:v>
                </c:pt>
                <c:pt idx="9">
                  <c:v>0.41666666666666669</c:v>
                </c:pt>
                <c:pt idx="10">
                  <c:v>0.41666666666666669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0.41666666666666669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56-4F14-BCE0-81EC8A86C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LEAD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1">
                  <c:v>6028</c:v>
                </c:pt>
                <c:pt idx="2">
                  <c:v>4732</c:v>
                </c:pt>
                <c:pt idx="3">
                  <c:v>4115</c:v>
                </c:pt>
                <c:pt idx="4">
                  <c:v>6261</c:v>
                </c:pt>
                <c:pt idx="6">
                  <c:v>500</c:v>
                </c:pt>
                <c:pt idx="7">
                  <c:v>0</c:v>
                </c:pt>
                <c:pt idx="12">
                  <c:v>3729</c:v>
                </c:pt>
                <c:pt idx="13">
                  <c:v>5215</c:v>
                </c:pt>
                <c:pt idx="14">
                  <c:v>2333</c:v>
                </c:pt>
                <c:pt idx="15">
                  <c:v>35212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3-4C15-B306-CE4FD7B78EE7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LEAD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6028</c:v>
                </c:pt>
                <c:pt idx="2">
                  <c:v>4732</c:v>
                </c:pt>
                <c:pt idx="3">
                  <c:v>4115</c:v>
                </c:pt>
                <c:pt idx="4">
                  <c:v>6261</c:v>
                </c:pt>
                <c:pt idx="5">
                  <c:v>14223</c:v>
                </c:pt>
                <c:pt idx="6">
                  <c:v>500</c:v>
                </c:pt>
                <c:pt idx="7">
                  <c:v>497</c:v>
                </c:pt>
                <c:pt idx="8">
                  <c:v>112</c:v>
                </c:pt>
                <c:pt idx="9">
                  <c:v>2967</c:v>
                </c:pt>
                <c:pt idx="10">
                  <c:v>495</c:v>
                </c:pt>
                <c:pt idx="11">
                  <c:v>5947</c:v>
                </c:pt>
                <c:pt idx="12">
                  <c:v>3729</c:v>
                </c:pt>
                <c:pt idx="13">
                  <c:v>5215</c:v>
                </c:pt>
                <c:pt idx="14">
                  <c:v>2333</c:v>
                </c:pt>
                <c:pt idx="15">
                  <c:v>35212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C3-4C15-B306-CE4FD7B78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83%</c:v>
                </c:pt>
                <c:pt idx="4">
                  <c:v>100%</c:v>
                </c:pt>
                <c:pt idx="5">
                  <c:v>0%</c:v>
                </c:pt>
                <c:pt idx="6">
                  <c:v>17%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92%</c:v>
                </c:pt>
                <c:pt idx="14">
                  <c:v>54%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LEAD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0.91666666666666663</c:v>
                </c:pt>
                <c:pt idx="14">
                  <c:v>0.54166666666666663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C-449D-8733-6599A84B860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FC-449D-8733-6599A84B860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LEAD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0.41666666666666669</c:v>
                </c:pt>
                <c:pt idx="6">
                  <c:v>0.41666666666666669</c:v>
                </c:pt>
                <c:pt idx="7">
                  <c:v>0.41666666666666669</c:v>
                </c:pt>
                <c:pt idx="8">
                  <c:v>0.41666666666666669</c:v>
                </c:pt>
                <c:pt idx="9">
                  <c:v>0.41666666666666669</c:v>
                </c:pt>
                <c:pt idx="10">
                  <c:v>0.41666666666666669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0.41666666666666669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C-449D-8733-6599A84B8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DA8-4B19-970E-038C4F27A6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A8-4B19-970E-038C4F27A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DA8-4B19-970E-038C4F27A6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A8-4B19-970E-038C4F27A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1">
                  <c:v>2698</c:v>
                </c:pt>
                <c:pt idx="2">
                  <c:v>4731</c:v>
                </c:pt>
                <c:pt idx="3">
                  <c:v>3562</c:v>
                </c:pt>
                <c:pt idx="4">
                  <c:v>1414</c:v>
                </c:pt>
                <c:pt idx="6">
                  <c:v>824</c:v>
                </c:pt>
                <c:pt idx="7">
                  <c:v>3081</c:v>
                </c:pt>
                <c:pt idx="12">
                  <c:v>1600</c:v>
                </c:pt>
                <c:pt idx="13">
                  <c:v>3784</c:v>
                </c:pt>
                <c:pt idx="14">
                  <c:v>5742</c:v>
                </c:pt>
                <c:pt idx="15">
                  <c:v>34672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4-4B14-A0DB-A7D90A965E3F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2698</c:v>
                </c:pt>
                <c:pt idx="2">
                  <c:v>4731</c:v>
                </c:pt>
                <c:pt idx="3">
                  <c:v>3562</c:v>
                </c:pt>
                <c:pt idx="4">
                  <c:v>1414</c:v>
                </c:pt>
                <c:pt idx="5">
                  <c:v>14223</c:v>
                </c:pt>
                <c:pt idx="6">
                  <c:v>824</c:v>
                </c:pt>
                <c:pt idx="7">
                  <c:v>3081</c:v>
                </c:pt>
                <c:pt idx="8">
                  <c:v>112</c:v>
                </c:pt>
                <c:pt idx="9">
                  <c:v>2967</c:v>
                </c:pt>
                <c:pt idx="10">
                  <c:v>495</c:v>
                </c:pt>
                <c:pt idx="11">
                  <c:v>5947</c:v>
                </c:pt>
                <c:pt idx="12">
                  <c:v>1600</c:v>
                </c:pt>
                <c:pt idx="13">
                  <c:v>3784</c:v>
                </c:pt>
                <c:pt idx="14">
                  <c:v>5742</c:v>
                </c:pt>
                <c:pt idx="15">
                  <c:v>34672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4-4B14-A0DB-A7D90A965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54%</c:v>
                </c:pt>
                <c:pt idx="2">
                  <c:v>100%</c:v>
                </c:pt>
                <c:pt idx="3">
                  <c:v>75%</c:v>
                </c:pt>
                <c:pt idx="4">
                  <c:v>33%</c:v>
                </c:pt>
                <c:pt idx="5">
                  <c:v>0%</c:v>
                </c:pt>
                <c:pt idx="6">
                  <c:v>21%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38%</c:v>
                </c:pt>
                <c:pt idx="13">
                  <c:v>75%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0.54166666666666663</c:v>
                </c:pt>
                <c:pt idx="2">
                  <c:v>1</c:v>
                </c:pt>
                <c:pt idx="3">
                  <c:v>0.75</c:v>
                </c:pt>
                <c:pt idx="4">
                  <c:v>0.33333333333333331</c:v>
                </c:pt>
                <c:pt idx="5">
                  <c:v>0</c:v>
                </c:pt>
                <c:pt idx="6">
                  <c:v>0.20833333333333334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0.375</c:v>
                </c:pt>
                <c:pt idx="13">
                  <c:v>0.75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0-4598-A489-E99D00CFFD5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60-4598-A489-E99D00CFFD5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0.38020833333333337</c:v>
                </c:pt>
                <c:pt idx="1">
                  <c:v>0.38020833333333337</c:v>
                </c:pt>
                <c:pt idx="2">
                  <c:v>0.38020833333333337</c:v>
                </c:pt>
                <c:pt idx="3">
                  <c:v>0.38020833333333337</c:v>
                </c:pt>
                <c:pt idx="4">
                  <c:v>0.38020833333333337</c:v>
                </c:pt>
                <c:pt idx="5">
                  <c:v>0.38020833333333337</c:v>
                </c:pt>
                <c:pt idx="6">
                  <c:v>0.38020833333333337</c:v>
                </c:pt>
                <c:pt idx="7">
                  <c:v>0.38020833333333337</c:v>
                </c:pt>
                <c:pt idx="8">
                  <c:v>0.38020833333333337</c:v>
                </c:pt>
                <c:pt idx="9">
                  <c:v>0.38020833333333337</c:v>
                </c:pt>
                <c:pt idx="10">
                  <c:v>0.38020833333333337</c:v>
                </c:pt>
                <c:pt idx="11">
                  <c:v>0.38020833333333337</c:v>
                </c:pt>
                <c:pt idx="12">
                  <c:v>0.38020833333333337</c:v>
                </c:pt>
                <c:pt idx="13">
                  <c:v>0.38020833333333337</c:v>
                </c:pt>
                <c:pt idx="14">
                  <c:v>0.38020833333333337</c:v>
                </c:pt>
                <c:pt idx="15">
                  <c:v>0.38020833333333337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60-4598-A489-E99D00CFF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1">
                  <c:v>2698</c:v>
                </c:pt>
                <c:pt idx="2">
                  <c:v>4731</c:v>
                </c:pt>
                <c:pt idx="3">
                  <c:v>3562</c:v>
                </c:pt>
                <c:pt idx="4">
                  <c:v>1414</c:v>
                </c:pt>
                <c:pt idx="6">
                  <c:v>824</c:v>
                </c:pt>
                <c:pt idx="7">
                  <c:v>3081</c:v>
                </c:pt>
                <c:pt idx="12">
                  <c:v>1600</c:v>
                </c:pt>
                <c:pt idx="13">
                  <c:v>3784</c:v>
                </c:pt>
                <c:pt idx="14">
                  <c:v>5742</c:v>
                </c:pt>
                <c:pt idx="15">
                  <c:v>34672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F-4EB8-A444-F51E11C49F18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2698</c:v>
                </c:pt>
                <c:pt idx="2">
                  <c:v>4731</c:v>
                </c:pt>
                <c:pt idx="3">
                  <c:v>3562</c:v>
                </c:pt>
                <c:pt idx="4">
                  <c:v>1414</c:v>
                </c:pt>
                <c:pt idx="5">
                  <c:v>14223</c:v>
                </c:pt>
                <c:pt idx="6">
                  <c:v>824</c:v>
                </c:pt>
                <c:pt idx="7">
                  <c:v>3081</c:v>
                </c:pt>
                <c:pt idx="8">
                  <c:v>112</c:v>
                </c:pt>
                <c:pt idx="9">
                  <c:v>2967</c:v>
                </c:pt>
                <c:pt idx="10">
                  <c:v>495</c:v>
                </c:pt>
                <c:pt idx="11">
                  <c:v>5947</c:v>
                </c:pt>
                <c:pt idx="12">
                  <c:v>1600</c:v>
                </c:pt>
                <c:pt idx="13">
                  <c:v>3784</c:v>
                </c:pt>
                <c:pt idx="14">
                  <c:v>5742</c:v>
                </c:pt>
                <c:pt idx="15">
                  <c:v>34672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F-4EB8-A444-F51E11C49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54%</c:v>
                </c:pt>
                <c:pt idx="2">
                  <c:v>100%</c:v>
                </c:pt>
                <c:pt idx="3">
                  <c:v>75%</c:v>
                </c:pt>
                <c:pt idx="4">
                  <c:v>33%</c:v>
                </c:pt>
                <c:pt idx="5">
                  <c:v>0%</c:v>
                </c:pt>
                <c:pt idx="6">
                  <c:v>21%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38%</c:v>
                </c:pt>
                <c:pt idx="13">
                  <c:v>75%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0.54166666666666663</c:v>
                </c:pt>
                <c:pt idx="2">
                  <c:v>1</c:v>
                </c:pt>
                <c:pt idx="3">
                  <c:v>0.75</c:v>
                </c:pt>
                <c:pt idx="4">
                  <c:v>0.33333333333333331</c:v>
                </c:pt>
                <c:pt idx="5">
                  <c:v>0</c:v>
                </c:pt>
                <c:pt idx="6">
                  <c:v>0.20833333333333334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0.375</c:v>
                </c:pt>
                <c:pt idx="13">
                  <c:v>0.75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B-4EE5-9B85-18BF85CB23C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DB-4EE5-9B85-18BF85CB23C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ACTUATOR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TOP/BOTTOM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0.38020833333333337</c:v>
                </c:pt>
                <c:pt idx="1">
                  <c:v>0.38020833333333337</c:v>
                </c:pt>
                <c:pt idx="2">
                  <c:v>0.38020833333333337</c:v>
                </c:pt>
                <c:pt idx="3">
                  <c:v>0.38020833333333337</c:v>
                </c:pt>
                <c:pt idx="4">
                  <c:v>0.38020833333333337</c:v>
                </c:pt>
                <c:pt idx="5">
                  <c:v>0.38020833333333337</c:v>
                </c:pt>
                <c:pt idx="6">
                  <c:v>0.38020833333333337</c:v>
                </c:pt>
                <c:pt idx="7">
                  <c:v>0.38020833333333337</c:v>
                </c:pt>
                <c:pt idx="8">
                  <c:v>0.38020833333333337</c:v>
                </c:pt>
                <c:pt idx="9">
                  <c:v>0.38020833333333337</c:v>
                </c:pt>
                <c:pt idx="10">
                  <c:v>0.38020833333333337</c:v>
                </c:pt>
                <c:pt idx="11">
                  <c:v>0.38020833333333337</c:v>
                </c:pt>
                <c:pt idx="12">
                  <c:v>0.38020833333333337</c:v>
                </c:pt>
                <c:pt idx="13">
                  <c:v>0.38020833333333337</c:v>
                </c:pt>
                <c:pt idx="14">
                  <c:v>0.38020833333333337</c:v>
                </c:pt>
                <c:pt idx="15">
                  <c:v>0.38020833333333337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B-4EE5-9B85-18BF85CB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029-4CC8-8E32-0DCF5F66C0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9-4CC8-8E32-0DCF5F66C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029-4CC8-8E32-0DCF5F66C0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29-4CC8-8E32-0DCF5F66C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2">
                  <c:v>1180</c:v>
                </c:pt>
                <c:pt idx="3">
                  <c:v>3813</c:v>
                </c:pt>
                <c:pt idx="4">
                  <c:v>2110</c:v>
                </c:pt>
                <c:pt idx="6">
                  <c:v>3064</c:v>
                </c:pt>
                <c:pt idx="7">
                  <c:v>4425</c:v>
                </c:pt>
                <c:pt idx="9">
                  <c:v>14216</c:v>
                </c:pt>
                <c:pt idx="12">
                  <c:v>3278</c:v>
                </c:pt>
                <c:pt idx="13">
                  <c:v>4938</c:v>
                </c:pt>
                <c:pt idx="14">
                  <c:v>5759</c:v>
                </c:pt>
                <c:pt idx="15">
                  <c:v>33032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9-475C-A64E-6C6679A345ED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2698</c:v>
                </c:pt>
                <c:pt idx="2">
                  <c:v>1180</c:v>
                </c:pt>
                <c:pt idx="3">
                  <c:v>3813</c:v>
                </c:pt>
                <c:pt idx="4">
                  <c:v>2110</c:v>
                </c:pt>
                <c:pt idx="5">
                  <c:v>14223</c:v>
                </c:pt>
                <c:pt idx="6">
                  <c:v>3064</c:v>
                </c:pt>
                <c:pt idx="7">
                  <c:v>4425</c:v>
                </c:pt>
                <c:pt idx="8">
                  <c:v>112</c:v>
                </c:pt>
                <c:pt idx="9">
                  <c:v>14216</c:v>
                </c:pt>
                <c:pt idx="10">
                  <c:v>495</c:v>
                </c:pt>
                <c:pt idx="11">
                  <c:v>5947</c:v>
                </c:pt>
                <c:pt idx="12">
                  <c:v>3278</c:v>
                </c:pt>
                <c:pt idx="13">
                  <c:v>4938</c:v>
                </c:pt>
                <c:pt idx="14">
                  <c:v>5759</c:v>
                </c:pt>
                <c:pt idx="15">
                  <c:v>33032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9-475C-A64E-6C6679A34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25%</c:v>
                </c:pt>
                <c:pt idx="3">
                  <c:v>88%</c:v>
                </c:pt>
                <c:pt idx="4">
                  <c:v>46%</c:v>
                </c:pt>
                <c:pt idx="5">
                  <c:v>0%</c:v>
                </c:pt>
                <c:pt idx="6">
                  <c:v>79%</c:v>
                </c:pt>
                <c:pt idx="7">
                  <c:v>88%</c:v>
                </c:pt>
                <c:pt idx="8">
                  <c:v>0%</c:v>
                </c:pt>
                <c:pt idx="9">
                  <c:v>71%</c:v>
                </c:pt>
                <c:pt idx="10">
                  <c:v>0%</c:v>
                </c:pt>
                <c:pt idx="11">
                  <c:v>0%</c:v>
                </c:pt>
                <c:pt idx="12">
                  <c:v>63%</c:v>
                </c:pt>
                <c:pt idx="13">
                  <c:v>92%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0.875</c:v>
                </c:pt>
                <c:pt idx="4">
                  <c:v>0.45833333333333331</c:v>
                </c:pt>
                <c:pt idx="5">
                  <c:v>0</c:v>
                </c:pt>
                <c:pt idx="6">
                  <c:v>0.79166666666666663</c:v>
                </c:pt>
                <c:pt idx="7">
                  <c:v>0.875</c:v>
                </c:pt>
                <c:pt idx="8">
                  <c:v>0</c:v>
                </c:pt>
                <c:pt idx="9">
                  <c:v>0.70833333333333337</c:v>
                </c:pt>
                <c:pt idx="10">
                  <c:v>0</c:v>
                </c:pt>
                <c:pt idx="11">
                  <c:v>0</c:v>
                </c:pt>
                <c:pt idx="12">
                  <c:v>0.625</c:v>
                </c:pt>
                <c:pt idx="13">
                  <c:v>0.91666666666666663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A-46D5-A7C0-C97B700B991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1A-46D5-A7C0-C97B700B99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0.43750000000000006</c:v>
                </c:pt>
                <c:pt idx="1">
                  <c:v>0.43750000000000006</c:v>
                </c:pt>
                <c:pt idx="2">
                  <c:v>0.43750000000000006</c:v>
                </c:pt>
                <c:pt idx="3">
                  <c:v>0.43750000000000006</c:v>
                </c:pt>
                <c:pt idx="4">
                  <c:v>0.43750000000000006</c:v>
                </c:pt>
                <c:pt idx="5">
                  <c:v>0.43750000000000006</c:v>
                </c:pt>
                <c:pt idx="6">
                  <c:v>0.43750000000000006</c:v>
                </c:pt>
                <c:pt idx="7">
                  <c:v>0.43750000000000006</c:v>
                </c:pt>
                <c:pt idx="8">
                  <c:v>0.43750000000000006</c:v>
                </c:pt>
                <c:pt idx="9">
                  <c:v>0.43750000000000006</c:v>
                </c:pt>
                <c:pt idx="10">
                  <c:v>0.43750000000000006</c:v>
                </c:pt>
                <c:pt idx="11">
                  <c:v>0.43750000000000006</c:v>
                </c:pt>
                <c:pt idx="12">
                  <c:v>0.43750000000000006</c:v>
                </c:pt>
                <c:pt idx="13">
                  <c:v>0.43750000000000006</c:v>
                </c:pt>
                <c:pt idx="14">
                  <c:v>0.43750000000000006</c:v>
                </c:pt>
                <c:pt idx="15">
                  <c:v>0.43750000000000006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A-46D5-A7C0-C97B700B9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2">
                  <c:v>1180</c:v>
                </c:pt>
                <c:pt idx="3">
                  <c:v>3813</c:v>
                </c:pt>
                <c:pt idx="4">
                  <c:v>2110</c:v>
                </c:pt>
                <c:pt idx="6">
                  <c:v>3064</c:v>
                </c:pt>
                <c:pt idx="7">
                  <c:v>4425</c:v>
                </c:pt>
                <c:pt idx="9">
                  <c:v>14216</c:v>
                </c:pt>
                <c:pt idx="12">
                  <c:v>3278</c:v>
                </c:pt>
                <c:pt idx="13">
                  <c:v>4938</c:v>
                </c:pt>
                <c:pt idx="14">
                  <c:v>5759</c:v>
                </c:pt>
                <c:pt idx="15">
                  <c:v>33032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8E-4BEE-A5A8-ABC50AF7B665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2698</c:v>
                </c:pt>
                <c:pt idx="2">
                  <c:v>1180</c:v>
                </c:pt>
                <c:pt idx="3">
                  <c:v>3813</c:v>
                </c:pt>
                <c:pt idx="4">
                  <c:v>2110</c:v>
                </c:pt>
                <c:pt idx="5">
                  <c:v>14223</c:v>
                </c:pt>
                <c:pt idx="6">
                  <c:v>3064</c:v>
                </c:pt>
                <c:pt idx="7">
                  <c:v>4425</c:v>
                </c:pt>
                <c:pt idx="8">
                  <c:v>112</c:v>
                </c:pt>
                <c:pt idx="9">
                  <c:v>14216</c:v>
                </c:pt>
                <c:pt idx="10">
                  <c:v>495</c:v>
                </c:pt>
                <c:pt idx="11">
                  <c:v>5947</c:v>
                </c:pt>
                <c:pt idx="12">
                  <c:v>3278</c:v>
                </c:pt>
                <c:pt idx="13">
                  <c:v>4938</c:v>
                </c:pt>
                <c:pt idx="14">
                  <c:v>5759</c:v>
                </c:pt>
                <c:pt idx="15">
                  <c:v>33032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8E-4BEE-A5A8-ABC50AF7B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25%</c:v>
                </c:pt>
                <c:pt idx="3">
                  <c:v>88%</c:v>
                </c:pt>
                <c:pt idx="4">
                  <c:v>46%</c:v>
                </c:pt>
                <c:pt idx="5">
                  <c:v>0%</c:v>
                </c:pt>
                <c:pt idx="6">
                  <c:v>79%</c:v>
                </c:pt>
                <c:pt idx="7">
                  <c:v>88%</c:v>
                </c:pt>
                <c:pt idx="8">
                  <c:v>0%</c:v>
                </c:pt>
                <c:pt idx="9">
                  <c:v>71%</c:v>
                </c:pt>
                <c:pt idx="10">
                  <c:v>0%</c:v>
                </c:pt>
                <c:pt idx="11">
                  <c:v>0%</c:v>
                </c:pt>
                <c:pt idx="12">
                  <c:v>63%</c:v>
                </c:pt>
                <c:pt idx="13">
                  <c:v>92%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0.875</c:v>
                </c:pt>
                <c:pt idx="4">
                  <c:v>0.45833333333333331</c:v>
                </c:pt>
                <c:pt idx="5">
                  <c:v>0</c:v>
                </c:pt>
                <c:pt idx="6">
                  <c:v>0.79166666666666663</c:v>
                </c:pt>
                <c:pt idx="7">
                  <c:v>0.875</c:v>
                </c:pt>
                <c:pt idx="8">
                  <c:v>0</c:v>
                </c:pt>
                <c:pt idx="9">
                  <c:v>0.70833333333333337</c:v>
                </c:pt>
                <c:pt idx="10">
                  <c:v>0</c:v>
                </c:pt>
                <c:pt idx="11">
                  <c:v>0</c:v>
                </c:pt>
                <c:pt idx="12">
                  <c:v>0.625</c:v>
                </c:pt>
                <c:pt idx="13">
                  <c:v>0.91666666666666663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54-4B2F-9022-64652C82A7F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54-4B2F-9022-64652C82A7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0.43750000000000006</c:v>
                </c:pt>
                <c:pt idx="1">
                  <c:v>0.43750000000000006</c:v>
                </c:pt>
                <c:pt idx="2">
                  <c:v>0.43750000000000006</c:v>
                </c:pt>
                <c:pt idx="3">
                  <c:v>0.43750000000000006</c:v>
                </c:pt>
                <c:pt idx="4">
                  <c:v>0.43750000000000006</c:v>
                </c:pt>
                <c:pt idx="5">
                  <c:v>0.43750000000000006</c:v>
                </c:pt>
                <c:pt idx="6">
                  <c:v>0.43750000000000006</c:v>
                </c:pt>
                <c:pt idx="7">
                  <c:v>0.43750000000000006</c:v>
                </c:pt>
                <c:pt idx="8">
                  <c:v>0.43750000000000006</c:v>
                </c:pt>
                <c:pt idx="9">
                  <c:v>0.43750000000000006</c:v>
                </c:pt>
                <c:pt idx="10">
                  <c:v>0.43750000000000006</c:v>
                </c:pt>
                <c:pt idx="11">
                  <c:v>0.43750000000000006</c:v>
                </c:pt>
                <c:pt idx="12">
                  <c:v>0.43750000000000006</c:v>
                </c:pt>
                <c:pt idx="13">
                  <c:v>0.43750000000000006</c:v>
                </c:pt>
                <c:pt idx="14">
                  <c:v>0.43750000000000006</c:v>
                </c:pt>
                <c:pt idx="15">
                  <c:v>0.43750000000000006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54-4B2F-9022-64652C82A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254-4751-AA3E-F9DD02CFE0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4-4751-AA3E-F9DD02CFE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254-4751-AA3E-F9DD02CFE0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54-4751-AA3E-F9DD02CFE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6">
                  <c:v>3570</c:v>
                </c:pt>
                <c:pt idx="7">
                  <c:v>5156</c:v>
                </c:pt>
                <c:pt idx="9">
                  <c:v>20236</c:v>
                </c:pt>
                <c:pt idx="13">
                  <c:v>5470</c:v>
                </c:pt>
                <c:pt idx="14">
                  <c:v>4429</c:v>
                </c:pt>
                <c:pt idx="15">
                  <c:v>29240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5-4E96-B8AF-17B0DA737585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2698</c:v>
                </c:pt>
                <c:pt idx="2">
                  <c:v>1180</c:v>
                </c:pt>
                <c:pt idx="3">
                  <c:v>3813</c:v>
                </c:pt>
                <c:pt idx="4">
                  <c:v>2110</c:v>
                </c:pt>
                <c:pt idx="5">
                  <c:v>14223</c:v>
                </c:pt>
                <c:pt idx="6">
                  <c:v>3570</c:v>
                </c:pt>
                <c:pt idx="7">
                  <c:v>5156</c:v>
                </c:pt>
                <c:pt idx="8">
                  <c:v>112</c:v>
                </c:pt>
                <c:pt idx="9">
                  <c:v>20236</c:v>
                </c:pt>
                <c:pt idx="10">
                  <c:v>495</c:v>
                </c:pt>
                <c:pt idx="11">
                  <c:v>5947</c:v>
                </c:pt>
                <c:pt idx="12">
                  <c:v>3278</c:v>
                </c:pt>
                <c:pt idx="13">
                  <c:v>5470</c:v>
                </c:pt>
                <c:pt idx="14">
                  <c:v>4429</c:v>
                </c:pt>
                <c:pt idx="15">
                  <c:v>29240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5-4E96-B8AF-17B0DA737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88%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0.875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8-42F9-A142-43C6578004E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38-42F9-A142-43C6578004E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0.33072916666666669</c:v>
                </c:pt>
                <c:pt idx="1">
                  <c:v>0.33072916666666669</c:v>
                </c:pt>
                <c:pt idx="2">
                  <c:v>0.33072916666666669</c:v>
                </c:pt>
                <c:pt idx="3">
                  <c:v>0.33072916666666669</c:v>
                </c:pt>
                <c:pt idx="4">
                  <c:v>0.33072916666666669</c:v>
                </c:pt>
                <c:pt idx="5">
                  <c:v>0.33072916666666669</c:v>
                </c:pt>
                <c:pt idx="6">
                  <c:v>0.33072916666666669</c:v>
                </c:pt>
                <c:pt idx="7">
                  <c:v>0.33072916666666669</c:v>
                </c:pt>
                <c:pt idx="8">
                  <c:v>0.33072916666666669</c:v>
                </c:pt>
                <c:pt idx="9">
                  <c:v>0.33072916666666669</c:v>
                </c:pt>
                <c:pt idx="10">
                  <c:v>0.33072916666666669</c:v>
                </c:pt>
                <c:pt idx="11">
                  <c:v>0.33072916666666669</c:v>
                </c:pt>
                <c:pt idx="12">
                  <c:v>0.33072916666666669</c:v>
                </c:pt>
                <c:pt idx="13">
                  <c:v>0.33072916666666669</c:v>
                </c:pt>
                <c:pt idx="14">
                  <c:v>0.33072916666666669</c:v>
                </c:pt>
                <c:pt idx="15">
                  <c:v>0.33072916666666669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8-42F9-A142-43C657800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6">
                  <c:v>3570</c:v>
                </c:pt>
                <c:pt idx="7">
                  <c:v>5156</c:v>
                </c:pt>
                <c:pt idx="9">
                  <c:v>20236</c:v>
                </c:pt>
                <c:pt idx="13">
                  <c:v>5470</c:v>
                </c:pt>
                <c:pt idx="14">
                  <c:v>4429</c:v>
                </c:pt>
                <c:pt idx="15">
                  <c:v>29240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A-439F-9488-8131C0BAC18B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690</c:v>
                </c:pt>
                <c:pt idx="1">
                  <c:v>2698</c:v>
                </c:pt>
                <c:pt idx="2">
                  <c:v>1180</c:v>
                </c:pt>
                <c:pt idx="3">
                  <c:v>3813</c:v>
                </c:pt>
                <c:pt idx="4">
                  <c:v>2110</c:v>
                </c:pt>
                <c:pt idx="5">
                  <c:v>14223</c:v>
                </c:pt>
                <c:pt idx="6">
                  <c:v>3570</c:v>
                </c:pt>
                <c:pt idx="7">
                  <c:v>5156</c:v>
                </c:pt>
                <c:pt idx="8">
                  <c:v>112</c:v>
                </c:pt>
                <c:pt idx="9">
                  <c:v>20236</c:v>
                </c:pt>
                <c:pt idx="10">
                  <c:v>495</c:v>
                </c:pt>
                <c:pt idx="11">
                  <c:v>5947</c:v>
                </c:pt>
                <c:pt idx="12">
                  <c:v>3278</c:v>
                </c:pt>
                <c:pt idx="13">
                  <c:v>5470</c:v>
                </c:pt>
                <c:pt idx="14">
                  <c:v>4429</c:v>
                </c:pt>
                <c:pt idx="15">
                  <c:v>29240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9A-439F-9488-8131C0BAC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88%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0.875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5D-43B6-9A3A-7EDCA0CB904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D-43B6-9A3A-7EDCA0CB90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2">
                  <c:v>COVER</c:v>
                </c:pt>
                <c:pt idx="3">
                  <c:v>LID/BASE</c:v>
                </c:pt>
                <c:pt idx="4">
                  <c:v>PUSHER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0.33072916666666669</c:v>
                </c:pt>
                <c:pt idx="1">
                  <c:v>0.33072916666666669</c:v>
                </c:pt>
                <c:pt idx="2">
                  <c:v>0.33072916666666669</c:v>
                </c:pt>
                <c:pt idx="3">
                  <c:v>0.33072916666666669</c:v>
                </c:pt>
                <c:pt idx="4">
                  <c:v>0.33072916666666669</c:v>
                </c:pt>
                <c:pt idx="5">
                  <c:v>0.33072916666666669</c:v>
                </c:pt>
                <c:pt idx="6">
                  <c:v>0.33072916666666669</c:v>
                </c:pt>
                <c:pt idx="7">
                  <c:v>0.33072916666666669</c:v>
                </c:pt>
                <c:pt idx="8">
                  <c:v>0.33072916666666669</c:v>
                </c:pt>
                <c:pt idx="9">
                  <c:v>0.33072916666666669</c:v>
                </c:pt>
                <c:pt idx="10">
                  <c:v>0.33072916666666669</c:v>
                </c:pt>
                <c:pt idx="11">
                  <c:v>0.33072916666666669</c:v>
                </c:pt>
                <c:pt idx="12">
                  <c:v>0.33072916666666669</c:v>
                </c:pt>
                <c:pt idx="13">
                  <c:v>0.33072916666666669</c:v>
                </c:pt>
                <c:pt idx="14">
                  <c:v>0.33072916666666669</c:v>
                </c:pt>
                <c:pt idx="15">
                  <c:v>0.33072916666666669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5D-43B6-9A3A-7EDCA0CB9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D21-4AA8-A75B-5578F37AB7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1-4AA8-A75B-5578F37AB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D21-4AA8-A75B-5578F37AB7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AA8-A75B-5578F37AB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0">
                  <c:v>31240</c:v>
                </c:pt>
                <c:pt idx="3">
                  <c:v>10116</c:v>
                </c:pt>
                <c:pt idx="4">
                  <c:v>14316</c:v>
                </c:pt>
                <c:pt idx="6">
                  <c:v>846</c:v>
                </c:pt>
                <c:pt idx="7">
                  <c:v>4934</c:v>
                </c:pt>
                <c:pt idx="9">
                  <c:v>19048</c:v>
                </c:pt>
                <c:pt idx="12">
                  <c:v>601</c:v>
                </c:pt>
                <c:pt idx="13">
                  <c:v>3102</c:v>
                </c:pt>
                <c:pt idx="14">
                  <c:v>23692</c:v>
                </c:pt>
                <c:pt idx="15">
                  <c:v>28664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3-413F-88F3-0825F19B2320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31240</c:v>
                </c:pt>
                <c:pt idx="1">
                  <c:v>2698</c:v>
                </c:pt>
                <c:pt idx="2">
                  <c:v>1180</c:v>
                </c:pt>
                <c:pt idx="3">
                  <c:v>10116</c:v>
                </c:pt>
                <c:pt idx="4">
                  <c:v>14316</c:v>
                </c:pt>
                <c:pt idx="5">
                  <c:v>14223</c:v>
                </c:pt>
                <c:pt idx="6">
                  <c:v>846</c:v>
                </c:pt>
                <c:pt idx="7">
                  <c:v>4934</c:v>
                </c:pt>
                <c:pt idx="8">
                  <c:v>112</c:v>
                </c:pt>
                <c:pt idx="9">
                  <c:v>19048</c:v>
                </c:pt>
                <c:pt idx="10">
                  <c:v>495</c:v>
                </c:pt>
                <c:pt idx="11">
                  <c:v>5947</c:v>
                </c:pt>
                <c:pt idx="12">
                  <c:v>601</c:v>
                </c:pt>
                <c:pt idx="13">
                  <c:v>3102</c:v>
                </c:pt>
                <c:pt idx="14">
                  <c:v>23692</c:v>
                </c:pt>
                <c:pt idx="15">
                  <c:v>28664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E3-413F-88F3-0825F19B2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92%</c:v>
                </c:pt>
                <c:pt idx="4">
                  <c:v>54%</c:v>
                </c:pt>
                <c:pt idx="5">
                  <c:v>0%</c:v>
                </c:pt>
                <c:pt idx="6">
                  <c:v>21%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21%</c:v>
                </c:pt>
                <c:pt idx="13">
                  <c:v>79%</c:v>
                </c:pt>
                <c:pt idx="14">
                  <c:v>100%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0.91666666666666663</c:v>
                </c:pt>
                <c:pt idx="4">
                  <c:v>0.54166666666666663</c:v>
                </c:pt>
                <c:pt idx="5">
                  <c:v>0</c:v>
                </c:pt>
                <c:pt idx="6">
                  <c:v>0.20833333333333334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0.79166666666666663</c:v>
                </c:pt>
                <c:pt idx="14">
                  <c:v>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8-429B-BCC7-BA9560B3772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68-429B-BCC7-BA9560B377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0.44531249999999994</c:v>
                </c:pt>
                <c:pt idx="1">
                  <c:v>0.44531249999999994</c:v>
                </c:pt>
                <c:pt idx="2">
                  <c:v>0.44531249999999994</c:v>
                </c:pt>
                <c:pt idx="3">
                  <c:v>0.44531249999999994</c:v>
                </c:pt>
                <c:pt idx="4">
                  <c:v>0.44531249999999994</c:v>
                </c:pt>
                <c:pt idx="5">
                  <c:v>0.44531249999999994</c:v>
                </c:pt>
                <c:pt idx="6">
                  <c:v>0.44531249999999994</c:v>
                </c:pt>
                <c:pt idx="7">
                  <c:v>0.44531249999999994</c:v>
                </c:pt>
                <c:pt idx="8">
                  <c:v>0.44531249999999994</c:v>
                </c:pt>
                <c:pt idx="9">
                  <c:v>0.44531249999999994</c:v>
                </c:pt>
                <c:pt idx="10">
                  <c:v>0.44531249999999994</c:v>
                </c:pt>
                <c:pt idx="11">
                  <c:v>0.44531249999999994</c:v>
                </c:pt>
                <c:pt idx="12">
                  <c:v>0.44531249999999994</c:v>
                </c:pt>
                <c:pt idx="13">
                  <c:v>0.44531249999999994</c:v>
                </c:pt>
                <c:pt idx="14">
                  <c:v>0.44531249999999994</c:v>
                </c:pt>
                <c:pt idx="15">
                  <c:v>0.44531249999999994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68-429B-BCC7-BA9560B37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0">
                  <c:v>31240</c:v>
                </c:pt>
                <c:pt idx="3">
                  <c:v>10116</c:v>
                </c:pt>
                <c:pt idx="4">
                  <c:v>14316</c:v>
                </c:pt>
                <c:pt idx="6">
                  <c:v>846</c:v>
                </c:pt>
                <c:pt idx="7">
                  <c:v>4934</c:v>
                </c:pt>
                <c:pt idx="9">
                  <c:v>19048</c:v>
                </c:pt>
                <c:pt idx="12">
                  <c:v>601</c:v>
                </c:pt>
                <c:pt idx="13">
                  <c:v>3102</c:v>
                </c:pt>
                <c:pt idx="14">
                  <c:v>23692</c:v>
                </c:pt>
                <c:pt idx="15">
                  <c:v>28664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E-4F80-AA67-70F381DD806B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31240</c:v>
                </c:pt>
                <c:pt idx="1">
                  <c:v>2698</c:v>
                </c:pt>
                <c:pt idx="2">
                  <c:v>1180</c:v>
                </c:pt>
                <c:pt idx="3">
                  <c:v>10116</c:v>
                </c:pt>
                <c:pt idx="4">
                  <c:v>14316</c:v>
                </c:pt>
                <c:pt idx="5">
                  <c:v>14223</c:v>
                </c:pt>
                <c:pt idx="6">
                  <c:v>846</c:v>
                </c:pt>
                <c:pt idx="7">
                  <c:v>4934</c:v>
                </c:pt>
                <c:pt idx="8">
                  <c:v>112</c:v>
                </c:pt>
                <c:pt idx="9">
                  <c:v>19048</c:v>
                </c:pt>
                <c:pt idx="10">
                  <c:v>495</c:v>
                </c:pt>
                <c:pt idx="11">
                  <c:v>5947</c:v>
                </c:pt>
                <c:pt idx="12">
                  <c:v>601</c:v>
                </c:pt>
                <c:pt idx="13">
                  <c:v>3102</c:v>
                </c:pt>
                <c:pt idx="14">
                  <c:v>23692</c:v>
                </c:pt>
                <c:pt idx="15">
                  <c:v>28664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E-4F80-AA67-70F381DD8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92%</c:v>
                </c:pt>
                <c:pt idx="4">
                  <c:v>54%</c:v>
                </c:pt>
                <c:pt idx="5">
                  <c:v>0%</c:v>
                </c:pt>
                <c:pt idx="6">
                  <c:v>21%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21%</c:v>
                </c:pt>
                <c:pt idx="13">
                  <c:v>79%</c:v>
                </c:pt>
                <c:pt idx="14">
                  <c:v>100%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0.91666666666666663</c:v>
                </c:pt>
                <c:pt idx="4">
                  <c:v>0.54166666666666663</c:v>
                </c:pt>
                <c:pt idx="5">
                  <c:v>0</c:v>
                </c:pt>
                <c:pt idx="6">
                  <c:v>0.20833333333333334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0.79166666666666663</c:v>
                </c:pt>
                <c:pt idx="14">
                  <c:v>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5-4ADB-91F0-D66EB984DB5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35-4ADB-91F0-D66EB984DB5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12V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0.44531249999999994</c:v>
                </c:pt>
                <c:pt idx="1">
                  <c:v>0.44531249999999994</c:v>
                </c:pt>
                <c:pt idx="2">
                  <c:v>0.44531249999999994</c:v>
                </c:pt>
                <c:pt idx="3">
                  <c:v>0.44531249999999994</c:v>
                </c:pt>
                <c:pt idx="4">
                  <c:v>0.44531249999999994</c:v>
                </c:pt>
                <c:pt idx="5">
                  <c:v>0.44531249999999994</c:v>
                </c:pt>
                <c:pt idx="6">
                  <c:v>0.44531249999999994</c:v>
                </c:pt>
                <c:pt idx="7">
                  <c:v>0.44531249999999994</c:v>
                </c:pt>
                <c:pt idx="8">
                  <c:v>0.44531249999999994</c:v>
                </c:pt>
                <c:pt idx="9">
                  <c:v>0.44531249999999994</c:v>
                </c:pt>
                <c:pt idx="10">
                  <c:v>0.44531249999999994</c:v>
                </c:pt>
                <c:pt idx="11">
                  <c:v>0.44531249999999994</c:v>
                </c:pt>
                <c:pt idx="12">
                  <c:v>0.44531249999999994</c:v>
                </c:pt>
                <c:pt idx="13">
                  <c:v>0.44531249999999994</c:v>
                </c:pt>
                <c:pt idx="14">
                  <c:v>0.44531249999999994</c:v>
                </c:pt>
                <c:pt idx="15">
                  <c:v>0.44531249999999994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35-4ADB-91F0-D66EB984D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5DF-4E7E-9C37-C04990E68C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E7E-9C37-C04990E6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5DF-4E7E-9C37-C04990E68C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DF-4E7E-9C37-C04990E6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28840</c:v>
                </c:pt>
                <c:pt idx="1">
                  <c:v>3397</c:v>
                </c:pt>
                <c:pt idx="3">
                  <c:v>10218</c:v>
                </c:pt>
                <c:pt idx="4">
                  <c:v>24980</c:v>
                </c:pt>
                <c:pt idx="6">
                  <c:v>600</c:v>
                </c:pt>
                <c:pt idx="7">
                  <c:v>4706</c:v>
                </c:pt>
                <c:pt idx="9">
                  <c:v>2898</c:v>
                </c:pt>
                <c:pt idx="12">
                  <c:v>2547</c:v>
                </c:pt>
                <c:pt idx="13">
                  <c:v>2265</c:v>
                </c:pt>
                <c:pt idx="14">
                  <c:v>25036</c:v>
                </c:pt>
                <c:pt idx="15">
                  <c:v>35888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A-47A0-9026-8F8E4EE88FE4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28840</c:v>
                </c:pt>
                <c:pt idx="1">
                  <c:v>3397</c:v>
                </c:pt>
                <c:pt idx="2">
                  <c:v>1180</c:v>
                </c:pt>
                <c:pt idx="3">
                  <c:v>10218</c:v>
                </c:pt>
                <c:pt idx="4">
                  <c:v>24980</c:v>
                </c:pt>
                <c:pt idx="5">
                  <c:v>14223</c:v>
                </c:pt>
                <c:pt idx="6">
                  <c:v>600</c:v>
                </c:pt>
                <c:pt idx="7">
                  <c:v>4706</c:v>
                </c:pt>
                <c:pt idx="8">
                  <c:v>112</c:v>
                </c:pt>
                <c:pt idx="9">
                  <c:v>2898</c:v>
                </c:pt>
                <c:pt idx="10">
                  <c:v>495</c:v>
                </c:pt>
                <c:pt idx="11">
                  <c:v>5947</c:v>
                </c:pt>
                <c:pt idx="12">
                  <c:v>2547</c:v>
                </c:pt>
                <c:pt idx="13">
                  <c:v>2265</c:v>
                </c:pt>
                <c:pt idx="14">
                  <c:v>25036</c:v>
                </c:pt>
                <c:pt idx="15">
                  <c:v>35888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8A-47A0-9026-8F8E4EE88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100%</c:v>
                </c:pt>
                <c:pt idx="1">
                  <c:v>58%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17%</c:v>
                </c:pt>
                <c:pt idx="7">
                  <c:v>100%</c:v>
                </c:pt>
                <c:pt idx="8">
                  <c:v>0%</c:v>
                </c:pt>
                <c:pt idx="9">
                  <c:v>58%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50%</c:v>
                </c:pt>
                <c:pt idx="14">
                  <c:v>100%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1</c:v>
                </c:pt>
                <c:pt idx="1">
                  <c:v>0.58333333333333337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0.16666666666666666</c:v>
                </c:pt>
                <c:pt idx="7">
                  <c:v>1</c:v>
                </c:pt>
                <c:pt idx="8">
                  <c:v>0</c:v>
                </c:pt>
                <c:pt idx="9">
                  <c:v>0.58333333333333337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0.5</c:v>
                </c:pt>
                <c:pt idx="14">
                  <c:v>1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9-4178-B086-EE6886B40EC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C9-4178-B086-EE6886B40E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0.50520833333333326</c:v>
                </c:pt>
                <c:pt idx="1">
                  <c:v>0.50520833333333326</c:v>
                </c:pt>
                <c:pt idx="2">
                  <c:v>0.50520833333333326</c:v>
                </c:pt>
                <c:pt idx="3">
                  <c:v>0.50520833333333326</c:v>
                </c:pt>
                <c:pt idx="4">
                  <c:v>0.50520833333333326</c:v>
                </c:pt>
                <c:pt idx="5">
                  <c:v>0.50520833333333326</c:v>
                </c:pt>
                <c:pt idx="6">
                  <c:v>0.50520833333333326</c:v>
                </c:pt>
                <c:pt idx="7">
                  <c:v>0.50520833333333326</c:v>
                </c:pt>
                <c:pt idx="8">
                  <c:v>0.50520833333333326</c:v>
                </c:pt>
                <c:pt idx="9">
                  <c:v>0.50520833333333326</c:v>
                </c:pt>
                <c:pt idx="10">
                  <c:v>0.50520833333333326</c:v>
                </c:pt>
                <c:pt idx="11">
                  <c:v>0.50520833333333326</c:v>
                </c:pt>
                <c:pt idx="12">
                  <c:v>0.50520833333333326</c:v>
                </c:pt>
                <c:pt idx="13">
                  <c:v>0.50520833333333326</c:v>
                </c:pt>
                <c:pt idx="14">
                  <c:v>0.50520833333333326</c:v>
                </c:pt>
                <c:pt idx="15">
                  <c:v>0.50520833333333326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9-4178-B086-EE6886B40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28840</c:v>
                </c:pt>
                <c:pt idx="1">
                  <c:v>3397</c:v>
                </c:pt>
                <c:pt idx="3">
                  <c:v>10218</c:v>
                </c:pt>
                <c:pt idx="4">
                  <c:v>24980</c:v>
                </c:pt>
                <c:pt idx="6">
                  <c:v>600</c:v>
                </c:pt>
                <c:pt idx="7">
                  <c:v>4706</c:v>
                </c:pt>
                <c:pt idx="9">
                  <c:v>2898</c:v>
                </c:pt>
                <c:pt idx="12">
                  <c:v>2547</c:v>
                </c:pt>
                <c:pt idx="13">
                  <c:v>2265</c:v>
                </c:pt>
                <c:pt idx="14">
                  <c:v>25036</c:v>
                </c:pt>
                <c:pt idx="15">
                  <c:v>35888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0-44FA-B1B9-42D93A5F90BC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28840</c:v>
                </c:pt>
                <c:pt idx="1">
                  <c:v>3397</c:v>
                </c:pt>
                <c:pt idx="2">
                  <c:v>1180</c:v>
                </c:pt>
                <c:pt idx="3">
                  <c:v>10218</c:v>
                </c:pt>
                <c:pt idx="4">
                  <c:v>24980</c:v>
                </c:pt>
                <c:pt idx="5">
                  <c:v>14223</c:v>
                </c:pt>
                <c:pt idx="6">
                  <c:v>600</c:v>
                </c:pt>
                <c:pt idx="7">
                  <c:v>4706</c:v>
                </c:pt>
                <c:pt idx="8">
                  <c:v>112</c:v>
                </c:pt>
                <c:pt idx="9">
                  <c:v>2898</c:v>
                </c:pt>
                <c:pt idx="10">
                  <c:v>495</c:v>
                </c:pt>
                <c:pt idx="11">
                  <c:v>5947</c:v>
                </c:pt>
                <c:pt idx="12">
                  <c:v>2547</c:v>
                </c:pt>
                <c:pt idx="13">
                  <c:v>2265</c:v>
                </c:pt>
                <c:pt idx="14">
                  <c:v>25036</c:v>
                </c:pt>
                <c:pt idx="15">
                  <c:v>35888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0-44FA-B1B9-42D93A5F9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100%</c:v>
                </c:pt>
                <c:pt idx="1">
                  <c:v>58%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17%</c:v>
                </c:pt>
                <c:pt idx="7">
                  <c:v>100%</c:v>
                </c:pt>
                <c:pt idx="8">
                  <c:v>0%</c:v>
                </c:pt>
                <c:pt idx="9">
                  <c:v>58%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50%</c:v>
                </c:pt>
                <c:pt idx="14">
                  <c:v>100%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1</c:v>
                </c:pt>
                <c:pt idx="1">
                  <c:v>0.58333333333333337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0.16666666666666666</c:v>
                </c:pt>
                <c:pt idx="7">
                  <c:v>1</c:v>
                </c:pt>
                <c:pt idx="8">
                  <c:v>0</c:v>
                </c:pt>
                <c:pt idx="9">
                  <c:v>0.58333333333333337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0.5</c:v>
                </c:pt>
                <c:pt idx="14">
                  <c:v>1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98-4A6E-9F14-ED606B09599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98-4A6E-9F14-ED606B0959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COVER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0.50520833333333326</c:v>
                </c:pt>
                <c:pt idx="1">
                  <c:v>0.50520833333333326</c:v>
                </c:pt>
                <c:pt idx="2">
                  <c:v>0.50520833333333326</c:v>
                </c:pt>
                <c:pt idx="3">
                  <c:v>0.50520833333333326</c:v>
                </c:pt>
                <c:pt idx="4">
                  <c:v>0.50520833333333326</c:v>
                </c:pt>
                <c:pt idx="5">
                  <c:v>0.50520833333333326</c:v>
                </c:pt>
                <c:pt idx="6">
                  <c:v>0.50520833333333326</c:v>
                </c:pt>
                <c:pt idx="7">
                  <c:v>0.50520833333333326</c:v>
                </c:pt>
                <c:pt idx="8">
                  <c:v>0.50520833333333326</c:v>
                </c:pt>
                <c:pt idx="9">
                  <c:v>0.50520833333333326</c:v>
                </c:pt>
                <c:pt idx="10">
                  <c:v>0.50520833333333326</c:v>
                </c:pt>
                <c:pt idx="11">
                  <c:v>0.50520833333333326</c:v>
                </c:pt>
                <c:pt idx="12">
                  <c:v>0.50520833333333326</c:v>
                </c:pt>
                <c:pt idx="13">
                  <c:v>0.50520833333333326</c:v>
                </c:pt>
                <c:pt idx="14">
                  <c:v>0.50520833333333326</c:v>
                </c:pt>
                <c:pt idx="15">
                  <c:v>0.50520833333333326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98-4A6E-9F14-ED606B095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04B-4F51-B32E-33D0EF5F4E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B-4F51-B32E-33D0EF5F4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04B-4F51-B32E-33D0EF5F4E7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4B-4F51-B32E-33D0EF5F4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29235</c:v>
                </c:pt>
                <c:pt idx="1">
                  <c:v>3300</c:v>
                </c:pt>
                <c:pt idx="3">
                  <c:v>3188</c:v>
                </c:pt>
                <c:pt idx="4">
                  <c:v>26456</c:v>
                </c:pt>
                <c:pt idx="6">
                  <c:v>3747</c:v>
                </c:pt>
                <c:pt idx="9">
                  <c:v>5234</c:v>
                </c:pt>
                <c:pt idx="12">
                  <c:v>780</c:v>
                </c:pt>
                <c:pt idx="13">
                  <c:v>5614</c:v>
                </c:pt>
                <c:pt idx="14">
                  <c:v>22166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76-4AC4-A826-6D9ABEDA2C09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29235</c:v>
                </c:pt>
                <c:pt idx="1">
                  <c:v>3300</c:v>
                </c:pt>
                <c:pt idx="2">
                  <c:v>1180</c:v>
                </c:pt>
                <c:pt idx="3">
                  <c:v>3188</c:v>
                </c:pt>
                <c:pt idx="4">
                  <c:v>26456</c:v>
                </c:pt>
                <c:pt idx="5">
                  <c:v>14223</c:v>
                </c:pt>
                <c:pt idx="6">
                  <c:v>3747</c:v>
                </c:pt>
                <c:pt idx="7">
                  <c:v>4706</c:v>
                </c:pt>
                <c:pt idx="8">
                  <c:v>112</c:v>
                </c:pt>
                <c:pt idx="9">
                  <c:v>5234</c:v>
                </c:pt>
                <c:pt idx="10">
                  <c:v>495</c:v>
                </c:pt>
                <c:pt idx="11">
                  <c:v>5947</c:v>
                </c:pt>
                <c:pt idx="12">
                  <c:v>780</c:v>
                </c:pt>
                <c:pt idx="13">
                  <c:v>5614</c:v>
                </c:pt>
                <c:pt idx="14">
                  <c:v>22166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76-4AC4-A826-6D9ABEDA2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96%</c:v>
                </c:pt>
                <c:pt idx="1">
                  <c:v>54%</c:v>
                </c:pt>
                <c:pt idx="2">
                  <c:v>0%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83%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96%</c:v>
                </c:pt>
                <c:pt idx="15">
                  <c:v>17%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0.95833333333333337</c:v>
                </c:pt>
                <c:pt idx="1">
                  <c:v>0.54166666666666663</c:v>
                </c:pt>
                <c:pt idx="2">
                  <c:v>0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0.83333333333333337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0.95833333333333337</c:v>
                </c:pt>
                <c:pt idx="15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3-41D4-BE99-2F9D6E5C0B7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D3-41D4-BE99-2F9D6E5C0B7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0.4609375</c:v>
                </c:pt>
                <c:pt idx="1">
                  <c:v>0.4609375</c:v>
                </c:pt>
                <c:pt idx="2">
                  <c:v>0.4609375</c:v>
                </c:pt>
                <c:pt idx="3">
                  <c:v>0.4609375</c:v>
                </c:pt>
                <c:pt idx="4">
                  <c:v>0.4609375</c:v>
                </c:pt>
                <c:pt idx="5">
                  <c:v>0.4609375</c:v>
                </c:pt>
                <c:pt idx="6">
                  <c:v>0.4609375</c:v>
                </c:pt>
                <c:pt idx="7">
                  <c:v>0.4609375</c:v>
                </c:pt>
                <c:pt idx="8">
                  <c:v>0.4609375</c:v>
                </c:pt>
                <c:pt idx="9">
                  <c:v>0.4609375</c:v>
                </c:pt>
                <c:pt idx="10">
                  <c:v>0.4609375</c:v>
                </c:pt>
                <c:pt idx="11">
                  <c:v>0.4609375</c:v>
                </c:pt>
                <c:pt idx="12">
                  <c:v>0.4609375</c:v>
                </c:pt>
                <c:pt idx="13">
                  <c:v>0.4609375</c:v>
                </c:pt>
                <c:pt idx="14">
                  <c:v>0.4609375</c:v>
                </c:pt>
                <c:pt idx="15">
                  <c:v>0.4609375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D3-41D4-BE99-2F9D6E5C0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29235</c:v>
                </c:pt>
                <c:pt idx="1">
                  <c:v>3300</c:v>
                </c:pt>
                <c:pt idx="3">
                  <c:v>3188</c:v>
                </c:pt>
                <c:pt idx="4">
                  <c:v>26456</c:v>
                </c:pt>
                <c:pt idx="6">
                  <c:v>3747</c:v>
                </c:pt>
                <c:pt idx="9">
                  <c:v>5234</c:v>
                </c:pt>
                <c:pt idx="12">
                  <c:v>780</c:v>
                </c:pt>
                <c:pt idx="13">
                  <c:v>5614</c:v>
                </c:pt>
                <c:pt idx="14">
                  <c:v>22166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D-4A6D-B99E-E9D620F55897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29235</c:v>
                </c:pt>
                <c:pt idx="1">
                  <c:v>3300</c:v>
                </c:pt>
                <c:pt idx="2">
                  <c:v>1180</c:v>
                </c:pt>
                <c:pt idx="3">
                  <c:v>3188</c:v>
                </c:pt>
                <c:pt idx="4">
                  <c:v>26456</c:v>
                </c:pt>
                <c:pt idx="5">
                  <c:v>14223</c:v>
                </c:pt>
                <c:pt idx="6">
                  <c:v>3747</c:v>
                </c:pt>
                <c:pt idx="7">
                  <c:v>4706</c:v>
                </c:pt>
                <c:pt idx="8">
                  <c:v>112</c:v>
                </c:pt>
                <c:pt idx="9">
                  <c:v>5234</c:v>
                </c:pt>
                <c:pt idx="10">
                  <c:v>495</c:v>
                </c:pt>
                <c:pt idx="11">
                  <c:v>5947</c:v>
                </c:pt>
                <c:pt idx="12">
                  <c:v>780</c:v>
                </c:pt>
                <c:pt idx="13">
                  <c:v>5614</c:v>
                </c:pt>
                <c:pt idx="14">
                  <c:v>22166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D-4A6D-B99E-E9D620F55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96%</c:v>
                </c:pt>
                <c:pt idx="1">
                  <c:v>54%</c:v>
                </c:pt>
                <c:pt idx="2">
                  <c:v>0%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83%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96%</c:v>
                </c:pt>
                <c:pt idx="15">
                  <c:v>17%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0.95833333333333337</c:v>
                </c:pt>
                <c:pt idx="1">
                  <c:v>0.54166666666666663</c:v>
                </c:pt>
                <c:pt idx="2">
                  <c:v>0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0.83333333333333337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0.95833333333333337</c:v>
                </c:pt>
                <c:pt idx="15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F-4568-A811-BE8FD479467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6F-4568-A811-BE8FD479467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0.4609375</c:v>
                </c:pt>
                <c:pt idx="1">
                  <c:v>0.4609375</c:v>
                </c:pt>
                <c:pt idx="2">
                  <c:v>0.4609375</c:v>
                </c:pt>
                <c:pt idx="3">
                  <c:v>0.4609375</c:v>
                </c:pt>
                <c:pt idx="4">
                  <c:v>0.4609375</c:v>
                </c:pt>
                <c:pt idx="5">
                  <c:v>0.4609375</c:v>
                </c:pt>
                <c:pt idx="6">
                  <c:v>0.4609375</c:v>
                </c:pt>
                <c:pt idx="7">
                  <c:v>0.4609375</c:v>
                </c:pt>
                <c:pt idx="8">
                  <c:v>0.4609375</c:v>
                </c:pt>
                <c:pt idx="9">
                  <c:v>0.4609375</c:v>
                </c:pt>
                <c:pt idx="10">
                  <c:v>0.4609375</c:v>
                </c:pt>
                <c:pt idx="11">
                  <c:v>0.4609375</c:v>
                </c:pt>
                <c:pt idx="12">
                  <c:v>0.4609375</c:v>
                </c:pt>
                <c:pt idx="13">
                  <c:v>0.4609375</c:v>
                </c:pt>
                <c:pt idx="14">
                  <c:v>0.4609375</c:v>
                </c:pt>
                <c:pt idx="15">
                  <c:v>0.4609375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6F-4568-A811-BE8FD4794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1CE-425A-8BAF-AF727C7867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CE-425A-8BAF-AF727C786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1CE-425A-8BAF-AF727C78672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CE-425A-8BAF-AF727C786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BASE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14215</c:v>
                </c:pt>
                <c:pt idx="1">
                  <c:v>6010</c:v>
                </c:pt>
                <c:pt idx="3">
                  <c:v>4207</c:v>
                </c:pt>
                <c:pt idx="4">
                  <c:v>26372</c:v>
                </c:pt>
                <c:pt idx="6">
                  <c:v>4924</c:v>
                </c:pt>
                <c:pt idx="9">
                  <c:v>1444</c:v>
                </c:pt>
                <c:pt idx="10">
                  <c:v>3599</c:v>
                </c:pt>
                <c:pt idx="11">
                  <c:v>653</c:v>
                </c:pt>
                <c:pt idx="12">
                  <c:v>4188</c:v>
                </c:pt>
                <c:pt idx="13">
                  <c:v>3309</c:v>
                </c:pt>
                <c:pt idx="14">
                  <c:v>19449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E8-4D34-A4B8-B5231BE159F3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BASE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14215</c:v>
                </c:pt>
                <c:pt idx="1">
                  <c:v>6010</c:v>
                </c:pt>
                <c:pt idx="2">
                  <c:v>1180</c:v>
                </c:pt>
                <c:pt idx="3">
                  <c:v>4207</c:v>
                </c:pt>
                <c:pt idx="4">
                  <c:v>26372</c:v>
                </c:pt>
                <c:pt idx="5">
                  <c:v>14223</c:v>
                </c:pt>
                <c:pt idx="6">
                  <c:v>4924</c:v>
                </c:pt>
                <c:pt idx="7">
                  <c:v>4706</c:v>
                </c:pt>
                <c:pt idx="8">
                  <c:v>112</c:v>
                </c:pt>
                <c:pt idx="9">
                  <c:v>1444</c:v>
                </c:pt>
                <c:pt idx="10">
                  <c:v>3599</c:v>
                </c:pt>
                <c:pt idx="11">
                  <c:v>653</c:v>
                </c:pt>
                <c:pt idx="12">
                  <c:v>4188</c:v>
                </c:pt>
                <c:pt idx="13">
                  <c:v>3309</c:v>
                </c:pt>
                <c:pt idx="14">
                  <c:v>19449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E8-4D34-A4B8-B5231BE15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58%</c:v>
                </c:pt>
                <c:pt idx="1">
                  <c:v>54%</c:v>
                </c:pt>
                <c:pt idx="2">
                  <c:v>0%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33%</c:v>
                </c:pt>
                <c:pt idx="10">
                  <c:v>75%</c:v>
                </c:pt>
                <c:pt idx="11">
                  <c:v>17%</c:v>
                </c:pt>
                <c:pt idx="12">
                  <c:v>92%</c:v>
                </c:pt>
                <c:pt idx="13">
                  <c:v>67%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BASE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0.54166666666666663</c:v>
                </c:pt>
                <c:pt idx="2">
                  <c:v>0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0.33333333333333331</c:v>
                </c:pt>
                <c:pt idx="10">
                  <c:v>0.75</c:v>
                </c:pt>
                <c:pt idx="11">
                  <c:v>0.16666666666666666</c:v>
                </c:pt>
                <c:pt idx="12">
                  <c:v>0.91666666666666663</c:v>
                </c:pt>
                <c:pt idx="13">
                  <c:v>0.66666666666666663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4-451E-8215-621668D2277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F4-451E-8215-621668D2277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BASE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0.49479166666666674</c:v>
                </c:pt>
                <c:pt idx="1">
                  <c:v>0.49479166666666674</c:v>
                </c:pt>
                <c:pt idx="2">
                  <c:v>0.49479166666666674</c:v>
                </c:pt>
                <c:pt idx="3">
                  <c:v>0.49479166666666674</c:v>
                </c:pt>
                <c:pt idx="4">
                  <c:v>0.49479166666666674</c:v>
                </c:pt>
                <c:pt idx="5">
                  <c:v>0.49479166666666674</c:v>
                </c:pt>
                <c:pt idx="6">
                  <c:v>0.49479166666666674</c:v>
                </c:pt>
                <c:pt idx="7">
                  <c:v>0.49479166666666674</c:v>
                </c:pt>
                <c:pt idx="8">
                  <c:v>0.49479166666666674</c:v>
                </c:pt>
                <c:pt idx="9">
                  <c:v>0.49479166666666674</c:v>
                </c:pt>
                <c:pt idx="10">
                  <c:v>0.49479166666666674</c:v>
                </c:pt>
                <c:pt idx="11">
                  <c:v>0.49479166666666674</c:v>
                </c:pt>
                <c:pt idx="12">
                  <c:v>0.49479166666666674</c:v>
                </c:pt>
                <c:pt idx="13">
                  <c:v>0.49479166666666674</c:v>
                </c:pt>
                <c:pt idx="14">
                  <c:v>0.49479166666666674</c:v>
                </c:pt>
                <c:pt idx="15">
                  <c:v>0.49479166666666674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F4-451E-8215-621668D22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BASE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14215</c:v>
                </c:pt>
                <c:pt idx="1">
                  <c:v>6010</c:v>
                </c:pt>
                <c:pt idx="3">
                  <c:v>4207</c:v>
                </c:pt>
                <c:pt idx="4">
                  <c:v>26372</c:v>
                </c:pt>
                <c:pt idx="6">
                  <c:v>4924</c:v>
                </c:pt>
                <c:pt idx="9">
                  <c:v>1444</c:v>
                </c:pt>
                <c:pt idx="10">
                  <c:v>3599</c:v>
                </c:pt>
                <c:pt idx="11">
                  <c:v>653</c:v>
                </c:pt>
                <c:pt idx="12">
                  <c:v>4188</c:v>
                </c:pt>
                <c:pt idx="13">
                  <c:v>3309</c:v>
                </c:pt>
                <c:pt idx="14">
                  <c:v>19449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93-435F-83D1-5F472659824C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BASE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14215</c:v>
                </c:pt>
                <c:pt idx="1">
                  <c:v>6010</c:v>
                </c:pt>
                <c:pt idx="2">
                  <c:v>1180</c:v>
                </c:pt>
                <c:pt idx="3">
                  <c:v>4207</c:v>
                </c:pt>
                <c:pt idx="4">
                  <c:v>26372</c:v>
                </c:pt>
                <c:pt idx="5">
                  <c:v>14223</c:v>
                </c:pt>
                <c:pt idx="6">
                  <c:v>4924</c:v>
                </c:pt>
                <c:pt idx="7">
                  <c:v>4706</c:v>
                </c:pt>
                <c:pt idx="8">
                  <c:v>112</c:v>
                </c:pt>
                <c:pt idx="9">
                  <c:v>1444</c:v>
                </c:pt>
                <c:pt idx="10">
                  <c:v>3599</c:v>
                </c:pt>
                <c:pt idx="11">
                  <c:v>653</c:v>
                </c:pt>
                <c:pt idx="12">
                  <c:v>4188</c:v>
                </c:pt>
                <c:pt idx="13">
                  <c:v>3309</c:v>
                </c:pt>
                <c:pt idx="14">
                  <c:v>19449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93-435F-83D1-5F4726598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58%</c:v>
                </c:pt>
                <c:pt idx="1">
                  <c:v>54%</c:v>
                </c:pt>
                <c:pt idx="2">
                  <c:v>0%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33%</c:v>
                </c:pt>
                <c:pt idx="10">
                  <c:v>75%</c:v>
                </c:pt>
                <c:pt idx="11">
                  <c:v>17%</c:v>
                </c:pt>
                <c:pt idx="12">
                  <c:v>92%</c:v>
                </c:pt>
                <c:pt idx="13">
                  <c:v>67%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BASE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0.54166666666666663</c:v>
                </c:pt>
                <c:pt idx="2">
                  <c:v>0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0.33333333333333331</c:v>
                </c:pt>
                <c:pt idx="10">
                  <c:v>0.75</c:v>
                </c:pt>
                <c:pt idx="11">
                  <c:v>0.16666666666666666</c:v>
                </c:pt>
                <c:pt idx="12">
                  <c:v>0.91666666666666663</c:v>
                </c:pt>
                <c:pt idx="13">
                  <c:v>0.66666666666666663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0-4250-899E-8BA51DDDDAC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C0-4250-899E-8BA51DDDDA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SLIDER</c:v>
                </c:pt>
                <c:pt idx="2">
                  <c:v>BASE</c:v>
                </c:pt>
                <c:pt idx="3">
                  <c:v>ADAPTER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0.49479166666666674</c:v>
                </c:pt>
                <c:pt idx="1">
                  <c:v>0.49479166666666674</c:v>
                </c:pt>
                <c:pt idx="2">
                  <c:v>0.49479166666666674</c:v>
                </c:pt>
                <c:pt idx="3">
                  <c:v>0.49479166666666674</c:v>
                </c:pt>
                <c:pt idx="4">
                  <c:v>0.49479166666666674</c:v>
                </c:pt>
                <c:pt idx="5">
                  <c:v>0.49479166666666674</c:v>
                </c:pt>
                <c:pt idx="6">
                  <c:v>0.49479166666666674</c:v>
                </c:pt>
                <c:pt idx="7">
                  <c:v>0.49479166666666674</c:v>
                </c:pt>
                <c:pt idx="8">
                  <c:v>0.49479166666666674</c:v>
                </c:pt>
                <c:pt idx="9">
                  <c:v>0.49479166666666674</c:v>
                </c:pt>
                <c:pt idx="10">
                  <c:v>0.49479166666666674</c:v>
                </c:pt>
                <c:pt idx="11">
                  <c:v>0.49479166666666674</c:v>
                </c:pt>
                <c:pt idx="12">
                  <c:v>0.49479166666666674</c:v>
                </c:pt>
                <c:pt idx="13">
                  <c:v>0.49479166666666674</c:v>
                </c:pt>
                <c:pt idx="14">
                  <c:v>0.49479166666666674</c:v>
                </c:pt>
                <c:pt idx="15">
                  <c:v>0.49479166666666674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C0-4250-899E-8BA51DDDD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A64-40BC-8CBB-EB2415A2D4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4-40BC-8CBB-EB2415A2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A64-40BC-8CBB-EB2415A2D4D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4-40BC-8CBB-EB2415A2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9388</c:v>
                </c:pt>
                <c:pt idx="1">
                  <c:v>4686</c:v>
                </c:pt>
                <c:pt idx="2">
                  <c:v>2936</c:v>
                </c:pt>
                <c:pt idx="3">
                  <c:v>9384</c:v>
                </c:pt>
                <c:pt idx="4">
                  <c:v>26832</c:v>
                </c:pt>
                <c:pt idx="6">
                  <c:v>4838</c:v>
                </c:pt>
                <c:pt idx="10">
                  <c:v>5250</c:v>
                </c:pt>
                <c:pt idx="11">
                  <c:v>1204</c:v>
                </c:pt>
                <c:pt idx="12">
                  <c:v>5205</c:v>
                </c:pt>
                <c:pt idx="13">
                  <c:v>3855</c:v>
                </c:pt>
                <c:pt idx="14">
                  <c:v>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1-4A47-8588-BBEE9842C8B6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9388</c:v>
                </c:pt>
                <c:pt idx="1">
                  <c:v>4686</c:v>
                </c:pt>
                <c:pt idx="2">
                  <c:v>2936</c:v>
                </c:pt>
                <c:pt idx="3">
                  <c:v>9384</c:v>
                </c:pt>
                <c:pt idx="4">
                  <c:v>26832</c:v>
                </c:pt>
                <c:pt idx="5">
                  <c:v>14223</c:v>
                </c:pt>
                <c:pt idx="6">
                  <c:v>4838</c:v>
                </c:pt>
                <c:pt idx="7">
                  <c:v>4706</c:v>
                </c:pt>
                <c:pt idx="8">
                  <c:v>112</c:v>
                </c:pt>
                <c:pt idx="9">
                  <c:v>1444</c:v>
                </c:pt>
                <c:pt idx="10">
                  <c:v>5250</c:v>
                </c:pt>
                <c:pt idx="11">
                  <c:v>1204</c:v>
                </c:pt>
                <c:pt idx="12">
                  <c:v>5205</c:v>
                </c:pt>
                <c:pt idx="13">
                  <c:v>3855</c:v>
                </c:pt>
                <c:pt idx="14">
                  <c:v>4316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1-4A47-8588-BBEE9842C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92%</c:v>
                </c:pt>
                <c:pt idx="1">
                  <c:v>88%</c:v>
                </c:pt>
                <c:pt idx="2">
                  <c:v>54%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96%</c:v>
                </c:pt>
                <c:pt idx="11">
                  <c:v>29%</c:v>
                </c:pt>
                <c:pt idx="12">
                  <c:v>96%</c:v>
                </c:pt>
                <c:pt idx="13">
                  <c:v>79%</c:v>
                </c:pt>
                <c:pt idx="14">
                  <c:v>92%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0.91666666666666663</c:v>
                </c:pt>
                <c:pt idx="1">
                  <c:v>0.875</c:v>
                </c:pt>
                <c:pt idx="2">
                  <c:v>0.54166666666666663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0.95833333333333337</c:v>
                </c:pt>
                <c:pt idx="11">
                  <c:v>0.29166666666666669</c:v>
                </c:pt>
                <c:pt idx="12">
                  <c:v>0.95833333333333337</c:v>
                </c:pt>
                <c:pt idx="13">
                  <c:v>0.79166666666666663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A-43A4-9CDA-42433370EE6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6A-43A4-9CDA-42433370EE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0.57552083333333326</c:v>
                </c:pt>
                <c:pt idx="1">
                  <c:v>0.57552083333333326</c:v>
                </c:pt>
                <c:pt idx="2">
                  <c:v>0.57552083333333326</c:v>
                </c:pt>
                <c:pt idx="3">
                  <c:v>0.57552083333333326</c:v>
                </c:pt>
                <c:pt idx="4">
                  <c:v>0.57552083333333326</c:v>
                </c:pt>
                <c:pt idx="5">
                  <c:v>0.57552083333333326</c:v>
                </c:pt>
                <c:pt idx="6">
                  <c:v>0.57552083333333326</c:v>
                </c:pt>
                <c:pt idx="7">
                  <c:v>0.57552083333333326</c:v>
                </c:pt>
                <c:pt idx="8">
                  <c:v>0.57552083333333326</c:v>
                </c:pt>
                <c:pt idx="9">
                  <c:v>0.57552083333333326</c:v>
                </c:pt>
                <c:pt idx="10">
                  <c:v>0.57552083333333326</c:v>
                </c:pt>
                <c:pt idx="11">
                  <c:v>0.57552083333333326</c:v>
                </c:pt>
                <c:pt idx="12">
                  <c:v>0.57552083333333326</c:v>
                </c:pt>
                <c:pt idx="13">
                  <c:v>0.57552083333333326</c:v>
                </c:pt>
                <c:pt idx="14">
                  <c:v>0.57552083333333326</c:v>
                </c:pt>
                <c:pt idx="15">
                  <c:v>0.57552083333333326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6A-43A4-9CDA-42433370E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9388</c:v>
                </c:pt>
                <c:pt idx="1">
                  <c:v>4686</c:v>
                </c:pt>
                <c:pt idx="2">
                  <c:v>2936</c:v>
                </c:pt>
                <c:pt idx="3">
                  <c:v>9384</c:v>
                </c:pt>
                <c:pt idx="4">
                  <c:v>26832</c:v>
                </c:pt>
                <c:pt idx="6">
                  <c:v>4838</c:v>
                </c:pt>
                <c:pt idx="10">
                  <c:v>5250</c:v>
                </c:pt>
                <c:pt idx="11">
                  <c:v>1204</c:v>
                </c:pt>
                <c:pt idx="12">
                  <c:v>5205</c:v>
                </c:pt>
                <c:pt idx="13">
                  <c:v>3855</c:v>
                </c:pt>
                <c:pt idx="14">
                  <c:v>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0-49C1-BC86-9A6A98AD8E3E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9388</c:v>
                </c:pt>
                <c:pt idx="1">
                  <c:v>4686</c:v>
                </c:pt>
                <c:pt idx="2">
                  <c:v>2936</c:v>
                </c:pt>
                <c:pt idx="3">
                  <c:v>9384</c:v>
                </c:pt>
                <c:pt idx="4">
                  <c:v>26832</c:v>
                </c:pt>
                <c:pt idx="5">
                  <c:v>14223</c:v>
                </c:pt>
                <c:pt idx="6">
                  <c:v>4838</c:v>
                </c:pt>
                <c:pt idx="7">
                  <c:v>4706</c:v>
                </c:pt>
                <c:pt idx="8">
                  <c:v>112</c:v>
                </c:pt>
                <c:pt idx="9">
                  <c:v>1444</c:v>
                </c:pt>
                <c:pt idx="10">
                  <c:v>5250</c:v>
                </c:pt>
                <c:pt idx="11">
                  <c:v>1204</c:v>
                </c:pt>
                <c:pt idx="12">
                  <c:v>5205</c:v>
                </c:pt>
                <c:pt idx="13">
                  <c:v>3855</c:v>
                </c:pt>
                <c:pt idx="14">
                  <c:v>4316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0-49C1-BC86-9A6A98AD8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92%</c:v>
                </c:pt>
                <c:pt idx="1">
                  <c:v>88%</c:v>
                </c:pt>
                <c:pt idx="2">
                  <c:v>54%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96%</c:v>
                </c:pt>
                <c:pt idx="11">
                  <c:v>29%</c:v>
                </c:pt>
                <c:pt idx="12">
                  <c:v>96%</c:v>
                </c:pt>
                <c:pt idx="13">
                  <c:v>79%</c:v>
                </c:pt>
                <c:pt idx="14">
                  <c:v>92%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0.91666666666666663</c:v>
                </c:pt>
                <c:pt idx="1">
                  <c:v>0.875</c:v>
                </c:pt>
                <c:pt idx="2">
                  <c:v>0.54166666666666663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0.95833333333333337</c:v>
                </c:pt>
                <c:pt idx="11">
                  <c:v>0.29166666666666669</c:v>
                </c:pt>
                <c:pt idx="12">
                  <c:v>0.95833333333333337</c:v>
                </c:pt>
                <c:pt idx="13">
                  <c:v>0.79166666666666663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D5-43C4-9689-37BA63BC1E6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D5-43C4-9689-37BA63BC1E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0.57552083333333326</c:v>
                </c:pt>
                <c:pt idx="1">
                  <c:v>0.57552083333333326</c:v>
                </c:pt>
                <c:pt idx="2">
                  <c:v>0.57552083333333326</c:v>
                </c:pt>
                <c:pt idx="3">
                  <c:v>0.57552083333333326</c:v>
                </c:pt>
                <c:pt idx="4">
                  <c:v>0.57552083333333326</c:v>
                </c:pt>
                <c:pt idx="5">
                  <c:v>0.57552083333333326</c:v>
                </c:pt>
                <c:pt idx="6">
                  <c:v>0.57552083333333326</c:v>
                </c:pt>
                <c:pt idx="7">
                  <c:v>0.57552083333333326</c:v>
                </c:pt>
                <c:pt idx="8">
                  <c:v>0.57552083333333326</c:v>
                </c:pt>
                <c:pt idx="9">
                  <c:v>0.57552083333333326</c:v>
                </c:pt>
                <c:pt idx="10">
                  <c:v>0.57552083333333326</c:v>
                </c:pt>
                <c:pt idx="11">
                  <c:v>0.57552083333333326</c:v>
                </c:pt>
                <c:pt idx="12">
                  <c:v>0.57552083333333326</c:v>
                </c:pt>
                <c:pt idx="13">
                  <c:v>0.57552083333333326</c:v>
                </c:pt>
                <c:pt idx="14">
                  <c:v>0.57552083333333326</c:v>
                </c:pt>
                <c:pt idx="15">
                  <c:v>0.57552083333333326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D5-43C4-9689-37BA63BC1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8F0-4D3A-B924-126F38CF3F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0-4D3A-B924-126F38CF3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8F0-4D3A-B924-126F38CF3F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0-4D3A-B924-126F38CF3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6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COVER</c:v>
                </c:pt>
                <c:pt idx="15">
                  <c:v>LEAD GUIDE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0">
                  <c:v>9240</c:v>
                </c:pt>
                <c:pt idx="1">
                  <c:v>5374</c:v>
                </c:pt>
                <c:pt idx="2">
                  <c:v>8824</c:v>
                </c:pt>
                <c:pt idx="3">
                  <c:v>9944</c:v>
                </c:pt>
                <c:pt idx="4">
                  <c:v>5300</c:v>
                </c:pt>
                <c:pt idx="6">
                  <c:v>4627</c:v>
                </c:pt>
                <c:pt idx="8">
                  <c:v>211</c:v>
                </c:pt>
                <c:pt idx="9">
                  <c:v>2583</c:v>
                </c:pt>
                <c:pt idx="10">
                  <c:v>5336</c:v>
                </c:pt>
                <c:pt idx="11">
                  <c:v>1088</c:v>
                </c:pt>
                <c:pt idx="12">
                  <c:v>5220</c:v>
                </c:pt>
                <c:pt idx="13">
                  <c:v>4992</c:v>
                </c:pt>
                <c:pt idx="14">
                  <c:v>1084</c:v>
                </c:pt>
                <c:pt idx="15">
                  <c:v>1749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7-4AEF-A54C-3F38E2CCE23C}"/>
            </c:ext>
          </c:extLst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6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COVER</c:v>
                </c:pt>
                <c:pt idx="15">
                  <c:v>LEAD GUIDE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9240</c:v>
                </c:pt>
                <c:pt idx="1">
                  <c:v>5374</c:v>
                </c:pt>
                <c:pt idx="2">
                  <c:v>8824</c:v>
                </c:pt>
                <c:pt idx="3">
                  <c:v>9944</c:v>
                </c:pt>
                <c:pt idx="4">
                  <c:v>5300</c:v>
                </c:pt>
                <c:pt idx="5">
                  <c:v>14223</c:v>
                </c:pt>
                <c:pt idx="6">
                  <c:v>4627</c:v>
                </c:pt>
                <c:pt idx="7">
                  <c:v>4706</c:v>
                </c:pt>
                <c:pt idx="8">
                  <c:v>211</c:v>
                </c:pt>
                <c:pt idx="9">
                  <c:v>2583</c:v>
                </c:pt>
                <c:pt idx="10">
                  <c:v>5336</c:v>
                </c:pt>
                <c:pt idx="11">
                  <c:v>1088</c:v>
                </c:pt>
                <c:pt idx="12">
                  <c:v>5220</c:v>
                </c:pt>
                <c:pt idx="13">
                  <c:v>4992</c:v>
                </c:pt>
                <c:pt idx="14">
                  <c:v>1084</c:v>
                </c:pt>
                <c:pt idx="15">
                  <c:v>1749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27-4AEF-A54C-3F38E2CCE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7"/>
                <c:pt idx="0">
                  <c:v>88%</c:v>
                </c:pt>
                <c:pt idx="1">
                  <c:v>100%</c:v>
                </c:pt>
                <c:pt idx="2">
                  <c:v>83%</c:v>
                </c:pt>
                <c:pt idx="3">
                  <c:v>100%</c:v>
                </c:pt>
                <c:pt idx="4">
                  <c:v>29%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21%</c:v>
                </c:pt>
                <c:pt idx="9">
                  <c:v>54%</c:v>
                </c:pt>
                <c:pt idx="10">
                  <c:v>100%</c:v>
                </c:pt>
                <c:pt idx="11">
                  <c:v>42%</c:v>
                </c:pt>
                <c:pt idx="12">
                  <c:v>100%</c:v>
                </c:pt>
                <c:pt idx="13">
                  <c:v>100%</c:v>
                </c:pt>
                <c:pt idx="14">
                  <c:v>25%</c:v>
                </c:pt>
                <c:pt idx="15">
                  <c:v>42%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COVER</c:v>
                </c:pt>
                <c:pt idx="15">
                  <c:v>LEAD GUIDE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0.875</c:v>
                </c:pt>
                <c:pt idx="1">
                  <c:v>1</c:v>
                </c:pt>
                <c:pt idx="2">
                  <c:v>0.83333333333333337</c:v>
                </c:pt>
                <c:pt idx="3">
                  <c:v>1</c:v>
                </c:pt>
                <c:pt idx="4">
                  <c:v>0.29166666666666669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0.20833333333333334</c:v>
                </c:pt>
                <c:pt idx="9">
                  <c:v>0.54166666666666663</c:v>
                </c:pt>
                <c:pt idx="10">
                  <c:v>1</c:v>
                </c:pt>
                <c:pt idx="11">
                  <c:v>0.41666666666666669</c:v>
                </c:pt>
                <c:pt idx="12">
                  <c:v>1</c:v>
                </c:pt>
                <c:pt idx="13">
                  <c:v>1</c:v>
                </c:pt>
                <c:pt idx="14">
                  <c:v>0.25</c:v>
                </c:pt>
                <c:pt idx="15">
                  <c:v>0.41666666666666669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9-43FB-91FC-C9D601DADC8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C9-43FB-91FC-C9D601DADC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COVER</c:v>
                </c:pt>
                <c:pt idx="15">
                  <c:v>LEAD GUIDE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0.57843137254901966</c:v>
                </c:pt>
                <c:pt idx="1">
                  <c:v>0.57843137254901966</c:v>
                </c:pt>
                <c:pt idx="2">
                  <c:v>0.57843137254901966</c:v>
                </c:pt>
                <c:pt idx="3">
                  <c:v>0.57843137254901966</c:v>
                </c:pt>
                <c:pt idx="4">
                  <c:v>0.57843137254901966</c:v>
                </c:pt>
                <c:pt idx="5">
                  <c:v>0.57843137254901966</c:v>
                </c:pt>
                <c:pt idx="6">
                  <c:v>0.57843137254901966</c:v>
                </c:pt>
                <c:pt idx="7">
                  <c:v>0.57843137254901966</c:v>
                </c:pt>
                <c:pt idx="8">
                  <c:v>0.57843137254901966</c:v>
                </c:pt>
                <c:pt idx="9">
                  <c:v>0.57843137254901966</c:v>
                </c:pt>
                <c:pt idx="10">
                  <c:v>0.57843137254901966</c:v>
                </c:pt>
                <c:pt idx="11">
                  <c:v>0.57843137254901966</c:v>
                </c:pt>
                <c:pt idx="12">
                  <c:v>0.57843137254901966</c:v>
                </c:pt>
                <c:pt idx="13">
                  <c:v>0.57843137254901966</c:v>
                </c:pt>
                <c:pt idx="14">
                  <c:v>0.57843137254901966</c:v>
                </c:pt>
                <c:pt idx="15">
                  <c:v>0.57843137254901966</c:v>
                </c:pt>
                <c:pt idx="16">
                  <c:v>0.57843137254901966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9-43FB-91FC-C9D601DAD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6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COVER</c:v>
                </c:pt>
                <c:pt idx="15">
                  <c:v>LEAD GUIDE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0">
                  <c:v>9240</c:v>
                </c:pt>
                <c:pt idx="1">
                  <c:v>5374</c:v>
                </c:pt>
                <c:pt idx="2">
                  <c:v>8824</c:v>
                </c:pt>
                <c:pt idx="3">
                  <c:v>9944</c:v>
                </c:pt>
                <c:pt idx="4">
                  <c:v>5300</c:v>
                </c:pt>
                <c:pt idx="6">
                  <c:v>4627</c:v>
                </c:pt>
                <c:pt idx="8">
                  <c:v>211</c:v>
                </c:pt>
                <c:pt idx="9">
                  <c:v>2583</c:v>
                </c:pt>
                <c:pt idx="10">
                  <c:v>5336</c:v>
                </c:pt>
                <c:pt idx="11">
                  <c:v>1088</c:v>
                </c:pt>
                <c:pt idx="12">
                  <c:v>5220</c:v>
                </c:pt>
                <c:pt idx="13">
                  <c:v>4992</c:v>
                </c:pt>
                <c:pt idx="14">
                  <c:v>1084</c:v>
                </c:pt>
                <c:pt idx="15">
                  <c:v>1749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3-4B25-94E3-34E619B16304}"/>
            </c:ext>
          </c:extLst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6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COVER</c:v>
                </c:pt>
                <c:pt idx="15">
                  <c:v>LEAD GUIDE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9240</c:v>
                </c:pt>
                <c:pt idx="1">
                  <c:v>5374</c:v>
                </c:pt>
                <c:pt idx="2">
                  <c:v>8824</c:v>
                </c:pt>
                <c:pt idx="3">
                  <c:v>9944</c:v>
                </c:pt>
                <c:pt idx="4">
                  <c:v>5300</c:v>
                </c:pt>
                <c:pt idx="5">
                  <c:v>14223</c:v>
                </c:pt>
                <c:pt idx="6">
                  <c:v>4627</c:v>
                </c:pt>
                <c:pt idx="7">
                  <c:v>4706</c:v>
                </c:pt>
                <c:pt idx="8">
                  <c:v>211</c:v>
                </c:pt>
                <c:pt idx="9">
                  <c:v>2583</c:v>
                </c:pt>
                <c:pt idx="10">
                  <c:v>5336</c:v>
                </c:pt>
                <c:pt idx="11">
                  <c:v>1088</c:v>
                </c:pt>
                <c:pt idx="12">
                  <c:v>5220</c:v>
                </c:pt>
                <c:pt idx="13">
                  <c:v>4992</c:v>
                </c:pt>
                <c:pt idx="14">
                  <c:v>1084</c:v>
                </c:pt>
                <c:pt idx="15">
                  <c:v>1749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3-4B25-94E3-34E619B16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7"/>
                <c:pt idx="0">
                  <c:v>88%</c:v>
                </c:pt>
                <c:pt idx="1">
                  <c:v>100%</c:v>
                </c:pt>
                <c:pt idx="2">
                  <c:v>83%</c:v>
                </c:pt>
                <c:pt idx="3">
                  <c:v>100%</c:v>
                </c:pt>
                <c:pt idx="4">
                  <c:v>29%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21%</c:v>
                </c:pt>
                <c:pt idx="9">
                  <c:v>54%</c:v>
                </c:pt>
                <c:pt idx="10">
                  <c:v>100%</c:v>
                </c:pt>
                <c:pt idx="11">
                  <c:v>42%</c:v>
                </c:pt>
                <c:pt idx="12">
                  <c:v>100%</c:v>
                </c:pt>
                <c:pt idx="13">
                  <c:v>100%</c:v>
                </c:pt>
                <c:pt idx="14">
                  <c:v>25%</c:v>
                </c:pt>
                <c:pt idx="15">
                  <c:v>42%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COVER</c:v>
                </c:pt>
                <c:pt idx="15">
                  <c:v>LEAD GUIDE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0.875</c:v>
                </c:pt>
                <c:pt idx="1">
                  <c:v>1</c:v>
                </c:pt>
                <c:pt idx="2">
                  <c:v>0.83333333333333337</c:v>
                </c:pt>
                <c:pt idx="3">
                  <c:v>1</c:v>
                </c:pt>
                <c:pt idx="4">
                  <c:v>0.29166666666666669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0.20833333333333334</c:v>
                </c:pt>
                <c:pt idx="9">
                  <c:v>0.54166666666666663</c:v>
                </c:pt>
                <c:pt idx="10">
                  <c:v>1</c:v>
                </c:pt>
                <c:pt idx="11">
                  <c:v>0.41666666666666669</c:v>
                </c:pt>
                <c:pt idx="12">
                  <c:v>1</c:v>
                </c:pt>
                <c:pt idx="13">
                  <c:v>1</c:v>
                </c:pt>
                <c:pt idx="14">
                  <c:v>0.25</c:v>
                </c:pt>
                <c:pt idx="15">
                  <c:v>0.41666666666666669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84-4B58-9711-9467051F44D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84-4B58-9711-9467051F44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COVER</c:v>
                </c:pt>
                <c:pt idx="15">
                  <c:v>LEAD GUIDE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0.57843137254901966</c:v>
                </c:pt>
                <c:pt idx="1">
                  <c:v>0.57843137254901966</c:v>
                </c:pt>
                <c:pt idx="2">
                  <c:v>0.57843137254901966</c:v>
                </c:pt>
                <c:pt idx="3">
                  <c:v>0.57843137254901966</c:v>
                </c:pt>
                <c:pt idx="4">
                  <c:v>0.57843137254901966</c:v>
                </c:pt>
                <c:pt idx="5">
                  <c:v>0.57843137254901966</c:v>
                </c:pt>
                <c:pt idx="6">
                  <c:v>0.57843137254901966</c:v>
                </c:pt>
                <c:pt idx="7">
                  <c:v>0.57843137254901966</c:v>
                </c:pt>
                <c:pt idx="8">
                  <c:v>0.57843137254901966</c:v>
                </c:pt>
                <c:pt idx="9">
                  <c:v>0.57843137254901966</c:v>
                </c:pt>
                <c:pt idx="10">
                  <c:v>0.57843137254901966</c:v>
                </c:pt>
                <c:pt idx="11">
                  <c:v>0.57843137254901966</c:v>
                </c:pt>
                <c:pt idx="12">
                  <c:v>0.57843137254901966</c:v>
                </c:pt>
                <c:pt idx="13">
                  <c:v>0.57843137254901966</c:v>
                </c:pt>
                <c:pt idx="14">
                  <c:v>0.57843137254901966</c:v>
                </c:pt>
                <c:pt idx="15">
                  <c:v>0.57843137254901966</c:v>
                </c:pt>
                <c:pt idx="16">
                  <c:v>0.57843137254901966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84-4B58-9711-9467051F4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63D-4781-84EC-E4D5BB715A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D-4781-84EC-E4D5BB715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63D-4781-84EC-E4D5BB715A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3D-4781-84EC-E4D5BB715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0">
                  <c:v>10442</c:v>
                </c:pt>
                <c:pt idx="1">
                  <c:v>5266</c:v>
                </c:pt>
                <c:pt idx="2">
                  <c:v>11000</c:v>
                </c:pt>
                <c:pt idx="3">
                  <c:v>10192</c:v>
                </c:pt>
                <c:pt idx="6">
                  <c:v>1550</c:v>
                </c:pt>
                <c:pt idx="7">
                  <c:v>2779</c:v>
                </c:pt>
                <c:pt idx="10">
                  <c:v>5198</c:v>
                </c:pt>
                <c:pt idx="11">
                  <c:v>5402</c:v>
                </c:pt>
                <c:pt idx="13">
                  <c:v>5357</c:v>
                </c:pt>
                <c:pt idx="14">
                  <c:v>2633</c:v>
                </c:pt>
                <c:pt idx="15">
                  <c:v>7246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D-49B8-90C3-2F610A5447F2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10442</c:v>
                </c:pt>
                <c:pt idx="1">
                  <c:v>5266</c:v>
                </c:pt>
                <c:pt idx="2">
                  <c:v>11000</c:v>
                </c:pt>
                <c:pt idx="3">
                  <c:v>10192</c:v>
                </c:pt>
                <c:pt idx="4">
                  <c:v>5300</c:v>
                </c:pt>
                <c:pt idx="5">
                  <c:v>14223</c:v>
                </c:pt>
                <c:pt idx="6">
                  <c:v>1550</c:v>
                </c:pt>
                <c:pt idx="7">
                  <c:v>2779</c:v>
                </c:pt>
                <c:pt idx="8">
                  <c:v>4706</c:v>
                </c:pt>
                <c:pt idx="9">
                  <c:v>211</c:v>
                </c:pt>
                <c:pt idx="10">
                  <c:v>5198</c:v>
                </c:pt>
                <c:pt idx="11">
                  <c:v>5402</c:v>
                </c:pt>
                <c:pt idx="12">
                  <c:v>1088</c:v>
                </c:pt>
                <c:pt idx="13">
                  <c:v>5357</c:v>
                </c:pt>
                <c:pt idx="14">
                  <c:v>2633</c:v>
                </c:pt>
                <c:pt idx="15">
                  <c:v>7246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D-49B8-90C3-2F610A544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88%</c:v>
                </c:pt>
                <c:pt idx="1">
                  <c:v>92%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29%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54%</c:v>
                </c:pt>
                <c:pt idx="15">
                  <c:v>83%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0.875</c:v>
                </c:pt>
                <c:pt idx="1">
                  <c:v>0.91666666666666663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0.29166666666666669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0.54166666666666663</c:v>
                </c:pt>
                <c:pt idx="15">
                  <c:v>0.83333333333333337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0-4D68-8F6C-BDD499AB227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A0-4D68-8F6C-BDD499AB22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0.53431372549019607</c:v>
                </c:pt>
                <c:pt idx="1">
                  <c:v>0.53431372549019607</c:v>
                </c:pt>
                <c:pt idx="2">
                  <c:v>0.53431372549019607</c:v>
                </c:pt>
                <c:pt idx="3">
                  <c:v>0.53431372549019607</c:v>
                </c:pt>
                <c:pt idx="4">
                  <c:v>0.53431372549019607</c:v>
                </c:pt>
                <c:pt idx="5">
                  <c:v>0.53431372549019607</c:v>
                </c:pt>
                <c:pt idx="6">
                  <c:v>0.53431372549019607</c:v>
                </c:pt>
                <c:pt idx="7">
                  <c:v>0.53431372549019607</c:v>
                </c:pt>
                <c:pt idx="8">
                  <c:v>0.53431372549019607</c:v>
                </c:pt>
                <c:pt idx="9">
                  <c:v>0.53431372549019607</c:v>
                </c:pt>
                <c:pt idx="10">
                  <c:v>0.53431372549019607</c:v>
                </c:pt>
                <c:pt idx="11">
                  <c:v>0.53431372549019607</c:v>
                </c:pt>
                <c:pt idx="12">
                  <c:v>0.53431372549019607</c:v>
                </c:pt>
                <c:pt idx="13">
                  <c:v>0.53431372549019607</c:v>
                </c:pt>
                <c:pt idx="14">
                  <c:v>0.53431372549019607</c:v>
                </c:pt>
                <c:pt idx="15">
                  <c:v>0.53431372549019607</c:v>
                </c:pt>
                <c:pt idx="16">
                  <c:v>0.53431372549019607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A0-4D68-8F6C-BDD499AB2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0">
                  <c:v>10442</c:v>
                </c:pt>
                <c:pt idx="1">
                  <c:v>5266</c:v>
                </c:pt>
                <c:pt idx="2">
                  <c:v>11000</c:v>
                </c:pt>
                <c:pt idx="3">
                  <c:v>10192</c:v>
                </c:pt>
                <c:pt idx="6">
                  <c:v>1550</c:v>
                </c:pt>
                <c:pt idx="7">
                  <c:v>2779</c:v>
                </c:pt>
                <c:pt idx="10">
                  <c:v>5198</c:v>
                </c:pt>
                <c:pt idx="11">
                  <c:v>5402</c:v>
                </c:pt>
                <c:pt idx="13">
                  <c:v>5357</c:v>
                </c:pt>
                <c:pt idx="14">
                  <c:v>2633</c:v>
                </c:pt>
                <c:pt idx="15">
                  <c:v>7246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32-4729-B4A5-ABB5131EEDBD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10442</c:v>
                </c:pt>
                <c:pt idx="1">
                  <c:v>5266</c:v>
                </c:pt>
                <c:pt idx="2">
                  <c:v>11000</c:v>
                </c:pt>
                <c:pt idx="3">
                  <c:v>10192</c:v>
                </c:pt>
                <c:pt idx="4">
                  <c:v>5300</c:v>
                </c:pt>
                <c:pt idx="5">
                  <c:v>14223</c:v>
                </c:pt>
                <c:pt idx="6">
                  <c:v>1550</c:v>
                </c:pt>
                <c:pt idx="7">
                  <c:v>2779</c:v>
                </c:pt>
                <c:pt idx="8">
                  <c:v>4706</c:v>
                </c:pt>
                <c:pt idx="9">
                  <c:v>211</c:v>
                </c:pt>
                <c:pt idx="10">
                  <c:v>5198</c:v>
                </c:pt>
                <c:pt idx="11">
                  <c:v>5402</c:v>
                </c:pt>
                <c:pt idx="12">
                  <c:v>1088</c:v>
                </c:pt>
                <c:pt idx="13">
                  <c:v>5357</c:v>
                </c:pt>
                <c:pt idx="14">
                  <c:v>2633</c:v>
                </c:pt>
                <c:pt idx="15">
                  <c:v>7246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32-4729-B4A5-ABB5131EE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88%</c:v>
                </c:pt>
                <c:pt idx="1">
                  <c:v>92%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29%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54%</c:v>
                </c:pt>
                <c:pt idx="15">
                  <c:v>83%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0.875</c:v>
                </c:pt>
                <c:pt idx="1">
                  <c:v>0.91666666666666663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0.29166666666666669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0.54166666666666663</c:v>
                </c:pt>
                <c:pt idx="15">
                  <c:v>0.83333333333333337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5-4F3C-823C-5D94544370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D5-4F3C-823C-5D94544370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0.53431372549019607</c:v>
                </c:pt>
                <c:pt idx="1">
                  <c:v>0.53431372549019607</c:v>
                </c:pt>
                <c:pt idx="2">
                  <c:v>0.53431372549019607</c:v>
                </c:pt>
                <c:pt idx="3">
                  <c:v>0.53431372549019607</c:v>
                </c:pt>
                <c:pt idx="4">
                  <c:v>0.53431372549019607</c:v>
                </c:pt>
                <c:pt idx="5">
                  <c:v>0.53431372549019607</c:v>
                </c:pt>
                <c:pt idx="6">
                  <c:v>0.53431372549019607</c:v>
                </c:pt>
                <c:pt idx="7">
                  <c:v>0.53431372549019607</c:v>
                </c:pt>
                <c:pt idx="8">
                  <c:v>0.53431372549019607</c:v>
                </c:pt>
                <c:pt idx="9">
                  <c:v>0.53431372549019607</c:v>
                </c:pt>
                <c:pt idx="10">
                  <c:v>0.53431372549019607</c:v>
                </c:pt>
                <c:pt idx="11">
                  <c:v>0.53431372549019607</c:v>
                </c:pt>
                <c:pt idx="12">
                  <c:v>0.53431372549019607</c:v>
                </c:pt>
                <c:pt idx="13">
                  <c:v>0.53431372549019607</c:v>
                </c:pt>
                <c:pt idx="14">
                  <c:v>0.53431372549019607</c:v>
                </c:pt>
                <c:pt idx="15">
                  <c:v>0.53431372549019607</c:v>
                </c:pt>
                <c:pt idx="16">
                  <c:v>0.53431372549019607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5-4F3C-823C-5D9454437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8B5-4255-BC2D-94ED7085E2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B5-4255-BC2D-94ED7085E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8B5-4255-BC2D-94ED7085E20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B5-4255-BC2D-94ED7085E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7714</c:v>
                </c:pt>
                <c:pt idx="3">
                  <c:v>52210</c:v>
                </c:pt>
                <c:pt idx="4">
                  <c:v>6674</c:v>
                </c:pt>
                <c:pt idx="5">
                  <c:v>14673</c:v>
                </c:pt>
                <c:pt idx="6">
                  <c:v>4017</c:v>
                </c:pt>
                <c:pt idx="9">
                  <c:v>5277</c:v>
                </c:pt>
                <c:pt idx="10">
                  <c:v>5766</c:v>
                </c:pt>
                <c:pt idx="12">
                  <c:v>5490</c:v>
                </c:pt>
                <c:pt idx="14">
                  <c:v>10934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2-415C-8133-EDD842081E0E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7714</c:v>
                </c:pt>
                <c:pt idx="3">
                  <c:v>52210</c:v>
                </c:pt>
                <c:pt idx="4">
                  <c:v>6674</c:v>
                </c:pt>
                <c:pt idx="5">
                  <c:v>14673</c:v>
                </c:pt>
                <c:pt idx="6">
                  <c:v>4017</c:v>
                </c:pt>
                <c:pt idx="7">
                  <c:v>4706</c:v>
                </c:pt>
                <c:pt idx="8">
                  <c:v>211</c:v>
                </c:pt>
                <c:pt idx="9">
                  <c:v>5277</c:v>
                </c:pt>
                <c:pt idx="10">
                  <c:v>5766</c:v>
                </c:pt>
                <c:pt idx="11">
                  <c:v>1088</c:v>
                </c:pt>
                <c:pt idx="12">
                  <c:v>5490</c:v>
                </c:pt>
                <c:pt idx="13">
                  <c:v>2633</c:v>
                </c:pt>
                <c:pt idx="14">
                  <c:v>10934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2-415C-8133-EDD842081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63%</c:v>
                </c:pt>
                <c:pt idx="1">
                  <c:v>50%</c:v>
                </c:pt>
                <c:pt idx="2">
                  <c:v>75%</c:v>
                </c:pt>
                <c:pt idx="3">
                  <c:v>96%</c:v>
                </c:pt>
                <c:pt idx="4">
                  <c:v>71%</c:v>
                </c:pt>
                <c:pt idx="5">
                  <c:v>92%</c:v>
                </c:pt>
                <c:pt idx="6">
                  <c:v>88%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0.625</c:v>
                </c:pt>
                <c:pt idx="1">
                  <c:v>0.5</c:v>
                </c:pt>
                <c:pt idx="2">
                  <c:v>0.75</c:v>
                </c:pt>
                <c:pt idx="3">
                  <c:v>0.95833333333333337</c:v>
                </c:pt>
                <c:pt idx="4">
                  <c:v>0.70833333333333337</c:v>
                </c:pt>
                <c:pt idx="5">
                  <c:v>0.91666666666666663</c:v>
                </c:pt>
                <c:pt idx="6">
                  <c:v>0.875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7-40EF-807B-8018693405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57-40EF-807B-8018693405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0.58333333333333337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0.58333333333333337</c:v>
                </c:pt>
                <c:pt idx="6">
                  <c:v>0.58333333333333337</c:v>
                </c:pt>
                <c:pt idx="7">
                  <c:v>0.58333333333333337</c:v>
                </c:pt>
                <c:pt idx="8">
                  <c:v>0.58333333333333337</c:v>
                </c:pt>
                <c:pt idx="9">
                  <c:v>0.58333333333333337</c:v>
                </c:pt>
                <c:pt idx="10">
                  <c:v>0.58333333333333337</c:v>
                </c:pt>
                <c:pt idx="11">
                  <c:v>0.58333333333333337</c:v>
                </c:pt>
                <c:pt idx="12">
                  <c:v>0.58333333333333337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57-40EF-807B-801869340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7714</c:v>
                </c:pt>
                <c:pt idx="3">
                  <c:v>52210</c:v>
                </c:pt>
                <c:pt idx="4">
                  <c:v>6674</c:v>
                </c:pt>
                <c:pt idx="5">
                  <c:v>14673</c:v>
                </c:pt>
                <c:pt idx="6">
                  <c:v>4017</c:v>
                </c:pt>
                <c:pt idx="9">
                  <c:v>5277</c:v>
                </c:pt>
                <c:pt idx="10">
                  <c:v>5766</c:v>
                </c:pt>
                <c:pt idx="12">
                  <c:v>5490</c:v>
                </c:pt>
                <c:pt idx="14">
                  <c:v>10934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0C-44CE-B794-877A9C80ABCD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7714</c:v>
                </c:pt>
                <c:pt idx="3">
                  <c:v>52210</c:v>
                </c:pt>
                <c:pt idx="4">
                  <c:v>6674</c:v>
                </c:pt>
                <c:pt idx="5">
                  <c:v>14673</c:v>
                </c:pt>
                <c:pt idx="6">
                  <c:v>4017</c:v>
                </c:pt>
                <c:pt idx="7">
                  <c:v>4706</c:v>
                </c:pt>
                <c:pt idx="8">
                  <c:v>211</c:v>
                </c:pt>
                <c:pt idx="9">
                  <c:v>5277</c:v>
                </c:pt>
                <c:pt idx="10">
                  <c:v>5766</c:v>
                </c:pt>
                <c:pt idx="11">
                  <c:v>1088</c:v>
                </c:pt>
                <c:pt idx="12">
                  <c:v>5490</c:v>
                </c:pt>
                <c:pt idx="13">
                  <c:v>2633</c:v>
                </c:pt>
                <c:pt idx="14">
                  <c:v>10934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0C-44CE-B794-877A9C80A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63%</c:v>
                </c:pt>
                <c:pt idx="1">
                  <c:v>50%</c:v>
                </c:pt>
                <c:pt idx="2">
                  <c:v>75%</c:v>
                </c:pt>
                <c:pt idx="3">
                  <c:v>96%</c:v>
                </c:pt>
                <c:pt idx="4">
                  <c:v>71%</c:v>
                </c:pt>
                <c:pt idx="5">
                  <c:v>92%</c:v>
                </c:pt>
                <c:pt idx="6">
                  <c:v>88%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0.625</c:v>
                </c:pt>
                <c:pt idx="1">
                  <c:v>0.5</c:v>
                </c:pt>
                <c:pt idx="2">
                  <c:v>0.75</c:v>
                </c:pt>
                <c:pt idx="3">
                  <c:v>0.95833333333333337</c:v>
                </c:pt>
                <c:pt idx="4">
                  <c:v>0.70833333333333337</c:v>
                </c:pt>
                <c:pt idx="5">
                  <c:v>0.91666666666666663</c:v>
                </c:pt>
                <c:pt idx="6">
                  <c:v>0.875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B-4B44-8F8C-AEB46254FF5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FB-4B44-8F8C-AEB46254FF5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0.58333333333333337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0.58333333333333337</c:v>
                </c:pt>
                <c:pt idx="6">
                  <c:v>0.58333333333333337</c:v>
                </c:pt>
                <c:pt idx="7">
                  <c:v>0.58333333333333337</c:v>
                </c:pt>
                <c:pt idx="8">
                  <c:v>0.58333333333333337</c:v>
                </c:pt>
                <c:pt idx="9">
                  <c:v>0.58333333333333337</c:v>
                </c:pt>
                <c:pt idx="10">
                  <c:v>0.58333333333333337</c:v>
                </c:pt>
                <c:pt idx="11">
                  <c:v>0.58333333333333337</c:v>
                </c:pt>
                <c:pt idx="12">
                  <c:v>0.58333333333333337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FB-4B44-8F8C-AEB46254F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A95-4B44-A7B6-FD4C67A7D6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95-4B44-A7B6-FD4C67A7D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A95-4B44-A7B6-FD4C67A7D62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95-4B44-A7B6-FD4C67A7D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STOPPER</c:v>
                </c:pt>
                <c:pt idx="6">
                  <c:v>12V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'24'!$L$6:$L$22</c:f>
              <c:numCache>
                <c:formatCode>_(* #,##0_);_(* \(#,##0\);_(* "-"_);_(@_)</c:formatCode>
                <c:ptCount val="17"/>
                <c:pt idx="2">
                  <c:v>2807</c:v>
                </c:pt>
                <c:pt idx="3">
                  <c:v>54460</c:v>
                </c:pt>
                <c:pt idx="4">
                  <c:v>5246</c:v>
                </c:pt>
                <c:pt idx="5">
                  <c:v>3094</c:v>
                </c:pt>
                <c:pt idx="6">
                  <c:v>14103</c:v>
                </c:pt>
                <c:pt idx="9">
                  <c:v>120</c:v>
                </c:pt>
                <c:pt idx="10">
                  <c:v>2596</c:v>
                </c:pt>
                <c:pt idx="11">
                  <c:v>5931</c:v>
                </c:pt>
                <c:pt idx="13">
                  <c:v>4105</c:v>
                </c:pt>
                <c:pt idx="15">
                  <c:v>9650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7-45A7-B49E-16C82C759C83}"/>
            </c:ext>
          </c:extLst>
        </c:ser>
        <c:ser>
          <c:idx val="1"/>
          <c:order val="1"/>
          <c:tx>
            <c:v>계획</c:v>
          </c:tx>
          <c:cat>
            <c:strRef>
              <c:f>'24'!$D$6:$D$22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STOPPER</c:v>
                </c:pt>
                <c:pt idx="6">
                  <c:v>12V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'24'!$J$6:$J$22</c:f>
              <c:numCache>
                <c:formatCode>_(* #,##0_);_(* \(#,##0\);_(* "-"_);_(@_)</c:formatCode>
                <c:ptCount val="17"/>
                <c:pt idx="0">
                  <c:v>5160</c:v>
                </c:pt>
                <c:pt idx="1">
                  <c:v>2421</c:v>
                </c:pt>
                <c:pt idx="2">
                  <c:v>2807</c:v>
                </c:pt>
                <c:pt idx="3">
                  <c:v>54460</c:v>
                </c:pt>
                <c:pt idx="4">
                  <c:v>5246</c:v>
                </c:pt>
                <c:pt idx="5">
                  <c:v>3094</c:v>
                </c:pt>
                <c:pt idx="6">
                  <c:v>14103</c:v>
                </c:pt>
                <c:pt idx="7">
                  <c:v>4017</c:v>
                </c:pt>
                <c:pt idx="8">
                  <c:v>4706</c:v>
                </c:pt>
                <c:pt idx="9">
                  <c:v>120</c:v>
                </c:pt>
                <c:pt idx="10">
                  <c:v>2596</c:v>
                </c:pt>
                <c:pt idx="11">
                  <c:v>5931</c:v>
                </c:pt>
                <c:pt idx="12">
                  <c:v>1088</c:v>
                </c:pt>
                <c:pt idx="13">
                  <c:v>4105</c:v>
                </c:pt>
                <c:pt idx="14">
                  <c:v>2633</c:v>
                </c:pt>
                <c:pt idx="15">
                  <c:v>9650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E7-45A7-B49E-16C82C759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63%</c:v>
                </c:pt>
                <c:pt idx="3">
                  <c:v>100%</c:v>
                </c:pt>
                <c:pt idx="4">
                  <c:v>38%</c:v>
                </c:pt>
                <c:pt idx="5">
                  <c:v>54%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17%</c:v>
                </c:pt>
                <c:pt idx="10">
                  <c:v>46%</c:v>
                </c:pt>
                <c:pt idx="11">
                  <c:v>100%</c:v>
                </c:pt>
                <c:pt idx="12">
                  <c:v>0%</c:v>
                </c:pt>
                <c:pt idx="13">
                  <c:v>75%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STOPPER</c:v>
                </c:pt>
                <c:pt idx="6">
                  <c:v>12V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0.625</c:v>
                </c:pt>
                <c:pt idx="3">
                  <c:v>1</c:v>
                </c:pt>
                <c:pt idx="4">
                  <c:v>0.375</c:v>
                </c:pt>
                <c:pt idx="5">
                  <c:v>0.54166666666666663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0.16666666666666666</c:v>
                </c:pt>
                <c:pt idx="10">
                  <c:v>0.45833333333333331</c:v>
                </c:pt>
                <c:pt idx="11">
                  <c:v>1</c:v>
                </c:pt>
                <c:pt idx="12">
                  <c:v>0</c:v>
                </c:pt>
                <c:pt idx="13">
                  <c:v>0.75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4FC7-A04F-3FCDFA17AC9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78-4FC7-A04F-3FCDFA17AC9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STOPPER</c:v>
                </c:pt>
                <c:pt idx="6">
                  <c:v>12V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'24'!$AE$6:$AE$22</c:f>
              <c:numCache>
                <c:formatCode>0%</c:formatCode>
                <c:ptCount val="17"/>
                <c:pt idx="0">
                  <c:v>0.40686274509803916</c:v>
                </c:pt>
                <c:pt idx="1">
                  <c:v>0.40686274509803916</c:v>
                </c:pt>
                <c:pt idx="2">
                  <c:v>0.40686274509803916</c:v>
                </c:pt>
                <c:pt idx="3">
                  <c:v>0.40686274509803916</c:v>
                </c:pt>
                <c:pt idx="4">
                  <c:v>0.40686274509803916</c:v>
                </c:pt>
                <c:pt idx="5">
                  <c:v>0.40686274509803916</c:v>
                </c:pt>
                <c:pt idx="6">
                  <c:v>0.40686274509803916</c:v>
                </c:pt>
                <c:pt idx="7">
                  <c:v>0.40686274509803916</c:v>
                </c:pt>
                <c:pt idx="8">
                  <c:v>0.40686274509803916</c:v>
                </c:pt>
                <c:pt idx="9">
                  <c:v>0.40686274509803916</c:v>
                </c:pt>
                <c:pt idx="10">
                  <c:v>0.40686274509803916</c:v>
                </c:pt>
                <c:pt idx="11">
                  <c:v>0.40686274509803916</c:v>
                </c:pt>
                <c:pt idx="12">
                  <c:v>0.40686274509803916</c:v>
                </c:pt>
                <c:pt idx="13">
                  <c:v>0.40686274509803916</c:v>
                </c:pt>
                <c:pt idx="14">
                  <c:v>0.40686274509803916</c:v>
                </c:pt>
                <c:pt idx="15">
                  <c:v>0.40686274509803916</c:v>
                </c:pt>
                <c:pt idx="16">
                  <c:v>0.40686274509803916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8-4FC7-A04F-3FCDFA17A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STOPPER</c:v>
                </c:pt>
                <c:pt idx="6">
                  <c:v>12V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'24'!$L$6:$L$22</c:f>
              <c:numCache>
                <c:formatCode>_(* #,##0_);_(* \(#,##0\);_(* "-"_);_(@_)</c:formatCode>
                <c:ptCount val="17"/>
                <c:pt idx="2">
                  <c:v>2807</c:v>
                </c:pt>
                <c:pt idx="3">
                  <c:v>54460</c:v>
                </c:pt>
                <c:pt idx="4">
                  <c:v>5246</c:v>
                </c:pt>
                <c:pt idx="5">
                  <c:v>3094</c:v>
                </c:pt>
                <c:pt idx="6">
                  <c:v>14103</c:v>
                </c:pt>
                <c:pt idx="9">
                  <c:v>120</c:v>
                </c:pt>
                <c:pt idx="10">
                  <c:v>2596</c:v>
                </c:pt>
                <c:pt idx="11">
                  <c:v>5931</c:v>
                </c:pt>
                <c:pt idx="13">
                  <c:v>4105</c:v>
                </c:pt>
                <c:pt idx="15">
                  <c:v>9650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3-403A-A28C-BCD2CFF3D91D}"/>
            </c:ext>
          </c:extLst>
        </c:ser>
        <c:ser>
          <c:idx val="1"/>
          <c:order val="1"/>
          <c:tx>
            <c:v>계획</c:v>
          </c:tx>
          <c:cat>
            <c:strRef>
              <c:f>'24'!$D$6:$D$22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STOPPER</c:v>
                </c:pt>
                <c:pt idx="6">
                  <c:v>12V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'24'!$J$6:$J$22</c:f>
              <c:numCache>
                <c:formatCode>_(* #,##0_);_(* \(#,##0\);_(* "-"_);_(@_)</c:formatCode>
                <c:ptCount val="17"/>
                <c:pt idx="0">
                  <c:v>5160</c:v>
                </c:pt>
                <c:pt idx="1">
                  <c:v>2421</c:v>
                </c:pt>
                <c:pt idx="2">
                  <c:v>2807</c:v>
                </c:pt>
                <c:pt idx="3">
                  <c:v>54460</c:v>
                </c:pt>
                <c:pt idx="4">
                  <c:v>5246</c:v>
                </c:pt>
                <c:pt idx="5">
                  <c:v>3094</c:v>
                </c:pt>
                <c:pt idx="6">
                  <c:v>14103</c:v>
                </c:pt>
                <c:pt idx="7">
                  <c:v>4017</c:v>
                </c:pt>
                <c:pt idx="8">
                  <c:v>4706</c:v>
                </c:pt>
                <c:pt idx="9">
                  <c:v>120</c:v>
                </c:pt>
                <c:pt idx="10">
                  <c:v>2596</c:v>
                </c:pt>
                <c:pt idx="11">
                  <c:v>5931</c:v>
                </c:pt>
                <c:pt idx="12">
                  <c:v>1088</c:v>
                </c:pt>
                <c:pt idx="13">
                  <c:v>4105</c:v>
                </c:pt>
                <c:pt idx="14">
                  <c:v>2633</c:v>
                </c:pt>
                <c:pt idx="15">
                  <c:v>9650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3-403A-A28C-BCD2CFF3D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63%</c:v>
                </c:pt>
                <c:pt idx="3">
                  <c:v>100%</c:v>
                </c:pt>
                <c:pt idx="4">
                  <c:v>38%</c:v>
                </c:pt>
                <c:pt idx="5">
                  <c:v>54%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17%</c:v>
                </c:pt>
                <c:pt idx="10">
                  <c:v>46%</c:v>
                </c:pt>
                <c:pt idx="11">
                  <c:v>100%</c:v>
                </c:pt>
                <c:pt idx="12">
                  <c:v>0%</c:v>
                </c:pt>
                <c:pt idx="13">
                  <c:v>75%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STOPPER</c:v>
                </c:pt>
                <c:pt idx="6">
                  <c:v>12V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0.625</c:v>
                </c:pt>
                <c:pt idx="3">
                  <c:v>1</c:v>
                </c:pt>
                <c:pt idx="4">
                  <c:v>0.375</c:v>
                </c:pt>
                <c:pt idx="5">
                  <c:v>0.54166666666666663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0.16666666666666666</c:v>
                </c:pt>
                <c:pt idx="10">
                  <c:v>0.45833333333333331</c:v>
                </c:pt>
                <c:pt idx="11">
                  <c:v>1</c:v>
                </c:pt>
                <c:pt idx="12">
                  <c:v>0</c:v>
                </c:pt>
                <c:pt idx="13">
                  <c:v>0.75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3-4145-AF7E-4B30FC4F1F3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43-4145-AF7E-4B30FC4F1F3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5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STOPPER</c:v>
                </c:pt>
                <c:pt idx="6">
                  <c:v>12V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</c:strCache>
            </c:strRef>
          </c:cat>
          <c:val>
            <c:numRef>
              <c:f>'24'!$AE$6:$AE$22</c:f>
              <c:numCache>
                <c:formatCode>0%</c:formatCode>
                <c:ptCount val="17"/>
                <c:pt idx="0">
                  <c:v>0.40686274509803916</c:v>
                </c:pt>
                <c:pt idx="1">
                  <c:v>0.40686274509803916</c:v>
                </c:pt>
                <c:pt idx="2">
                  <c:v>0.40686274509803916</c:v>
                </c:pt>
                <c:pt idx="3">
                  <c:v>0.40686274509803916</c:v>
                </c:pt>
                <c:pt idx="4">
                  <c:v>0.40686274509803916</c:v>
                </c:pt>
                <c:pt idx="5">
                  <c:v>0.40686274509803916</c:v>
                </c:pt>
                <c:pt idx="6">
                  <c:v>0.40686274509803916</c:v>
                </c:pt>
                <c:pt idx="7">
                  <c:v>0.40686274509803916</c:v>
                </c:pt>
                <c:pt idx="8">
                  <c:v>0.40686274509803916</c:v>
                </c:pt>
                <c:pt idx="9">
                  <c:v>0.40686274509803916</c:v>
                </c:pt>
                <c:pt idx="10">
                  <c:v>0.40686274509803916</c:v>
                </c:pt>
                <c:pt idx="11">
                  <c:v>0.40686274509803916</c:v>
                </c:pt>
                <c:pt idx="12">
                  <c:v>0.40686274509803916</c:v>
                </c:pt>
                <c:pt idx="13">
                  <c:v>0.40686274509803916</c:v>
                </c:pt>
                <c:pt idx="14">
                  <c:v>0.40686274509803916</c:v>
                </c:pt>
                <c:pt idx="15">
                  <c:v>0.40686274509803916</c:v>
                </c:pt>
                <c:pt idx="16">
                  <c:v>0.40686274509803916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3-4145-AF7E-4B30FC4F1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34E-484E-B690-D0A3A37FED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E-484E-B690-D0A3A37FE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34E-484E-B690-D0A3A37FED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E-484E-B690-D0A3A37FE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'25'!$D$6:$D$22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'25'!$L$6:$L$22</c:f>
              <c:numCache>
                <c:formatCode>_(* #,##0_);_(* \(#,##0\);_(* "-"_);_(@_)</c:formatCode>
                <c:ptCount val="17"/>
                <c:pt idx="2">
                  <c:v>1599</c:v>
                </c:pt>
                <c:pt idx="3">
                  <c:v>33320</c:v>
                </c:pt>
                <c:pt idx="4">
                  <c:v>5826</c:v>
                </c:pt>
                <c:pt idx="5">
                  <c:v>10456</c:v>
                </c:pt>
                <c:pt idx="7">
                  <c:v>650</c:v>
                </c:pt>
                <c:pt idx="8">
                  <c:v>241</c:v>
                </c:pt>
                <c:pt idx="9">
                  <c:v>3070</c:v>
                </c:pt>
                <c:pt idx="10">
                  <c:v>3420</c:v>
                </c:pt>
                <c:pt idx="12">
                  <c:v>5456</c:v>
                </c:pt>
                <c:pt idx="13">
                  <c:v>20084</c:v>
                </c:pt>
                <c:pt idx="14">
                  <c:v>640</c:v>
                </c:pt>
                <c:pt idx="15">
                  <c:v>2730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F-4746-9EE2-271F8D91FA53}"/>
            </c:ext>
          </c:extLst>
        </c:ser>
        <c:ser>
          <c:idx val="1"/>
          <c:order val="1"/>
          <c:tx>
            <c:v>계획</c:v>
          </c:tx>
          <c:cat>
            <c:strRef>
              <c:f>'25'!$D$6:$D$22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'25'!$J$6:$J$22</c:f>
              <c:numCache>
                <c:formatCode>_(* #,##0_);_(* \(#,##0\);_(* "-"_);_(@_)</c:formatCode>
                <c:ptCount val="17"/>
                <c:pt idx="0">
                  <c:v>5160</c:v>
                </c:pt>
                <c:pt idx="1">
                  <c:v>2421</c:v>
                </c:pt>
                <c:pt idx="2">
                  <c:v>1599</c:v>
                </c:pt>
                <c:pt idx="3">
                  <c:v>33320</c:v>
                </c:pt>
                <c:pt idx="4">
                  <c:v>5826</c:v>
                </c:pt>
                <c:pt idx="5">
                  <c:v>10456</c:v>
                </c:pt>
                <c:pt idx="6">
                  <c:v>4017</c:v>
                </c:pt>
                <c:pt idx="7">
                  <c:v>650</c:v>
                </c:pt>
                <c:pt idx="8">
                  <c:v>241</c:v>
                </c:pt>
                <c:pt idx="9">
                  <c:v>3070</c:v>
                </c:pt>
                <c:pt idx="10">
                  <c:v>3420</c:v>
                </c:pt>
                <c:pt idx="11">
                  <c:v>1088</c:v>
                </c:pt>
                <c:pt idx="12">
                  <c:v>5456</c:v>
                </c:pt>
                <c:pt idx="13">
                  <c:v>20084</c:v>
                </c:pt>
                <c:pt idx="14">
                  <c:v>640</c:v>
                </c:pt>
                <c:pt idx="15">
                  <c:v>2730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CF-4746-9EE2-271F8D91F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67%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17%</c:v>
                </c:pt>
                <c:pt idx="8">
                  <c:v>25%</c:v>
                </c:pt>
                <c:pt idx="9">
                  <c:v>58%</c:v>
                </c:pt>
                <c:pt idx="10">
                  <c:v>71%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13%</c:v>
                </c:pt>
                <c:pt idx="15">
                  <c:v>54%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'25'!$AD$6:$AD$22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0.66666666666666663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0.16666666666666666</c:v>
                </c:pt>
                <c:pt idx="8">
                  <c:v>0.25</c:v>
                </c:pt>
                <c:pt idx="9">
                  <c:v>0.58333333333333337</c:v>
                </c:pt>
                <c:pt idx="10">
                  <c:v>0.70833333333333337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0.125</c:v>
                </c:pt>
                <c:pt idx="15">
                  <c:v>0.54166666666666663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7-4E85-A8F8-7811F5CFBF5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27-4E85-A8F8-7811F5CFBF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'25'!$AE$6:$AE$22</c:f>
              <c:numCache>
                <c:formatCode>0%</c:formatCode>
                <c:ptCount val="17"/>
                <c:pt idx="0">
                  <c:v>0.43382352941176472</c:v>
                </c:pt>
                <c:pt idx="1">
                  <c:v>0.43382352941176472</c:v>
                </c:pt>
                <c:pt idx="2">
                  <c:v>0.43382352941176472</c:v>
                </c:pt>
                <c:pt idx="3">
                  <c:v>0.43382352941176472</c:v>
                </c:pt>
                <c:pt idx="4">
                  <c:v>0.43382352941176472</c:v>
                </c:pt>
                <c:pt idx="5">
                  <c:v>0.43382352941176472</c:v>
                </c:pt>
                <c:pt idx="6">
                  <c:v>0.43382352941176472</c:v>
                </c:pt>
                <c:pt idx="7">
                  <c:v>0.43382352941176472</c:v>
                </c:pt>
                <c:pt idx="8">
                  <c:v>0.43382352941176472</c:v>
                </c:pt>
                <c:pt idx="9">
                  <c:v>0.43382352941176472</c:v>
                </c:pt>
                <c:pt idx="10">
                  <c:v>0.43382352941176472</c:v>
                </c:pt>
                <c:pt idx="11">
                  <c:v>0.43382352941176472</c:v>
                </c:pt>
                <c:pt idx="12">
                  <c:v>0.43382352941176472</c:v>
                </c:pt>
                <c:pt idx="13">
                  <c:v>0.43382352941176472</c:v>
                </c:pt>
                <c:pt idx="14">
                  <c:v>0.43382352941176472</c:v>
                </c:pt>
                <c:pt idx="15">
                  <c:v>0.43382352941176472</c:v>
                </c:pt>
                <c:pt idx="16">
                  <c:v>0.43382352941176472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27-4E85-A8F8-7811F5CFB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'25'!$D$6:$D$22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'25'!$L$6:$L$22</c:f>
              <c:numCache>
                <c:formatCode>_(* #,##0_);_(* \(#,##0\);_(* "-"_);_(@_)</c:formatCode>
                <c:ptCount val="17"/>
                <c:pt idx="2">
                  <c:v>1599</c:v>
                </c:pt>
                <c:pt idx="3">
                  <c:v>33320</c:v>
                </c:pt>
                <c:pt idx="4">
                  <c:v>5826</c:v>
                </c:pt>
                <c:pt idx="5">
                  <c:v>10456</c:v>
                </c:pt>
                <c:pt idx="7">
                  <c:v>650</c:v>
                </c:pt>
                <c:pt idx="8">
                  <c:v>241</c:v>
                </c:pt>
                <c:pt idx="9">
                  <c:v>3070</c:v>
                </c:pt>
                <c:pt idx="10">
                  <c:v>3420</c:v>
                </c:pt>
                <c:pt idx="12">
                  <c:v>5456</c:v>
                </c:pt>
                <c:pt idx="13">
                  <c:v>20084</c:v>
                </c:pt>
                <c:pt idx="14">
                  <c:v>640</c:v>
                </c:pt>
                <c:pt idx="15">
                  <c:v>2730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E-4960-BBB9-21C377DC62B6}"/>
            </c:ext>
          </c:extLst>
        </c:ser>
        <c:ser>
          <c:idx val="1"/>
          <c:order val="1"/>
          <c:tx>
            <c:v>계획</c:v>
          </c:tx>
          <c:cat>
            <c:strRef>
              <c:f>'25'!$D$6:$D$22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'25'!$J$6:$J$22</c:f>
              <c:numCache>
                <c:formatCode>_(* #,##0_);_(* \(#,##0\);_(* "-"_);_(@_)</c:formatCode>
                <c:ptCount val="17"/>
                <c:pt idx="0">
                  <c:v>5160</c:v>
                </c:pt>
                <c:pt idx="1">
                  <c:v>2421</c:v>
                </c:pt>
                <c:pt idx="2">
                  <c:v>1599</c:v>
                </c:pt>
                <c:pt idx="3">
                  <c:v>33320</c:v>
                </c:pt>
                <c:pt idx="4">
                  <c:v>5826</c:v>
                </c:pt>
                <c:pt idx="5">
                  <c:v>10456</c:v>
                </c:pt>
                <c:pt idx="6">
                  <c:v>4017</c:v>
                </c:pt>
                <c:pt idx="7">
                  <c:v>650</c:v>
                </c:pt>
                <c:pt idx="8">
                  <c:v>241</c:v>
                </c:pt>
                <c:pt idx="9">
                  <c:v>3070</c:v>
                </c:pt>
                <c:pt idx="10">
                  <c:v>3420</c:v>
                </c:pt>
                <c:pt idx="11">
                  <c:v>1088</c:v>
                </c:pt>
                <c:pt idx="12">
                  <c:v>5456</c:v>
                </c:pt>
                <c:pt idx="13">
                  <c:v>20084</c:v>
                </c:pt>
                <c:pt idx="14">
                  <c:v>640</c:v>
                </c:pt>
                <c:pt idx="15">
                  <c:v>2730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E-4960-BBB9-21C377DC6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67%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17%</c:v>
                </c:pt>
                <c:pt idx="8">
                  <c:v>25%</c:v>
                </c:pt>
                <c:pt idx="9">
                  <c:v>58%</c:v>
                </c:pt>
                <c:pt idx="10">
                  <c:v>71%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13%</c:v>
                </c:pt>
                <c:pt idx="15">
                  <c:v>54%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'25'!$AD$6:$AD$22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0.66666666666666663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0.16666666666666666</c:v>
                </c:pt>
                <c:pt idx="8">
                  <c:v>0.25</c:v>
                </c:pt>
                <c:pt idx="9">
                  <c:v>0.58333333333333337</c:v>
                </c:pt>
                <c:pt idx="10">
                  <c:v>0.70833333333333337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0.125</c:v>
                </c:pt>
                <c:pt idx="15">
                  <c:v>0.54166666666666663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1-4F40-A3E2-CBECBFA2DF5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91-4F40-A3E2-CBECBFA2DF5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'25'!$AE$6:$AE$22</c:f>
              <c:numCache>
                <c:formatCode>0%</c:formatCode>
                <c:ptCount val="17"/>
                <c:pt idx="0">
                  <c:v>0.43382352941176472</c:v>
                </c:pt>
                <c:pt idx="1">
                  <c:v>0.43382352941176472</c:v>
                </c:pt>
                <c:pt idx="2">
                  <c:v>0.43382352941176472</c:v>
                </c:pt>
                <c:pt idx="3">
                  <c:v>0.43382352941176472</c:v>
                </c:pt>
                <c:pt idx="4">
                  <c:v>0.43382352941176472</c:v>
                </c:pt>
                <c:pt idx="5">
                  <c:v>0.43382352941176472</c:v>
                </c:pt>
                <c:pt idx="6">
                  <c:v>0.43382352941176472</c:v>
                </c:pt>
                <c:pt idx="7">
                  <c:v>0.43382352941176472</c:v>
                </c:pt>
                <c:pt idx="8">
                  <c:v>0.43382352941176472</c:v>
                </c:pt>
                <c:pt idx="9">
                  <c:v>0.43382352941176472</c:v>
                </c:pt>
                <c:pt idx="10">
                  <c:v>0.43382352941176472</c:v>
                </c:pt>
                <c:pt idx="11">
                  <c:v>0.43382352941176472</c:v>
                </c:pt>
                <c:pt idx="12">
                  <c:v>0.43382352941176472</c:v>
                </c:pt>
                <c:pt idx="13">
                  <c:v>0.43382352941176472</c:v>
                </c:pt>
                <c:pt idx="14">
                  <c:v>0.43382352941176472</c:v>
                </c:pt>
                <c:pt idx="15">
                  <c:v>0.43382352941176472</c:v>
                </c:pt>
                <c:pt idx="16">
                  <c:v>0.43382352941176472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91-4F40-A3E2-CBECBFA2D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A1E-407E-9026-330016B8A1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1E-407E-9026-330016B8A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A1E-407E-9026-330016B8A1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1E-407E-9026-330016B8A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2">
                  <c:v>5435</c:v>
                </c:pt>
                <c:pt idx="3">
                  <c:v>83080</c:v>
                </c:pt>
                <c:pt idx="4">
                  <c:v>6359</c:v>
                </c:pt>
                <c:pt idx="9">
                  <c:v>5080</c:v>
                </c:pt>
                <c:pt idx="10">
                  <c:v>5712</c:v>
                </c:pt>
                <c:pt idx="12">
                  <c:v>5974</c:v>
                </c:pt>
                <c:pt idx="14">
                  <c:v>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9-4785-A412-EB0759F2786B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5435</c:v>
                </c:pt>
                <c:pt idx="3">
                  <c:v>83080</c:v>
                </c:pt>
                <c:pt idx="4">
                  <c:v>6359</c:v>
                </c:pt>
                <c:pt idx="5">
                  <c:v>10456</c:v>
                </c:pt>
                <c:pt idx="6">
                  <c:v>4017</c:v>
                </c:pt>
                <c:pt idx="7">
                  <c:v>650</c:v>
                </c:pt>
                <c:pt idx="8">
                  <c:v>241</c:v>
                </c:pt>
                <c:pt idx="9">
                  <c:v>5080</c:v>
                </c:pt>
                <c:pt idx="10">
                  <c:v>5712</c:v>
                </c:pt>
                <c:pt idx="11">
                  <c:v>1088</c:v>
                </c:pt>
                <c:pt idx="12">
                  <c:v>5974</c:v>
                </c:pt>
                <c:pt idx="13">
                  <c:v>20084</c:v>
                </c:pt>
                <c:pt idx="14">
                  <c:v>2730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C9-4785-A412-EB0759F27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194%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1.9417582417582417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39-49A4-9961-3C4622EC9DA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39-49A4-9961-3C4622EC9D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0.49635989010989012</c:v>
                </c:pt>
                <c:pt idx="1">
                  <c:v>0.49635989010989012</c:v>
                </c:pt>
                <c:pt idx="2">
                  <c:v>0.49635989010989012</c:v>
                </c:pt>
                <c:pt idx="3">
                  <c:v>0.49635989010989012</c:v>
                </c:pt>
                <c:pt idx="4">
                  <c:v>0.49635989010989012</c:v>
                </c:pt>
                <c:pt idx="5">
                  <c:v>0.49635989010989012</c:v>
                </c:pt>
                <c:pt idx="6">
                  <c:v>0.49635989010989012</c:v>
                </c:pt>
                <c:pt idx="7">
                  <c:v>0.49635989010989012</c:v>
                </c:pt>
                <c:pt idx="8">
                  <c:v>0.49635989010989012</c:v>
                </c:pt>
                <c:pt idx="9">
                  <c:v>0.49635989010989012</c:v>
                </c:pt>
                <c:pt idx="10">
                  <c:v>0.49635989010989012</c:v>
                </c:pt>
                <c:pt idx="11">
                  <c:v>0.49635989010989012</c:v>
                </c:pt>
                <c:pt idx="12">
                  <c:v>0.49635989010989012</c:v>
                </c:pt>
                <c:pt idx="13">
                  <c:v>0.49635989010989012</c:v>
                </c:pt>
                <c:pt idx="14">
                  <c:v>0.49635989010989012</c:v>
                </c:pt>
                <c:pt idx="15">
                  <c:v>0.49635989010989012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39-49A4-9961-3C4622EC9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2">
                  <c:v>5435</c:v>
                </c:pt>
                <c:pt idx="3">
                  <c:v>83080</c:v>
                </c:pt>
                <c:pt idx="4">
                  <c:v>6359</c:v>
                </c:pt>
                <c:pt idx="9">
                  <c:v>5080</c:v>
                </c:pt>
                <c:pt idx="10">
                  <c:v>5712</c:v>
                </c:pt>
                <c:pt idx="12">
                  <c:v>5974</c:v>
                </c:pt>
                <c:pt idx="14">
                  <c:v>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E-4370-97B3-F01748E60B89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5435</c:v>
                </c:pt>
                <c:pt idx="3">
                  <c:v>83080</c:v>
                </c:pt>
                <c:pt idx="4">
                  <c:v>6359</c:v>
                </c:pt>
                <c:pt idx="5">
                  <c:v>10456</c:v>
                </c:pt>
                <c:pt idx="6">
                  <c:v>4017</c:v>
                </c:pt>
                <c:pt idx="7">
                  <c:v>650</c:v>
                </c:pt>
                <c:pt idx="8">
                  <c:v>241</c:v>
                </c:pt>
                <c:pt idx="9">
                  <c:v>5080</c:v>
                </c:pt>
                <c:pt idx="10">
                  <c:v>5712</c:v>
                </c:pt>
                <c:pt idx="11">
                  <c:v>1088</c:v>
                </c:pt>
                <c:pt idx="12">
                  <c:v>5974</c:v>
                </c:pt>
                <c:pt idx="13">
                  <c:v>20084</c:v>
                </c:pt>
                <c:pt idx="14">
                  <c:v>2730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2E-4370-97B3-F01748E60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194%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1.9417582417582417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1-4C25-AA6A-D0ABFACE460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71-4C25-AA6A-D0ABFACE460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0.49635989010989012</c:v>
                </c:pt>
                <c:pt idx="1">
                  <c:v>0.49635989010989012</c:v>
                </c:pt>
                <c:pt idx="2">
                  <c:v>0.49635989010989012</c:v>
                </c:pt>
                <c:pt idx="3">
                  <c:v>0.49635989010989012</c:v>
                </c:pt>
                <c:pt idx="4">
                  <c:v>0.49635989010989012</c:v>
                </c:pt>
                <c:pt idx="5">
                  <c:v>0.49635989010989012</c:v>
                </c:pt>
                <c:pt idx="6">
                  <c:v>0.49635989010989012</c:v>
                </c:pt>
                <c:pt idx="7">
                  <c:v>0.49635989010989012</c:v>
                </c:pt>
                <c:pt idx="8">
                  <c:v>0.49635989010989012</c:v>
                </c:pt>
                <c:pt idx="9">
                  <c:v>0.49635989010989012</c:v>
                </c:pt>
                <c:pt idx="10">
                  <c:v>0.49635989010989012</c:v>
                </c:pt>
                <c:pt idx="11">
                  <c:v>0.49635989010989012</c:v>
                </c:pt>
                <c:pt idx="12">
                  <c:v>0.49635989010989012</c:v>
                </c:pt>
                <c:pt idx="13">
                  <c:v>0.49635989010989012</c:v>
                </c:pt>
                <c:pt idx="14">
                  <c:v>0.49635989010989012</c:v>
                </c:pt>
                <c:pt idx="15">
                  <c:v>0.49635989010989012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71-4C25-AA6A-D0ABFACE4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843-4EC2-8EB9-66E5BBAA5C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43-4EC2-8EB9-66E5BBAA5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843-4EC2-8EB9-66E5BBAA5C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43-4EC2-8EB9-66E5BBAA5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2">
                  <c:v>2500</c:v>
                </c:pt>
                <c:pt idx="4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0-4CA5-BBF5-71703A211B93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2500</c:v>
                </c:pt>
                <c:pt idx="3">
                  <c:v>83080</c:v>
                </c:pt>
                <c:pt idx="4">
                  <c:v>3000</c:v>
                </c:pt>
                <c:pt idx="5">
                  <c:v>10456</c:v>
                </c:pt>
                <c:pt idx="6">
                  <c:v>4017</c:v>
                </c:pt>
                <c:pt idx="7">
                  <c:v>650</c:v>
                </c:pt>
                <c:pt idx="8">
                  <c:v>241</c:v>
                </c:pt>
                <c:pt idx="9">
                  <c:v>5080</c:v>
                </c:pt>
                <c:pt idx="10">
                  <c:v>5712</c:v>
                </c:pt>
                <c:pt idx="11">
                  <c:v>1088</c:v>
                </c:pt>
                <c:pt idx="12">
                  <c:v>5974</c:v>
                </c:pt>
                <c:pt idx="13">
                  <c:v>20084</c:v>
                </c:pt>
                <c:pt idx="14">
                  <c:v>2730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0-4CA5-BBF5-71703A211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0%</c:v>
                </c:pt>
                <c:pt idx="4">
                  <c:v>50%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A-4E55-B4B0-844C2AA8F28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3A-4E55-B4B0-844C2AA8F28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6.25E-2</c:v>
                </c:pt>
                <c:pt idx="1">
                  <c:v>6.25E-2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6.25E-2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  <c:pt idx="15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3A-4E55-B4B0-844C2AA8F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2">
                  <c:v>2500</c:v>
                </c:pt>
                <c:pt idx="4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F3-48B8-934B-ED1E97680D5E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2500</c:v>
                </c:pt>
                <c:pt idx="3">
                  <c:v>83080</c:v>
                </c:pt>
                <c:pt idx="4">
                  <c:v>3000</c:v>
                </c:pt>
                <c:pt idx="5">
                  <c:v>10456</c:v>
                </c:pt>
                <c:pt idx="6">
                  <c:v>4017</c:v>
                </c:pt>
                <c:pt idx="7">
                  <c:v>650</c:v>
                </c:pt>
                <c:pt idx="8">
                  <c:v>241</c:v>
                </c:pt>
                <c:pt idx="9">
                  <c:v>5080</c:v>
                </c:pt>
                <c:pt idx="10">
                  <c:v>5712</c:v>
                </c:pt>
                <c:pt idx="11">
                  <c:v>1088</c:v>
                </c:pt>
                <c:pt idx="12">
                  <c:v>5974</c:v>
                </c:pt>
                <c:pt idx="13">
                  <c:v>20084</c:v>
                </c:pt>
                <c:pt idx="14">
                  <c:v>2730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F3-48B8-934B-ED1E97680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0%</c:v>
                </c:pt>
                <c:pt idx="4">
                  <c:v>50%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C-4CD8-AE00-6098649D656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7C-4CD8-AE00-6098649D65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12V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GUIDE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6.25E-2</c:v>
                </c:pt>
                <c:pt idx="1">
                  <c:v>6.25E-2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6.25E-2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  <c:pt idx="15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7C-4CD8-AE00-6098649D6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9F3-4D47-AA97-A8921FD8F8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3-4D47-AA97-A8921FD8F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9F3-4D47-AA97-A8921FD8F8C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F3-4D47-AA97-A8921FD8F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CAM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2">
                  <c:v>3414</c:v>
                </c:pt>
                <c:pt idx="3">
                  <c:v>68690</c:v>
                </c:pt>
                <c:pt idx="4">
                  <c:v>3571</c:v>
                </c:pt>
                <c:pt idx="5">
                  <c:v>0</c:v>
                </c:pt>
                <c:pt idx="10">
                  <c:v>5574</c:v>
                </c:pt>
                <c:pt idx="12">
                  <c:v>5581</c:v>
                </c:pt>
                <c:pt idx="13">
                  <c:v>4145</c:v>
                </c:pt>
                <c:pt idx="14">
                  <c:v>3143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F-4E59-8269-83DF37304C95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CAM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3414</c:v>
                </c:pt>
                <c:pt idx="3">
                  <c:v>68690</c:v>
                </c:pt>
                <c:pt idx="4">
                  <c:v>3571</c:v>
                </c:pt>
                <c:pt idx="5">
                  <c:v>10456</c:v>
                </c:pt>
                <c:pt idx="6">
                  <c:v>4017</c:v>
                </c:pt>
                <c:pt idx="7">
                  <c:v>650</c:v>
                </c:pt>
                <c:pt idx="8">
                  <c:v>241</c:v>
                </c:pt>
                <c:pt idx="9">
                  <c:v>5080</c:v>
                </c:pt>
                <c:pt idx="10">
                  <c:v>5574</c:v>
                </c:pt>
                <c:pt idx="11">
                  <c:v>1088</c:v>
                </c:pt>
                <c:pt idx="12">
                  <c:v>5581</c:v>
                </c:pt>
                <c:pt idx="13">
                  <c:v>4145</c:v>
                </c:pt>
                <c:pt idx="14">
                  <c:v>3143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FF-4E59-8269-83DF37304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71%</c:v>
                </c:pt>
                <c:pt idx="3">
                  <c:v>100%</c:v>
                </c:pt>
                <c:pt idx="4">
                  <c:v>75%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83%</c:v>
                </c:pt>
                <c:pt idx="14">
                  <c:v>67%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CAM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0.70833333333333337</c:v>
                </c:pt>
                <c:pt idx="3">
                  <c:v>1</c:v>
                </c:pt>
                <c:pt idx="4">
                  <c:v>0.75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0.66666666666666663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1-4FCE-A417-711279069AC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B1-4FCE-A417-711279069AC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CAM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0.37239583333333337</c:v>
                </c:pt>
                <c:pt idx="1">
                  <c:v>0.37239583333333337</c:v>
                </c:pt>
                <c:pt idx="2">
                  <c:v>0.37239583333333337</c:v>
                </c:pt>
                <c:pt idx="3">
                  <c:v>0.37239583333333337</c:v>
                </c:pt>
                <c:pt idx="4">
                  <c:v>0.37239583333333337</c:v>
                </c:pt>
                <c:pt idx="5">
                  <c:v>0.37239583333333337</c:v>
                </c:pt>
                <c:pt idx="6">
                  <c:v>0.37239583333333337</c:v>
                </c:pt>
                <c:pt idx="7">
                  <c:v>0.37239583333333337</c:v>
                </c:pt>
                <c:pt idx="8">
                  <c:v>0.37239583333333337</c:v>
                </c:pt>
                <c:pt idx="9">
                  <c:v>0.37239583333333337</c:v>
                </c:pt>
                <c:pt idx="10">
                  <c:v>0.37239583333333337</c:v>
                </c:pt>
                <c:pt idx="11">
                  <c:v>0.37239583333333337</c:v>
                </c:pt>
                <c:pt idx="12">
                  <c:v>0.37239583333333337</c:v>
                </c:pt>
                <c:pt idx="13">
                  <c:v>0.37239583333333337</c:v>
                </c:pt>
                <c:pt idx="14">
                  <c:v>0.37239583333333337</c:v>
                </c:pt>
                <c:pt idx="15">
                  <c:v>0.37239583333333337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B1-4FCE-A417-711279069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CAM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2">
                  <c:v>3414</c:v>
                </c:pt>
                <c:pt idx="3">
                  <c:v>68690</c:v>
                </c:pt>
                <c:pt idx="4">
                  <c:v>3571</c:v>
                </c:pt>
                <c:pt idx="5">
                  <c:v>0</c:v>
                </c:pt>
                <c:pt idx="10">
                  <c:v>5574</c:v>
                </c:pt>
                <c:pt idx="12">
                  <c:v>5581</c:v>
                </c:pt>
                <c:pt idx="13">
                  <c:v>4145</c:v>
                </c:pt>
                <c:pt idx="14">
                  <c:v>3143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C-4B78-82BB-FAB8CB0059EB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CAM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3414</c:v>
                </c:pt>
                <c:pt idx="3">
                  <c:v>68690</c:v>
                </c:pt>
                <c:pt idx="4">
                  <c:v>3571</c:v>
                </c:pt>
                <c:pt idx="5">
                  <c:v>10456</c:v>
                </c:pt>
                <c:pt idx="6">
                  <c:v>4017</c:v>
                </c:pt>
                <c:pt idx="7">
                  <c:v>650</c:v>
                </c:pt>
                <c:pt idx="8">
                  <c:v>241</c:v>
                </c:pt>
                <c:pt idx="9">
                  <c:v>5080</c:v>
                </c:pt>
                <c:pt idx="10">
                  <c:v>5574</c:v>
                </c:pt>
                <c:pt idx="11">
                  <c:v>1088</c:v>
                </c:pt>
                <c:pt idx="12">
                  <c:v>5581</c:v>
                </c:pt>
                <c:pt idx="13">
                  <c:v>4145</c:v>
                </c:pt>
                <c:pt idx="14">
                  <c:v>3143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4C-4B78-82BB-FAB8CB005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71%</c:v>
                </c:pt>
                <c:pt idx="3">
                  <c:v>100%</c:v>
                </c:pt>
                <c:pt idx="4">
                  <c:v>75%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83%</c:v>
                </c:pt>
                <c:pt idx="14">
                  <c:v>67%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CAM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0.70833333333333337</c:v>
                </c:pt>
                <c:pt idx="3">
                  <c:v>1</c:v>
                </c:pt>
                <c:pt idx="4">
                  <c:v>0.75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0.66666666666666663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19-4507-AD5B-B4429641D97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19-4507-AD5B-B4429641D9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CAM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0.37239583333333337</c:v>
                </c:pt>
                <c:pt idx="1">
                  <c:v>0.37239583333333337</c:v>
                </c:pt>
                <c:pt idx="2">
                  <c:v>0.37239583333333337</c:v>
                </c:pt>
                <c:pt idx="3">
                  <c:v>0.37239583333333337</c:v>
                </c:pt>
                <c:pt idx="4">
                  <c:v>0.37239583333333337</c:v>
                </c:pt>
                <c:pt idx="5">
                  <c:v>0.37239583333333337</c:v>
                </c:pt>
                <c:pt idx="6">
                  <c:v>0.37239583333333337</c:v>
                </c:pt>
                <c:pt idx="7">
                  <c:v>0.37239583333333337</c:v>
                </c:pt>
                <c:pt idx="8">
                  <c:v>0.37239583333333337</c:v>
                </c:pt>
                <c:pt idx="9">
                  <c:v>0.37239583333333337</c:v>
                </c:pt>
                <c:pt idx="10">
                  <c:v>0.37239583333333337</c:v>
                </c:pt>
                <c:pt idx="11">
                  <c:v>0.37239583333333337</c:v>
                </c:pt>
                <c:pt idx="12">
                  <c:v>0.37239583333333337</c:v>
                </c:pt>
                <c:pt idx="13">
                  <c:v>0.37239583333333337</c:v>
                </c:pt>
                <c:pt idx="14">
                  <c:v>0.37239583333333337</c:v>
                </c:pt>
                <c:pt idx="15">
                  <c:v>0.37239583333333337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19-4507-AD5B-B4429641D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CB5-4F61-ADF0-88954C4AE0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B5-4F61-ADF0-88954C4AE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CB5-4F61-ADF0-88954C4AE0B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B5-4F61-ADF0-88954C4AE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2">
                  <c:v>2745</c:v>
                </c:pt>
                <c:pt idx="3">
                  <c:v>69880</c:v>
                </c:pt>
                <c:pt idx="4">
                  <c:v>5144</c:v>
                </c:pt>
                <c:pt idx="5">
                  <c:v>10616</c:v>
                </c:pt>
                <c:pt idx="8">
                  <c:v>308</c:v>
                </c:pt>
                <c:pt idx="10">
                  <c:v>5768</c:v>
                </c:pt>
                <c:pt idx="12">
                  <c:v>5722</c:v>
                </c:pt>
                <c:pt idx="13">
                  <c:v>2361</c:v>
                </c:pt>
                <c:pt idx="14">
                  <c:v>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BA-4CE5-B793-C7C64CD23CDE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2745</c:v>
                </c:pt>
                <c:pt idx="3">
                  <c:v>69880</c:v>
                </c:pt>
                <c:pt idx="4">
                  <c:v>5144</c:v>
                </c:pt>
                <c:pt idx="5">
                  <c:v>10616</c:v>
                </c:pt>
                <c:pt idx="6">
                  <c:v>4017</c:v>
                </c:pt>
                <c:pt idx="7">
                  <c:v>650</c:v>
                </c:pt>
                <c:pt idx="8">
                  <c:v>308</c:v>
                </c:pt>
                <c:pt idx="9">
                  <c:v>5080</c:v>
                </c:pt>
                <c:pt idx="10">
                  <c:v>5768</c:v>
                </c:pt>
                <c:pt idx="11">
                  <c:v>1088</c:v>
                </c:pt>
                <c:pt idx="12">
                  <c:v>5722</c:v>
                </c:pt>
                <c:pt idx="13">
                  <c:v>2361</c:v>
                </c:pt>
                <c:pt idx="14">
                  <c:v>686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BA-4CE5-B793-C7C64CD23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63%</c:v>
                </c:pt>
                <c:pt idx="3">
                  <c:v>100%</c:v>
                </c:pt>
                <c:pt idx="4">
                  <c:v>88%</c:v>
                </c:pt>
                <c:pt idx="5">
                  <c:v>92%</c:v>
                </c:pt>
                <c:pt idx="6">
                  <c:v>0%</c:v>
                </c:pt>
                <c:pt idx="7">
                  <c:v>0%</c:v>
                </c:pt>
                <c:pt idx="8">
                  <c:v>25%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79%</c:v>
                </c:pt>
                <c:pt idx="14">
                  <c:v>17%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0.625</c:v>
                </c:pt>
                <c:pt idx="3">
                  <c:v>1</c:v>
                </c:pt>
                <c:pt idx="4">
                  <c:v>0.875</c:v>
                </c:pt>
                <c:pt idx="5">
                  <c:v>0.91666666666666663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0.79166666666666663</c:v>
                </c:pt>
                <c:pt idx="14">
                  <c:v>0.16666666666666666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4-4BB5-8833-7D28B02F0EF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94-4BB5-8833-7D28B02F0EF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0.4140625</c:v>
                </c:pt>
                <c:pt idx="1">
                  <c:v>0.4140625</c:v>
                </c:pt>
                <c:pt idx="2">
                  <c:v>0.4140625</c:v>
                </c:pt>
                <c:pt idx="3">
                  <c:v>0.4140625</c:v>
                </c:pt>
                <c:pt idx="4">
                  <c:v>0.4140625</c:v>
                </c:pt>
                <c:pt idx="5">
                  <c:v>0.4140625</c:v>
                </c:pt>
                <c:pt idx="6">
                  <c:v>0.4140625</c:v>
                </c:pt>
                <c:pt idx="7">
                  <c:v>0.4140625</c:v>
                </c:pt>
                <c:pt idx="8">
                  <c:v>0.4140625</c:v>
                </c:pt>
                <c:pt idx="9">
                  <c:v>0.4140625</c:v>
                </c:pt>
                <c:pt idx="10">
                  <c:v>0.4140625</c:v>
                </c:pt>
                <c:pt idx="11">
                  <c:v>0.4140625</c:v>
                </c:pt>
                <c:pt idx="12">
                  <c:v>0.4140625</c:v>
                </c:pt>
                <c:pt idx="13">
                  <c:v>0.4140625</c:v>
                </c:pt>
                <c:pt idx="14">
                  <c:v>0.4140625</c:v>
                </c:pt>
                <c:pt idx="15">
                  <c:v>0.4140625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94-4BB5-8833-7D28B02F0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2">
                  <c:v>2745</c:v>
                </c:pt>
                <c:pt idx="3">
                  <c:v>69880</c:v>
                </c:pt>
                <c:pt idx="4">
                  <c:v>5144</c:v>
                </c:pt>
                <c:pt idx="5">
                  <c:v>10616</c:v>
                </c:pt>
                <c:pt idx="8">
                  <c:v>308</c:v>
                </c:pt>
                <c:pt idx="10">
                  <c:v>5768</c:v>
                </c:pt>
                <c:pt idx="12">
                  <c:v>5722</c:v>
                </c:pt>
                <c:pt idx="13">
                  <c:v>2361</c:v>
                </c:pt>
                <c:pt idx="14">
                  <c:v>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B-4DA6-ADDC-80A690E311A4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2421</c:v>
                </c:pt>
                <c:pt idx="2">
                  <c:v>2745</c:v>
                </c:pt>
                <c:pt idx="3">
                  <c:v>69880</c:v>
                </c:pt>
                <c:pt idx="4">
                  <c:v>5144</c:v>
                </c:pt>
                <c:pt idx="5">
                  <c:v>10616</c:v>
                </c:pt>
                <c:pt idx="6">
                  <c:v>4017</c:v>
                </c:pt>
                <c:pt idx="7">
                  <c:v>650</c:v>
                </c:pt>
                <c:pt idx="8">
                  <c:v>308</c:v>
                </c:pt>
                <c:pt idx="9">
                  <c:v>5080</c:v>
                </c:pt>
                <c:pt idx="10">
                  <c:v>5768</c:v>
                </c:pt>
                <c:pt idx="11">
                  <c:v>1088</c:v>
                </c:pt>
                <c:pt idx="12">
                  <c:v>5722</c:v>
                </c:pt>
                <c:pt idx="13">
                  <c:v>2361</c:v>
                </c:pt>
                <c:pt idx="14">
                  <c:v>686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B-4DA6-ADDC-80A690E31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63%</c:v>
                </c:pt>
                <c:pt idx="3">
                  <c:v>100%</c:v>
                </c:pt>
                <c:pt idx="4">
                  <c:v>88%</c:v>
                </c:pt>
                <c:pt idx="5">
                  <c:v>92%</c:v>
                </c:pt>
                <c:pt idx="6">
                  <c:v>0%</c:v>
                </c:pt>
                <c:pt idx="7">
                  <c:v>0%</c:v>
                </c:pt>
                <c:pt idx="8">
                  <c:v>25%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79%</c:v>
                </c:pt>
                <c:pt idx="14">
                  <c:v>17%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0.625</c:v>
                </c:pt>
                <c:pt idx="3">
                  <c:v>1</c:v>
                </c:pt>
                <c:pt idx="4">
                  <c:v>0.875</c:v>
                </c:pt>
                <c:pt idx="5">
                  <c:v>0.91666666666666663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0.79166666666666663</c:v>
                </c:pt>
                <c:pt idx="14">
                  <c:v>0.16666666666666666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B-415E-A802-B85100F4EAE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2B-415E-A802-B85100F4EA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4"/>
                <c:pt idx="1">
                  <c:v>SLIDER</c:v>
                </c:pt>
                <c:pt idx="2">
                  <c:v>BASE</c:v>
                </c:pt>
                <c:pt idx="3">
                  <c:v>SHAFT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0.4140625</c:v>
                </c:pt>
                <c:pt idx="1">
                  <c:v>0.4140625</c:v>
                </c:pt>
                <c:pt idx="2">
                  <c:v>0.4140625</c:v>
                </c:pt>
                <c:pt idx="3">
                  <c:v>0.4140625</c:v>
                </c:pt>
                <c:pt idx="4">
                  <c:v>0.4140625</c:v>
                </c:pt>
                <c:pt idx="5">
                  <c:v>0.4140625</c:v>
                </c:pt>
                <c:pt idx="6">
                  <c:v>0.4140625</c:v>
                </c:pt>
                <c:pt idx="7">
                  <c:v>0.4140625</c:v>
                </c:pt>
                <c:pt idx="8">
                  <c:v>0.4140625</c:v>
                </c:pt>
                <c:pt idx="9">
                  <c:v>0.4140625</c:v>
                </c:pt>
                <c:pt idx="10">
                  <c:v>0.4140625</c:v>
                </c:pt>
                <c:pt idx="11">
                  <c:v>0.4140625</c:v>
                </c:pt>
                <c:pt idx="12">
                  <c:v>0.4140625</c:v>
                </c:pt>
                <c:pt idx="13">
                  <c:v>0.4140625</c:v>
                </c:pt>
                <c:pt idx="14">
                  <c:v>0.4140625</c:v>
                </c:pt>
                <c:pt idx="15">
                  <c:v>0.4140625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B-415E-A802-B85100F4E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DB8-46D5-A37A-B9BE82741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B8-46D5-A37A-B9BE82741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DB8-46D5-A37A-B9BE827410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B8-46D5-A37A-B9BE82741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09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0.46614583333333337</c:v>
                </c:pt>
                <c:pt idx="1">
                  <c:v>0.49264705882352944</c:v>
                </c:pt>
                <c:pt idx="2">
                  <c:v>0.32638888888888884</c:v>
                </c:pt>
                <c:pt idx="3">
                  <c:v>0.31510416666666663</c:v>
                </c:pt>
                <c:pt idx="4">
                  <c:v>0.16145833333333334</c:v>
                </c:pt>
                <c:pt idx="6">
                  <c:v>0.38802083333333337</c:v>
                </c:pt>
                <c:pt idx="7">
                  <c:v>0.43137254901960781</c:v>
                </c:pt>
                <c:pt idx="8">
                  <c:v>0.41666666666666669</c:v>
                </c:pt>
                <c:pt idx="9">
                  <c:v>0.38020833333333337</c:v>
                </c:pt>
                <c:pt idx="10">
                  <c:v>0.43750000000000006</c:v>
                </c:pt>
                <c:pt idx="11">
                  <c:v>0.33072916666666669</c:v>
                </c:pt>
                <c:pt idx="13">
                  <c:v>0.44531249999999994</c:v>
                </c:pt>
                <c:pt idx="14">
                  <c:v>0.50520833333333326</c:v>
                </c:pt>
                <c:pt idx="15">
                  <c:v>0.4609375</c:v>
                </c:pt>
                <c:pt idx="16">
                  <c:v>0.49479166666666674</c:v>
                </c:pt>
                <c:pt idx="17">
                  <c:v>0.57552083333333326</c:v>
                </c:pt>
                <c:pt idx="20">
                  <c:v>0.57843137254901966</c:v>
                </c:pt>
                <c:pt idx="21">
                  <c:v>0.53431372549019607</c:v>
                </c:pt>
                <c:pt idx="22">
                  <c:v>0.58333333333333337</c:v>
                </c:pt>
                <c:pt idx="23">
                  <c:v>0.40686274509803916</c:v>
                </c:pt>
                <c:pt idx="24">
                  <c:v>0.43382352941176472</c:v>
                </c:pt>
                <c:pt idx="25">
                  <c:v>0.49635989010989012</c:v>
                </c:pt>
                <c:pt idx="26">
                  <c:v>6.25E-2</c:v>
                </c:pt>
                <c:pt idx="27">
                  <c:v>0.37239583333333337</c:v>
                </c:pt>
                <c:pt idx="28">
                  <c:v>0.4140625</c:v>
                </c:pt>
                <c:pt idx="31">
                  <c:v>0.3503365197574756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09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0.30277777777777776</c:v>
                </c:pt>
                <c:pt idx="1">
                  <c:v>0.33194444444444449</c:v>
                </c:pt>
                <c:pt idx="2">
                  <c:v>0.51527777777777783</c:v>
                </c:pt>
                <c:pt idx="3">
                  <c:v>0.58472222222222225</c:v>
                </c:pt>
                <c:pt idx="4">
                  <c:v>0.62777777777777777</c:v>
                </c:pt>
                <c:pt idx="5">
                  <c:v>0.12777777777777777</c:v>
                </c:pt>
                <c:pt idx="6">
                  <c:v>0.33611111111111114</c:v>
                </c:pt>
                <c:pt idx="7">
                  <c:v>0.15972222222222224</c:v>
                </c:pt>
                <c:pt idx="8">
                  <c:v>2.9166666666666667E-2</c:v>
                </c:pt>
                <c:pt idx="9">
                  <c:v>0.32916666666666672</c:v>
                </c:pt>
                <c:pt idx="10">
                  <c:v>0.31388888888888894</c:v>
                </c:pt>
                <c:pt idx="11">
                  <c:v>2.9166666666666667E-2</c:v>
                </c:pt>
                <c:pt idx="12">
                  <c:v>0.58611111111111114</c:v>
                </c:pt>
                <c:pt idx="13">
                  <c:v>0.55833333333333335</c:v>
                </c:pt>
                <c:pt idx="14">
                  <c:v>0.69805860805860809</c:v>
                </c:pt>
                <c:pt idx="15">
                  <c:v>0.19305555555555556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Relationship Id="rId6" Type="http://schemas.openxmlformats.org/officeDocument/2006/relationships/chart" Target="../charts/chart125.xml"/><Relationship Id="rId5" Type="http://schemas.openxmlformats.org/officeDocument/2006/relationships/chart" Target="../charts/chart124.xml"/><Relationship Id="rId4" Type="http://schemas.openxmlformats.org/officeDocument/2006/relationships/chart" Target="../charts/chart123.xml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7.xml"/><Relationship Id="rId1" Type="http://schemas.openxmlformats.org/officeDocument/2006/relationships/chart" Target="../charts/chart1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85C1E94-9FAE-4884-B436-2567EBDA0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1F289D9-790C-4EFA-9C9F-4B2512A3B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1C35C92-FF65-4516-ABE7-8EE91B21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A79DDC0-9C71-45A0-8643-105BC8751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0BCE835-55EF-4772-8286-4E48FB538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EBA9D0D-B5DD-4E1C-AE24-ECD68DE44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DA533A6-B18C-4E1A-BB9A-46B04CBA9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05FFA6E-8C79-440F-A24D-52090E9849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C32ABE7-F56C-45AB-B8BC-D31EAC743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F1B2081-FB95-4A61-843F-772AF3E10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44DD177-7074-4D95-93A3-9B129E555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F513051-3F73-4BDF-A7CC-DD4DB5864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D9FD880-AFDF-4314-8603-511511FDE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A9CB713-F962-4DB3-A295-30AFFEFB8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0E19A46-DDF1-412F-B84A-7129C5328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F367626-A3EE-47C2-90F7-15052C3C1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A0FD693-5387-459E-B182-11EF2CF5B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9D8A1BF-3C3B-4252-9B1D-D42128A71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686D963-D29C-425C-8964-536D59C96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2F425FA-5969-4E64-A0A4-5B83E1CA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326D87B-97FC-4B7A-A7BE-C647C06A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952B8B7-E9D0-4DF3-B04A-FE28B5CBB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1D86A33-C239-49EB-B8C2-47E782F22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6F03D9D-8F55-4312-8BF3-C27AB2F28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6D0F883-91E6-4956-9CBB-F49236823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BA1C2D1-5D04-4DA8-8644-E13F4436C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36BCDC3-534D-4E13-9087-A4B2E066C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3264A03-7DB4-4A52-A8DF-00494B91C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93FFE52-3634-4202-B0D6-3F9427F8F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5748351-227D-4F90-BE7D-7AEC8C64A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3DBE1AC-3E5F-4A71-9069-4152B5ABD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9B34EFB-500E-4A75-A812-B7DAB4FE2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5DFFFFE-B2E7-4345-B04D-38A6F3F47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2A064D7-456C-4D36-8BCC-3651517D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21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7AD1374-A691-4379-B24D-A6A6F4411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EBE7A57-34C5-4478-BF4E-B1342339F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90CA443-43EF-4D02-BB8C-675F629BA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543DEA1-9971-4D89-ADD3-9FFEA4549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424B53F-DAAB-4714-8E1E-63AD6CC5F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2E13C7D-BFCD-45BC-981A-35C4B4EBE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222C2FC-8A17-4F46-B3CB-7C7DC4C06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86F973A-C954-44F0-B5A0-9AFCA3144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3F28B65-9880-406B-A04D-9D435568C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EEF6A1E-D6E1-46F3-81CC-899470FDA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D2DF276-6D08-4037-A80C-45042A23B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F5C058C-638A-41D9-9D60-C1F2208F9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FBCEE93-6DAA-4A7F-99BE-0902472EC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A2B047F-D303-4551-B485-32A1BA6B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18F995C-1454-44D1-B8CA-518F66139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E85CB66-316B-4DD1-A22B-CBEE144C8A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FF8A28F-77E4-4EDB-B2C2-05ABE3627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2C2B6B2-C214-4E73-8BA0-3D48C480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7C7FF80-4413-49F0-8A25-8F0FBA878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D10E93E-7923-4DFB-BA7D-03FD02E3B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116A061-D5FE-4BF3-990D-0CE2C5A87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26486C8-A358-43A2-9B4E-71C0BF184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A37D34-3D53-4395-84F0-A2316B3D0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7F46FE9-0330-47F7-9D4D-0153419EF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4005C21-851B-4660-98AE-9ED8DF115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D28FFCE-51BF-4BBB-9F71-76EDD1D31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3AB659-C369-42B2-9244-B5335365E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D140372-D0B1-4598-ACEC-D9E5E367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7DFAEB0-083D-4A90-BF08-37F9222C2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CA531D4-691B-426B-8BAB-0AB6FB2E9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20923C3-530B-4F33-8FA0-4358BD069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5DC979C-21AC-46AC-9E23-C9F7D6989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11ACD0E-45B7-472F-B7A9-C0A861463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933F396-2813-4C05-8F2B-1E3FA836A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A822150-0E36-499C-AB9E-D9168B029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89C12CF-5A8C-461C-9593-0FF3981EF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CC0D4F1-5465-474B-B1AD-37BFAF2DB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E43414C-A892-47A3-BBC5-EB9194CF2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5AE9DFF-95CC-40A7-BDCC-47A5C57A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778ADB0-07ED-4E8C-913B-C3EFC50E6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E002F27-7CCE-4172-BF86-4D6471132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40A7C77-3CDE-418D-8BD0-0B802D5C3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620E41B-0965-4A5E-8107-A112B0C64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2E70912-3466-4012-8F56-03AB5B5AC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C2BFFA0-5D72-4711-A31C-66772D0ED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778CA2F-1989-4C47-BA77-8BD402D16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222777C-5481-4C49-AAE6-B1F20813D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2605200-5373-4193-8C34-F297EEF07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5A4335F-D5CA-4022-A121-BB9E18CBA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F392EC2-107E-48F3-B759-8C1D6B887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A4D267D-746A-453F-AD27-CF7214131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055EEB7-92D5-438D-9E37-92CDE0C70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D515EDF-A1D3-4B22-9662-603290CC2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3215FDD-7F71-478E-80FA-965BA82AA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56ECED7-72C7-482C-9CDE-F712888CF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989C78E-F016-4FE1-BC9E-8128EC93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E64A7FF-BA59-4B5E-854E-74E2615C2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639CDDD-ED74-4148-993B-AA9F3AC1A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58D6D46-39FB-48AE-929C-69CC56C0B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A52390B-F11E-470E-9B8A-2C420ED37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14B1B5E-94D2-4F48-8770-30E577EB4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1292C94-EF42-4087-BE13-4DDDD4DA8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1A6A31C-2194-46E8-8A33-55A9EE0A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5C1D8B0-700A-4751-8FC1-3B2280C30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7186209-6ABC-4249-BB64-DD048806DC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3E4537-6CE7-4BF3-84D0-986C2F6DD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7887BAA-52BE-4B4B-953C-D0570169B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476A54B-351B-4405-AF05-5EC02FF73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D7208F5-2D56-457F-B3AB-6AAD2EAD7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48DA011-DCE3-483E-AE38-77E668C6F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0C79CEC-F404-4B58-91AB-0DA1F6D47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6488C2F-1C26-4290-84A1-E84D16B3B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88FD281-4239-4D41-99FD-D66B98B64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111BD0E-7B73-4870-906F-3FD51318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3030837-40AB-4BB1-B386-8DE6C7BEA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FF88365-C781-46ED-9B7A-8ECF74738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D62BFD4-CEA2-44D1-AD5C-F6FA1A6B8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354560F-D22A-4530-ADA6-1B1EBFEA4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04FCD64-3F26-43C0-9941-9A409CA14B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A6DAF2E-8309-45EA-B528-E8EFB6780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A8DA37F-EF54-453A-A6F9-6C9F4EB5A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0F91980-8D66-44E9-8107-4DE043BCB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D4E8808-DE10-45E1-8B16-9F30FCB4B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D3F1107-A231-4CAD-A824-01F6ED20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E3A7C21-A1A3-409B-A5C2-096504DF0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20F44AC-2226-449A-8AE6-20315F41E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972F201-9CCB-4457-A8A9-21F1145CD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34D930B-AED1-4EE6-89E7-FC39393DB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70C8367-F0AE-4476-8C5F-7D87197EE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B67656F-036C-4897-8764-4EFFA3A7B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973F0FC-033C-4BDD-974D-F1A3C54D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7BC82DE-C41D-49BF-BC4B-B01285565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7EBCE84-7AF2-40C9-9687-341DB354A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4966612-187E-442E-A23E-ACF9990B9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85DAFC8-6D69-4F68-B4E0-BB7ECA44B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8D5F95D-37F4-4D8A-AADE-03FCCBF6E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B956977-865F-4BF9-8E2B-BFBC08053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E5FABF5-DBC7-4055-A721-C5CAA2D3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409184D-C88C-4A94-91B7-5AE889046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59DE2AD-1078-4C78-8D28-1951C2EEB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86A7C4C-5339-4E9D-AB5A-5E5314C5F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AF151E1-159C-4248-BAE8-EE832DDBE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5A42A85-9E6D-4857-92E7-ED27B77E8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85AEC6E-20CA-4B5D-82B7-7A5A60520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F890F1A-63F7-4539-89D5-70EC37E80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E5822CA-3DAA-4915-AA00-FD5BB7FEE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32412C7-1382-4E0D-8795-26BB41B2F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8ADCA23-668D-4AAA-ADCD-6276EBE08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C18D8C3-8435-47F5-8C20-D8920D3FD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1483421-3C0C-4DE9-829E-EECE6B808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5216062-CD94-47B9-B753-2B0104DD9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946FE6D-34F7-4D81-B5B0-B265EA668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4511815-9D8A-46ED-AE9F-45048B0DC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1DAFDE-54F5-4792-BC2F-04113AC7E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BFBD90E-D6E6-4E4A-ACBE-DF1E1EA61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F466FB7-CB32-4F29-98D8-387D7266F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5C6E21C-282F-4D31-B5A4-F6C801EC1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EECAB8D-5065-4F59-97C2-4E18051C2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FC1ED96-C993-47AC-94BC-49EDEE7B8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BD9B06A-EF1A-41C4-A1F9-8A3DDC5EE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382F6EB-AF20-40FC-9FFA-243C72A78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A5F4B2A-CBCE-437F-AAD9-BE67DBD42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810C406-0050-4F25-B993-E245B4002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23BC4E0-3464-45D6-9ABB-8296C692F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336428A-3876-4537-A9E8-5913312C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D457E63-2F8F-400D-A87C-19CD62BF9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457F37D-FBC5-4F74-9543-EDBC77814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4D8B2F7-CE02-4248-AC85-7DB13DB88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2DC0AEC-E2C2-48F0-B39F-F2ADB0807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49C3C92-73DF-4FC8-A8FE-A50160279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E3C7D72-088E-4E9C-8C36-DD870F290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BA918FF-B4EB-4BD5-8268-5D112A169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407388E-CAD0-4DCA-97A7-FC944AF6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6BBA9F2-7B5B-4667-A27F-BECB5C02B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3272034-AC3F-4B85-AB1D-40B2FD8F3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D6E7486-D492-497F-B440-EEBED2B2E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959895A-596D-494A-8784-4C1441B2F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DCD1A7F-DCF0-4AB6-AE39-CC31636FF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C1B2C2E-B412-446C-8E88-CA676FEDE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F4B694E-7944-46D4-B9EC-6792A7205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9665888-3E0D-42A4-A746-0241DA12C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4943-4643-415E-963A-2D56C3B2EC46}">
  <dimension ref="A1:AF87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171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120" t="s">
        <v>17</v>
      </c>
      <c r="L5" s="120" t="s">
        <v>18</v>
      </c>
      <c r="M5" s="120" t="s">
        <v>19</v>
      </c>
      <c r="N5" s="12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118</v>
      </c>
      <c r="D6" s="52" t="s">
        <v>127</v>
      </c>
      <c r="E6" s="53" t="s">
        <v>150</v>
      </c>
      <c r="F6" s="12" t="s">
        <v>126</v>
      </c>
      <c r="G6" s="12">
        <v>1</v>
      </c>
      <c r="H6" s="13">
        <v>24</v>
      </c>
      <c r="I6" s="31">
        <v>8000</v>
      </c>
      <c r="J6" s="14">
        <v>5719</v>
      </c>
      <c r="K6" s="15">
        <f>L6+5572</f>
        <v>11291</v>
      </c>
      <c r="L6" s="15">
        <f>2848+2871</f>
        <v>5719</v>
      </c>
      <c r="M6" s="15">
        <f t="shared" ref="M6:M21" si="0">L6-N6</f>
        <v>5719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0.46614583333333337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3683</v>
      </c>
      <c r="K7" s="15">
        <f>L7</f>
        <v>3683</v>
      </c>
      <c r="L7" s="15">
        <f>2959+724</f>
        <v>3683</v>
      </c>
      <c r="M7" s="15">
        <f t="shared" si="0"/>
        <v>3683</v>
      </c>
      <c r="N7" s="15">
        <v>0</v>
      </c>
      <c r="O7" s="58">
        <f t="shared" si="1"/>
        <v>0</v>
      </c>
      <c r="P7" s="39">
        <f t="shared" si="2"/>
        <v>15</v>
      </c>
      <c r="Q7" s="40">
        <f t="shared" si="3"/>
        <v>9</v>
      </c>
      <c r="R7" s="7"/>
      <c r="S7" s="6">
        <v>9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0.625</v>
      </c>
      <c r="AD7" s="10">
        <f t="shared" si="6"/>
        <v>0.625</v>
      </c>
      <c r="AE7" s="36">
        <f t="shared" si="7"/>
        <v>0.46614583333333337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28000</v>
      </c>
      <c r="J8" s="14">
        <v>4739</v>
      </c>
      <c r="K8" s="15">
        <f>L8+670+3737+4361</f>
        <v>13507</v>
      </c>
      <c r="L8" s="15">
        <f>2418+2321</f>
        <v>4739</v>
      </c>
      <c r="M8" s="15">
        <f t="shared" si="0"/>
        <v>4739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0.46614583333333337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148</v>
      </c>
      <c r="F9" s="30" t="s">
        <v>128</v>
      </c>
      <c r="G9" s="33">
        <v>1</v>
      </c>
      <c r="H9" s="35">
        <v>24</v>
      </c>
      <c r="I9" s="7">
        <v>8000</v>
      </c>
      <c r="J9" s="5">
        <v>1537</v>
      </c>
      <c r="K9" s="15">
        <f>L9+2855</f>
        <v>4392</v>
      </c>
      <c r="L9" s="15">
        <f>532+1005</f>
        <v>1537</v>
      </c>
      <c r="M9" s="15">
        <f t="shared" si="0"/>
        <v>1537</v>
      </c>
      <c r="N9" s="15">
        <v>0</v>
      </c>
      <c r="O9" s="58">
        <f t="shared" si="1"/>
        <v>0</v>
      </c>
      <c r="P9" s="39">
        <f t="shared" si="2"/>
        <v>9</v>
      </c>
      <c r="Q9" s="40">
        <f t="shared" si="3"/>
        <v>15</v>
      </c>
      <c r="R9" s="7"/>
      <c r="S9" s="6">
        <v>15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0.375</v>
      </c>
      <c r="AD9" s="10">
        <f>AC9*AB9*(1-O9)</f>
        <v>0.375</v>
      </c>
      <c r="AE9" s="36">
        <f t="shared" si="7"/>
        <v>0.46614583333333337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169</v>
      </c>
      <c r="F10" s="30" t="s">
        <v>158</v>
      </c>
      <c r="G10" s="33">
        <v>1</v>
      </c>
      <c r="H10" s="35">
        <v>24</v>
      </c>
      <c r="I10" s="7">
        <v>50000</v>
      </c>
      <c r="J10" s="14">
        <v>6693</v>
      </c>
      <c r="K10" s="15">
        <f>L10+5240</f>
        <v>11933</v>
      </c>
      <c r="L10" s="15">
        <f>3417+3276</f>
        <v>6693</v>
      </c>
      <c r="M10" s="15">
        <f t="shared" si="0"/>
        <v>6693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0.46614583333333337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0.46614583333333337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170</v>
      </c>
      <c r="E12" s="53" t="s">
        <v>163</v>
      </c>
      <c r="F12" s="30" t="s">
        <v>164</v>
      </c>
      <c r="G12" s="12">
        <v>1</v>
      </c>
      <c r="H12" s="13">
        <v>20</v>
      </c>
      <c r="I12" s="31">
        <v>2500</v>
      </c>
      <c r="J12" s="5">
        <v>1194</v>
      </c>
      <c r="K12" s="15">
        <f>L12+2788</f>
        <v>3982</v>
      </c>
      <c r="L12" s="15">
        <v>1194</v>
      </c>
      <c r="M12" s="15">
        <f t="shared" si="0"/>
        <v>1194</v>
      </c>
      <c r="N12" s="15">
        <v>0</v>
      </c>
      <c r="O12" s="58">
        <f t="shared" si="1"/>
        <v>0</v>
      </c>
      <c r="P12" s="39">
        <f t="shared" si="2"/>
        <v>7</v>
      </c>
      <c r="Q12" s="40">
        <f t="shared" si="3"/>
        <v>17</v>
      </c>
      <c r="R12" s="7"/>
      <c r="S12" s="6"/>
      <c r="T12" s="16"/>
      <c r="U12" s="16"/>
      <c r="V12" s="17"/>
      <c r="W12" s="5">
        <v>17</v>
      </c>
      <c r="X12" s="16"/>
      <c r="Y12" s="16"/>
      <c r="Z12" s="16"/>
      <c r="AA12" s="18"/>
      <c r="AB12" s="8">
        <f t="shared" si="4"/>
        <v>1</v>
      </c>
      <c r="AC12" s="9">
        <f t="shared" si="5"/>
        <v>0.29166666666666669</v>
      </c>
      <c r="AD12" s="10">
        <f t="shared" si="9"/>
        <v>0.29166666666666669</v>
      </c>
      <c r="AE12" s="36">
        <f t="shared" si="7"/>
        <v>0.46614583333333337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118</v>
      </c>
      <c r="D13" s="52" t="s">
        <v>129</v>
      </c>
      <c r="E13" s="53" t="s">
        <v>159</v>
      </c>
      <c r="F13" s="30" t="s">
        <v>160</v>
      </c>
      <c r="G13" s="12">
        <v>1</v>
      </c>
      <c r="H13" s="13">
        <v>28</v>
      </c>
      <c r="I13" s="31">
        <v>37000</v>
      </c>
      <c r="J13" s="5">
        <v>497</v>
      </c>
      <c r="K13" s="15">
        <f>L13</f>
        <v>497</v>
      </c>
      <c r="L13" s="15">
        <f>497</f>
        <v>497</v>
      </c>
      <c r="M13" s="15">
        <f t="shared" si="0"/>
        <v>497</v>
      </c>
      <c r="N13" s="15">
        <v>0</v>
      </c>
      <c r="O13" s="58">
        <f t="shared" si="1"/>
        <v>0</v>
      </c>
      <c r="P13" s="39">
        <f t="shared" si="2"/>
        <v>3</v>
      </c>
      <c r="Q13" s="40">
        <f t="shared" si="3"/>
        <v>21</v>
      </c>
      <c r="R13" s="7"/>
      <c r="S13" s="6">
        <v>21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0.125</v>
      </c>
      <c r="AD13" s="10">
        <f>AC13*AB13*(1-O13)</f>
        <v>0.125</v>
      </c>
      <c r="AE13" s="36">
        <f t="shared" si="7"/>
        <v>0.46614583333333337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0.46614583333333337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v>13000</v>
      </c>
      <c r="J15" s="14">
        <v>5033</v>
      </c>
      <c r="K15" s="15">
        <f>L15+3277+4927+4955+4860+5033</f>
        <v>23052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0.46614583333333337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0.46614583333333337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0.46614583333333337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157</v>
      </c>
      <c r="F18" s="30" t="s">
        <v>122</v>
      </c>
      <c r="G18" s="33">
        <v>2</v>
      </c>
      <c r="H18" s="35">
        <v>24</v>
      </c>
      <c r="I18" s="7">
        <v>50000</v>
      </c>
      <c r="J18" s="14">
        <v>9380</v>
      </c>
      <c r="K18" s="15">
        <f>L18+2418+5560</f>
        <v>17358</v>
      </c>
      <c r="L18" s="15">
        <f>2823*2+1867*2</f>
        <v>9380</v>
      </c>
      <c r="M18" s="15">
        <f t="shared" si="0"/>
        <v>9380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0.46614583333333337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115</v>
      </c>
      <c r="E19" s="53" t="s">
        <v>167</v>
      </c>
      <c r="F19" s="30" t="s">
        <v>160</v>
      </c>
      <c r="G19" s="33">
        <v>1</v>
      </c>
      <c r="H19" s="35">
        <v>24</v>
      </c>
      <c r="I19" s="7">
        <v>28000</v>
      </c>
      <c r="J19" s="14">
        <v>4031</v>
      </c>
      <c r="K19" s="15">
        <f>L19+4594+5357+5319+5539+1391</f>
        <v>26231</v>
      </c>
      <c r="L19" s="15">
        <f>2751+1280</f>
        <v>4031</v>
      </c>
      <c r="M19" s="15">
        <f t="shared" si="0"/>
        <v>4031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0.46614583333333337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153</v>
      </c>
      <c r="F20" s="30" t="s">
        <v>122</v>
      </c>
      <c r="G20" s="12">
        <v>4</v>
      </c>
      <c r="H20" s="13">
        <v>28</v>
      </c>
      <c r="I20" s="31">
        <v>200000</v>
      </c>
      <c r="J20" s="5">
        <v>24696</v>
      </c>
      <c r="K20" s="15">
        <f>L20+17832+26640+27152+17856+28780+22560</f>
        <v>165516</v>
      </c>
      <c r="L20" s="15">
        <f>2771*4+3403*4</f>
        <v>24696</v>
      </c>
      <c r="M20" s="15">
        <f t="shared" si="0"/>
        <v>24696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0.46614583333333337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35600</v>
      </c>
      <c r="K21" s="15">
        <f>L21+28876+33668+30304+72816+70472+27788+28704+35272+35220+37904+15140</f>
        <v>451764</v>
      </c>
      <c r="L21" s="15">
        <f>8900*4</f>
        <v>35600</v>
      </c>
      <c r="M21" s="15">
        <f t="shared" si="0"/>
        <v>35600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0.46614583333333337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1216300</v>
      </c>
      <c r="J22" s="19">
        <f t="shared" si="10"/>
        <v>123579</v>
      </c>
      <c r="K22" s="20">
        <f t="shared" si="10"/>
        <v>821081</v>
      </c>
      <c r="L22" s="21">
        <f t="shared" si="10"/>
        <v>97769</v>
      </c>
      <c r="M22" s="20">
        <f t="shared" si="10"/>
        <v>97769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179</v>
      </c>
      <c r="Q22" s="43">
        <f t="shared" si="11"/>
        <v>205</v>
      </c>
      <c r="R22" s="23">
        <f t="shared" si="11"/>
        <v>24</v>
      </c>
      <c r="S22" s="24">
        <f t="shared" si="11"/>
        <v>78</v>
      </c>
      <c r="T22" s="24">
        <f t="shared" si="11"/>
        <v>0</v>
      </c>
      <c r="U22" s="24">
        <f t="shared" si="11"/>
        <v>0</v>
      </c>
      <c r="V22" s="25">
        <f t="shared" si="11"/>
        <v>14</v>
      </c>
      <c r="W22" s="26">
        <f t="shared" si="11"/>
        <v>89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0</v>
      </c>
      <c r="AB22" s="28">
        <f>AVERAGE(AB6:AB21)</f>
        <v>0.6875</v>
      </c>
      <c r="AC22" s="4">
        <f>AVERAGE(AC6:AC21)</f>
        <v>0.46614583333333337</v>
      </c>
      <c r="AD22" s="4">
        <f>AVERAGE(AD6:AD21)</f>
        <v>0.46614583333333337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173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186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121" t="s">
        <v>46</v>
      </c>
      <c r="D51" s="121" t="s">
        <v>47</v>
      </c>
      <c r="E51" s="121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121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119</v>
      </c>
      <c r="B52" s="513"/>
      <c r="C52" s="122" t="s">
        <v>140</v>
      </c>
      <c r="D52" s="122" t="s">
        <v>144</v>
      </c>
      <c r="E52" s="124" t="s">
        <v>174</v>
      </c>
      <c r="F52" s="500" t="s">
        <v>130</v>
      </c>
      <c r="G52" s="501"/>
      <c r="H52" s="501"/>
      <c r="I52" s="501"/>
      <c r="J52" s="501"/>
      <c r="K52" s="501"/>
      <c r="L52" s="501"/>
      <c r="M52" s="502"/>
      <c r="N52" s="134" t="s">
        <v>118</v>
      </c>
      <c r="O52" s="133" t="s">
        <v>155</v>
      </c>
      <c r="P52" s="514" t="s">
        <v>115</v>
      </c>
      <c r="Q52" s="515"/>
      <c r="R52" s="514" t="s">
        <v>148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118</v>
      </c>
      <c r="B53" s="513"/>
      <c r="C53" s="122" t="s">
        <v>155</v>
      </c>
      <c r="D53" s="122" t="s">
        <v>115</v>
      </c>
      <c r="E53" s="124" t="s">
        <v>148</v>
      </c>
      <c r="F53" s="500" t="s">
        <v>175</v>
      </c>
      <c r="G53" s="501"/>
      <c r="H53" s="501"/>
      <c r="I53" s="501"/>
      <c r="J53" s="501"/>
      <c r="K53" s="501"/>
      <c r="L53" s="501"/>
      <c r="M53" s="502"/>
      <c r="N53" s="123" t="s">
        <v>118</v>
      </c>
      <c r="O53" s="129" t="s">
        <v>152</v>
      </c>
      <c r="P53" s="514" t="s">
        <v>129</v>
      </c>
      <c r="Q53" s="515"/>
      <c r="R53" s="514" t="s">
        <v>176</v>
      </c>
      <c r="S53" s="516"/>
      <c r="T53" s="516"/>
      <c r="U53" s="515"/>
      <c r="V53" s="487" t="s">
        <v>130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118</v>
      </c>
      <c r="B54" s="513"/>
      <c r="C54" s="122" t="s">
        <v>178</v>
      </c>
      <c r="D54" s="122" t="s">
        <v>179</v>
      </c>
      <c r="E54" s="124" t="s">
        <v>176</v>
      </c>
      <c r="F54" s="500" t="s">
        <v>177</v>
      </c>
      <c r="G54" s="501"/>
      <c r="H54" s="501"/>
      <c r="I54" s="501"/>
      <c r="J54" s="501"/>
      <c r="K54" s="501"/>
      <c r="L54" s="501"/>
      <c r="M54" s="502"/>
      <c r="N54" s="123" t="s">
        <v>112</v>
      </c>
      <c r="O54" s="129" t="s">
        <v>143</v>
      </c>
      <c r="P54" s="514" t="s">
        <v>127</v>
      </c>
      <c r="Q54" s="515"/>
      <c r="R54" s="514" t="s">
        <v>187</v>
      </c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119</v>
      </c>
      <c r="B55" s="513"/>
      <c r="C55" s="136" t="s">
        <v>142</v>
      </c>
      <c r="D55" s="136" t="s">
        <v>115</v>
      </c>
      <c r="E55" s="135" t="s">
        <v>168</v>
      </c>
      <c r="F55" s="500" t="s">
        <v>130</v>
      </c>
      <c r="G55" s="501"/>
      <c r="H55" s="501"/>
      <c r="I55" s="501"/>
      <c r="J55" s="501"/>
      <c r="K55" s="501"/>
      <c r="L55" s="501"/>
      <c r="M55" s="502"/>
      <c r="N55" s="123" t="s">
        <v>118</v>
      </c>
      <c r="O55" s="129" t="s">
        <v>190</v>
      </c>
      <c r="P55" s="514" t="s">
        <v>127</v>
      </c>
      <c r="Q55" s="515"/>
      <c r="R55" s="514" t="s">
        <v>188</v>
      </c>
      <c r="S55" s="516"/>
      <c r="T55" s="516"/>
      <c r="U55" s="515"/>
      <c r="V55" s="487" t="s">
        <v>141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118</v>
      </c>
      <c r="B56" s="513"/>
      <c r="C56" s="136" t="s">
        <v>151</v>
      </c>
      <c r="D56" s="136" t="s">
        <v>115</v>
      </c>
      <c r="E56" s="135" t="s">
        <v>167</v>
      </c>
      <c r="F56" s="500" t="s">
        <v>130</v>
      </c>
      <c r="G56" s="501"/>
      <c r="H56" s="501"/>
      <c r="I56" s="501"/>
      <c r="J56" s="501"/>
      <c r="K56" s="501"/>
      <c r="L56" s="501"/>
      <c r="M56" s="502"/>
      <c r="N56" s="123" t="s">
        <v>112</v>
      </c>
      <c r="O56" s="129" t="s">
        <v>190</v>
      </c>
      <c r="P56" s="514" t="s">
        <v>115</v>
      </c>
      <c r="Q56" s="515"/>
      <c r="R56" s="514" t="s">
        <v>189</v>
      </c>
      <c r="S56" s="516"/>
      <c r="T56" s="516"/>
      <c r="U56" s="515"/>
      <c r="V56" s="487" t="s">
        <v>141</v>
      </c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119</v>
      </c>
      <c r="B57" s="513"/>
      <c r="C57" s="122" t="s">
        <v>180</v>
      </c>
      <c r="D57" s="122" t="s">
        <v>115</v>
      </c>
      <c r="E57" s="124" t="s">
        <v>181</v>
      </c>
      <c r="F57" s="500" t="s">
        <v>182</v>
      </c>
      <c r="G57" s="501"/>
      <c r="H57" s="501"/>
      <c r="I57" s="501"/>
      <c r="J57" s="501"/>
      <c r="K57" s="501"/>
      <c r="L57" s="501"/>
      <c r="M57" s="502"/>
      <c r="N57" s="123"/>
      <c r="O57" s="129"/>
      <c r="P57" s="514"/>
      <c r="Q57" s="515"/>
      <c r="R57" s="514"/>
      <c r="S57" s="516"/>
      <c r="T57" s="516"/>
      <c r="U57" s="515"/>
      <c r="V57" s="500"/>
      <c r="W57" s="501"/>
      <c r="X57" s="501"/>
      <c r="Y57" s="501"/>
      <c r="Z57" s="501"/>
      <c r="AA57" s="501"/>
      <c r="AB57" s="501"/>
      <c r="AC57" s="501"/>
      <c r="AD57" s="502"/>
    </row>
    <row r="58" spans="1:32" ht="27" customHeight="1">
      <c r="A58" s="512" t="s">
        <v>184</v>
      </c>
      <c r="B58" s="513"/>
      <c r="C58" s="122" t="s">
        <v>185</v>
      </c>
      <c r="D58" s="122"/>
      <c r="E58" s="124" t="s">
        <v>183</v>
      </c>
      <c r="F58" s="500" t="s">
        <v>182</v>
      </c>
      <c r="G58" s="501"/>
      <c r="H58" s="501"/>
      <c r="I58" s="501"/>
      <c r="J58" s="501"/>
      <c r="K58" s="501"/>
      <c r="L58" s="501"/>
      <c r="M58" s="502"/>
      <c r="N58" s="123"/>
      <c r="O58" s="129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122"/>
      <c r="D59" s="122"/>
      <c r="E59" s="124"/>
      <c r="F59" s="500"/>
      <c r="G59" s="501"/>
      <c r="H59" s="501"/>
      <c r="I59" s="501"/>
      <c r="J59" s="501"/>
      <c r="K59" s="501"/>
      <c r="L59" s="501"/>
      <c r="M59" s="502"/>
      <c r="N59" s="123"/>
      <c r="O59" s="129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124"/>
      <c r="D60" s="124"/>
      <c r="E60" s="124"/>
      <c r="F60" s="500"/>
      <c r="G60" s="501"/>
      <c r="H60" s="501"/>
      <c r="I60" s="501"/>
      <c r="J60" s="501"/>
      <c r="K60" s="501"/>
      <c r="L60" s="501"/>
      <c r="M60" s="502"/>
      <c r="N60" s="123"/>
      <c r="O60" s="129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125"/>
      <c r="D61" s="126"/>
      <c r="E61" s="126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191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127" t="s">
        <v>2</v>
      </c>
      <c r="D63" s="127" t="s">
        <v>37</v>
      </c>
      <c r="E63" s="127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127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192</v>
      </c>
      <c r="D64" s="131"/>
      <c r="E64" s="128" t="s">
        <v>193</v>
      </c>
      <c r="F64" s="488" t="s">
        <v>174</v>
      </c>
      <c r="G64" s="489"/>
      <c r="H64" s="489"/>
      <c r="I64" s="489"/>
      <c r="J64" s="490"/>
      <c r="K64" s="476" t="s">
        <v>194</v>
      </c>
      <c r="L64" s="476"/>
      <c r="M64" s="51" t="s">
        <v>195</v>
      </c>
      <c r="N64" s="485" t="s">
        <v>196</v>
      </c>
      <c r="O64" s="485"/>
      <c r="P64" s="486">
        <v>50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/>
      <c r="D65" s="131"/>
      <c r="E65" s="128"/>
      <c r="F65" s="488"/>
      <c r="G65" s="489"/>
      <c r="H65" s="489"/>
      <c r="I65" s="489"/>
      <c r="J65" s="490"/>
      <c r="K65" s="476"/>
      <c r="L65" s="476"/>
      <c r="M65" s="51"/>
      <c r="N65" s="485"/>
      <c r="O65" s="48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131"/>
      <c r="E66" s="128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131"/>
      <c r="E67" s="128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131"/>
      <c r="E68" s="128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131"/>
      <c r="E69" s="128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131"/>
      <c r="E70" s="128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131"/>
      <c r="E71" s="128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131"/>
      <c r="E72" s="128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131"/>
      <c r="E73" s="128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197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130" t="s">
        <v>2</v>
      </c>
      <c r="D75" s="130" t="s">
        <v>37</v>
      </c>
      <c r="E75" s="130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132" t="s">
        <v>112</v>
      </c>
      <c r="D76" s="132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131"/>
      <c r="D77" s="131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131"/>
      <c r="D78" s="131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131"/>
      <c r="D79" s="131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131"/>
      <c r="D80" s="131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131"/>
      <c r="D81" s="131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131"/>
      <c r="D82" s="131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198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61EB-D289-4CE0-B93C-D1B6CADDAA45}">
  <dimension ref="A1:AF88"/>
  <sheetViews>
    <sheetView view="pageBreakPreview" topLeftCell="A31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199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137" t="s">
        <v>17</v>
      </c>
      <c r="L5" s="137" t="s">
        <v>18</v>
      </c>
      <c r="M5" s="137" t="s">
        <v>19</v>
      </c>
      <c r="N5" s="1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127</v>
      </c>
      <c r="E6" s="53" t="s">
        <v>187</v>
      </c>
      <c r="F6" s="12" t="s">
        <v>126</v>
      </c>
      <c r="G6" s="12">
        <v>1</v>
      </c>
      <c r="H6" s="13">
        <v>24</v>
      </c>
      <c r="I6" s="31">
        <v>3000</v>
      </c>
      <c r="J6" s="14">
        <v>4896</v>
      </c>
      <c r="K6" s="15">
        <f>L6</f>
        <v>4896</v>
      </c>
      <c r="L6" s="15">
        <f>1712+3184</f>
        <v>4896</v>
      </c>
      <c r="M6" s="15">
        <f t="shared" ref="M6:M22" si="0">L6-N6</f>
        <v>4896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22</v>
      </c>
      <c r="Q6" s="40">
        <f t="shared" ref="Q6:Q22" si="3">SUM(R6:AA6)</f>
        <v>2</v>
      </c>
      <c r="R6" s="7"/>
      <c r="S6" s="6"/>
      <c r="T6" s="16">
        <v>2</v>
      </c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0.91666666666666663</v>
      </c>
      <c r="AD6" s="10">
        <f t="shared" ref="AD6:AD22" si="6">AC6*AB6*(1-O6)</f>
        <v>0.91666666666666663</v>
      </c>
      <c r="AE6" s="36">
        <f t="shared" ref="AE6:AE22" si="7">$AD$23</f>
        <v>0.49264705882352944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2801</v>
      </c>
      <c r="K7" s="15">
        <f>L7+3683</f>
        <v>6484</v>
      </c>
      <c r="L7" s="15">
        <v>2801</v>
      </c>
      <c r="M7" s="15">
        <f t="shared" si="0"/>
        <v>2801</v>
      </c>
      <c r="N7" s="15">
        <v>0</v>
      </c>
      <c r="O7" s="58">
        <f t="shared" si="1"/>
        <v>0</v>
      </c>
      <c r="P7" s="39">
        <f t="shared" si="2"/>
        <v>13</v>
      </c>
      <c r="Q7" s="40">
        <f t="shared" si="3"/>
        <v>11</v>
      </c>
      <c r="R7" s="7"/>
      <c r="S7" s="6">
        <v>11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0.54166666666666663</v>
      </c>
      <c r="AD7" s="10">
        <f t="shared" si="6"/>
        <v>0.54166666666666663</v>
      </c>
      <c r="AE7" s="36">
        <f t="shared" si="7"/>
        <v>0.49264705882352944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28000</v>
      </c>
      <c r="J8" s="14">
        <v>3866</v>
      </c>
      <c r="K8" s="15">
        <f>L8+670+3737+4361+4739</f>
        <v>17373</v>
      </c>
      <c r="L8" s="15">
        <f>1531+2335</f>
        <v>3866</v>
      </c>
      <c r="M8" s="15">
        <f t="shared" si="0"/>
        <v>3866</v>
      </c>
      <c r="N8" s="15">
        <v>0</v>
      </c>
      <c r="O8" s="58">
        <f t="shared" si="1"/>
        <v>0</v>
      </c>
      <c r="P8" s="39">
        <f t="shared" si="2"/>
        <v>20</v>
      </c>
      <c r="Q8" s="40">
        <f t="shared" si="3"/>
        <v>4</v>
      </c>
      <c r="R8" s="7"/>
      <c r="S8" s="6">
        <v>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0.83333333333333337</v>
      </c>
      <c r="AD8" s="10">
        <f t="shared" si="6"/>
        <v>0.83333333333333337</v>
      </c>
      <c r="AE8" s="36">
        <f t="shared" si="7"/>
        <v>0.49264705882352944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148</v>
      </c>
      <c r="F9" s="30" t="s">
        <v>128</v>
      </c>
      <c r="G9" s="33">
        <v>1</v>
      </c>
      <c r="H9" s="35">
        <v>24</v>
      </c>
      <c r="I9" s="7">
        <v>8000</v>
      </c>
      <c r="J9" s="5">
        <v>3702</v>
      </c>
      <c r="K9" s="15">
        <f>L9+2855+1537</f>
        <v>8094</v>
      </c>
      <c r="L9" s="15">
        <f>1628+2074</f>
        <v>3702</v>
      </c>
      <c r="M9" s="15">
        <f t="shared" si="0"/>
        <v>3702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>AC9*AB9*(1-O9)</f>
        <v>0.79166666666666663</v>
      </c>
      <c r="AE9" s="36">
        <f t="shared" si="7"/>
        <v>0.49264705882352944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169</v>
      </c>
      <c r="F10" s="30" t="s">
        <v>158</v>
      </c>
      <c r="G10" s="33">
        <v>1</v>
      </c>
      <c r="H10" s="35">
        <v>24</v>
      </c>
      <c r="I10" s="7">
        <v>50000</v>
      </c>
      <c r="J10" s="14">
        <v>6634</v>
      </c>
      <c r="K10" s="15">
        <f>L10+5240+6693</f>
        <v>18567</v>
      </c>
      <c r="L10" s="15">
        <f>3338+3296</f>
        <v>6634</v>
      </c>
      <c r="M10" s="15">
        <f t="shared" si="0"/>
        <v>6634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5" si="9">AC10*AB10*(1-O10)</f>
        <v>1</v>
      </c>
      <c r="AE10" s="36">
        <f t="shared" si="7"/>
        <v>0.49264705882352944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0.49264705882352944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189</v>
      </c>
      <c r="F12" s="30" t="s">
        <v>200</v>
      </c>
      <c r="G12" s="12">
        <v>1</v>
      </c>
      <c r="H12" s="13">
        <v>20</v>
      </c>
      <c r="I12" s="31">
        <v>1600</v>
      </c>
      <c r="J12" s="5">
        <v>3773</v>
      </c>
      <c r="K12" s="15">
        <f>L12</f>
        <v>3773</v>
      </c>
      <c r="L12" s="15">
        <f>2434+1339</f>
        <v>3773</v>
      </c>
      <c r="M12" s="15">
        <f t="shared" si="0"/>
        <v>3773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/>
      <c r="T12" s="16">
        <v>5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9"/>
        <v>0.79166666666666663</v>
      </c>
      <c r="AE12" s="36">
        <f t="shared" si="7"/>
        <v>0.49264705882352944</v>
      </c>
      <c r="AF12" s="84">
        <f t="shared" si="8"/>
        <v>7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127</v>
      </c>
      <c r="E13" s="53" t="s">
        <v>188</v>
      </c>
      <c r="F13" s="30" t="s">
        <v>134</v>
      </c>
      <c r="G13" s="12">
        <v>1</v>
      </c>
      <c r="H13" s="13">
        <v>20</v>
      </c>
      <c r="I13" s="31">
        <v>500</v>
      </c>
      <c r="J13" s="5">
        <v>585</v>
      </c>
      <c r="K13" s="15">
        <f>L13</f>
        <v>585</v>
      </c>
      <c r="L13" s="15">
        <v>585</v>
      </c>
      <c r="M13" s="15">
        <f t="shared" ref="M13" si="10">L13-N13</f>
        <v>585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4</v>
      </c>
      <c r="Q13" s="40">
        <f t="shared" ref="Q13" si="13">SUM(R13:AA13)</f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0.16666666666666666</v>
      </c>
      <c r="AD13" s="10">
        <f t="shared" ref="AD13" si="16">AC13*AB13*(1-O13)</f>
        <v>0.16666666666666666</v>
      </c>
      <c r="AE13" s="36">
        <f t="shared" si="7"/>
        <v>0.49264705882352944</v>
      </c>
      <c r="AF13" s="84">
        <f t="shared" ref="AF13" si="17">A13</f>
        <v>7</v>
      </c>
    </row>
    <row r="14" spans="1:32" ht="27" customHeight="1">
      <c r="A14" s="96">
        <v>8</v>
      </c>
      <c r="B14" s="11" t="s">
        <v>57</v>
      </c>
      <c r="C14" s="34" t="s">
        <v>118</v>
      </c>
      <c r="D14" s="52" t="s">
        <v>129</v>
      </c>
      <c r="E14" s="53" t="s">
        <v>159</v>
      </c>
      <c r="F14" s="30" t="s">
        <v>160</v>
      </c>
      <c r="G14" s="12">
        <v>1</v>
      </c>
      <c r="H14" s="13">
        <v>28</v>
      </c>
      <c r="I14" s="31">
        <v>37000</v>
      </c>
      <c r="J14" s="5">
        <v>497</v>
      </c>
      <c r="K14" s="15">
        <f>L14+497</f>
        <v>497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>AC14*AB14*(1-O14)</f>
        <v>0</v>
      </c>
      <c r="AE14" s="36">
        <f t="shared" si="7"/>
        <v>0.49264705882352944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165</v>
      </c>
      <c r="F15" s="30" t="s">
        <v>128</v>
      </c>
      <c r="G15" s="33">
        <v>1</v>
      </c>
      <c r="H15" s="35">
        <v>60</v>
      </c>
      <c r="I15" s="7">
        <v>300</v>
      </c>
      <c r="J15" s="5">
        <v>112</v>
      </c>
      <c r="K15" s="15">
        <f>L15+112</f>
        <v>112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0.49264705882352944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121</v>
      </c>
      <c r="D16" s="52" t="s">
        <v>127</v>
      </c>
      <c r="E16" s="53" t="s">
        <v>154</v>
      </c>
      <c r="F16" s="12" t="s">
        <v>156</v>
      </c>
      <c r="G16" s="12">
        <v>1</v>
      </c>
      <c r="H16" s="13">
        <v>24</v>
      </c>
      <c r="I16" s="31">
        <v>13000</v>
      </c>
      <c r="J16" s="14">
        <v>5033</v>
      </c>
      <c r="K16" s="15">
        <f>L16+3277+4927+4955+4860+5033</f>
        <v>23052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0.49264705882352944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118</v>
      </c>
      <c r="D17" s="52" t="s">
        <v>132</v>
      </c>
      <c r="E17" s="53" t="s">
        <v>133</v>
      </c>
      <c r="F17" s="30" t="s">
        <v>134</v>
      </c>
      <c r="G17" s="12">
        <v>1</v>
      </c>
      <c r="H17" s="13">
        <v>24</v>
      </c>
      <c r="I17" s="7">
        <v>500</v>
      </c>
      <c r="J17" s="14">
        <v>495</v>
      </c>
      <c r="K17" s="15">
        <f>L17+495</f>
        <v>495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0.49264705882352944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118</v>
      </c>
      <c r="D18" s="52" t="s">
        <v>127</v>
      </c>
      <c r="E18" s="53" t="s">
        <v>147</v>
      </c>
      <c r="F18" s="30" t="s">
        <v>145</v>
      </c>
      <c r="G18" s="12">
        <v>1</v>
      </c>
      <c r="H18" s="13">
        <v>24</v>
      </c>
      <c r="I18" s="7">
        <v>41000</v>
      </c>
      <c r="J18" s="14">
        <v>5947</v>
      </c>
      <c r="K18" s="15">
        <f>L18+5525+6064+6153+5650+5997+6224+6237+5947</f>
        <v>47797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0.49264705882352944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119</v>
      </c>
      <c r="D19" s="52" t="s">
        <v>115</v>
      </c>
      <c r="E19" s="53" t="s">
        <v>157</v>
      </c>
      <c r="F19" s="30" t="s">
        <v>122</v>
      </c>
      <c r="G19" s="33">
        <v>2</v>
      </c>
      <c r="H19" s="35">
        <v>24</v>
      </c>
      <c r="I19" s="7">
        <v>50000</v>
      </c>
      <c r="J19" s="14">
        <v>10984</v>
      </c>
      <c r="K19" s="15">
        <f>L19+2418+5560+9380</f>
        <v>28342</v>
      </c>
      <c r="L19" s="15">
        <f>2761*2+2731*2</f>
        <v>10984</v>
      </c>
      <c r="M19" s="15">
        <f t="shared" si="0"/>
        <v>10984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0.49264705882352944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115</v>
      </c>
      <c r="E20" s="53" t="s">
        <v>167</v>
      </c>
      <c r="F20" s="30" t="s">
        <v>160</v>
      </c>
      <c r="G20" s="33">
        <v>1</v>
      </c>
      <c r="H20" s="35">
        <v>24</v>
      </c>
      <c r="I20" s="7">
        <v>28000</v>
      </c>
      <c r="J20" s="14">
        <v>4046</v>
      </c>
      <c r="K20" s="15">
        <f>L20+4594+5357+5319+5539+1391+4031</f>
        <v>30277</v>
      </c>
      <c r="L20" s="15">
        <f>1384+2662</f>
        <v>4046</v>
      </c>
      <c r="M20" s="15">
        <f t="shared" si="0"/>
        <v>4046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0.49264705882352944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119</v>
      </c>
      <c r="D21" s="52" t="s">
        <v>115</v>
      </c>
      <c r="E21" s="53" t="s">
        <v>153</v>
      </c>
      <c r="F21" s="30" t="s">
        <v>122</v>
      </c>
      <c r="G21" s="12">
        <v>4</v>
      </c>
      <c r="H21" s="13">
        <v>28</v>
      </c>
      <c r="I21" s="31">
        <v>200000</v>
      </c>
      <c r="J21" s="5">
        <v>26472</v>
      </c>
      <c r="K21" s="15">
        <f>L21+17832+26640+27152+17856+28780+22560+24696</f>
        <v>191988</v>
      </c>
      <c r="L21" s="15">
        <f>3321*4+3297*4</f>
        <v>26472</v>
      </c>
      <c r="M21" s="15">
        <f t="shared" si="0"/>
        <v>26472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0.49264705882352944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500000</v>
      </c>
      <c r="J22" s="14">
        <v>34392</v>
      </c>
      <c r="K22" s="15">
        <f>L22+28876+33668+30304+72816+70472+27788+28704+35272+35220+37904+15140+35600</f>
        <v>486156</v>
      </c>
      <c r="L22" s="15">
        <f>8598*4</f>
        <v>34392</v>
      </c>
      <c r="M22" s="15">
        <f t="shared" si="0"/>
        <v>34392</v>
      </c>
      <c r="N22" s="15">
        <v>0</v>
      </c>
      <c r="O22" s="58">
        <f t="shared" si="1"/>
        <v>0</v>
      </c>
      <c r="P22" s="39">
        <f t="shared" si="2"/>
        <v>11</v>
      </c>
      <c r="Q22" s="40">
        <f t="shared" si="3"/>
        <v>13</v>
      </c>
      <c r="R22" s="7"/>
      <c r="S22" s="6"/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0.45833333333333331</v>
      </c>
      <c r="AD22" s="10">
        <f t="shared" si="6"/>
        <v>0.45833333333333331</v>
      </c>
      <c r="AE22" s="36">
        <f t="shared" si="7"/>
        <v>0.49264705882352944</v>
      </c>
      <c r="AF22" s="84">
        <f t="shared" si="8"/>
        <v>16</v>
      </c>
    </row>
    <row r="23" spans="1:32" ht="31.5" customHeight="1" thickBot="1">
      <c r="A23" s="519" t="s">
        <v>34</v>
      </c>
      <c r="B23" s="520"/>
      <c r="C23" s="520"/>
      <c r="D23" s="520"/>
      <c r="E23" s="520"/>
      <c r="F23" s="520"/>
      <c r="G23" s="520"/>
      <c r="H23" s="521"/>
      <c r="I23" s="22">
        <f t="shared" ref="I23:N23" si="18">SUM(I6:I22)</f>
        <v>1210900</v>
      </c>
      <c r="J23" s="19">
        <f t="shared" si="18"/>
        <v>128458</v>
      </c>
      <c r="K23" s="20">
        <f t="shared" si="18"/>
        <v>907959</v>
      </c>
      <c r="L23" s="21">
        <f t="shared" si="18"/>
        <v>102151</v>
      </c>
      <c r="M23" s="20">
        <f t="shared" si="18"/>
        <v>102151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201</v>
      </c>
      <c r="Q23" s="43">
        <f t="shared" si="19"/>
        <v>207</v>
      </c>
      <c r="R23" s="23">
        <f t="shared" si="19"/>
        <v>24</v>
      </c>
      <c r="S23" s="24">
        <f t="shared" si="19"/>
        <v>71</v>
      </c>
      <c r="T23" s="24">
        <f t="shared" si="19"/>
        <v>7</v>
      </c>
      <c r="U23" s="24">
        <f t="shared" si="19"/>
        <v>0</v>
      </c>
      <c r="V23" s="25">
        <f t="shared" si="19"/>
        <v>13</v>
      </c>
      <c r="W23" s="26">
        <f t="shared" si="19"/>
        <v>92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0</v>
      </c>
      <c r="AB23" s="28">
        <f>AVERAGE(AB6:AB22)</f>
        <v>0.6470588235294118</v>
      </c>
      <c r="AC23" s="4">
        <f>AVERAGE(AC6:AC22)</f>
        <v>0.49264705882352944</v>
      </c>
      <c r="AD23" s="4">
        <f>AVERAGE(AD6:AD22)</f>
        <v>0.49264705882352944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22" t="s">
        <v>45</v>
      </c>
      <c r="B50" s="522"/>
      <c r="C50" s="522"/>
      <c r="D50" s="522"/>
      <c r="E50" s="52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23" t="s">
        <v>201</v>
      </c>
      <c r="B51" s="524"/>
      <c r="C51" s="524"/>
      <c r="D51" s="524"/>
      <c r="E51" s="524"/>
      <c r="F51" s="524"/>
      <c r="G51" s="524"/>
      <c r="H51" s="524"/>
      <c r="I51" s="524"/>
      <c r="J51" s="524"/>
      <c r="K51" s="524"/>
      <c r="L51" s="524"/>
      <c r="M51" s="525"/>
      <c r="N51" s="526" t="s">
        <v>204</v>
      </c>
      <c r="O51" s="527"/>
      <c r="P51" s="527"/>
      <c r="Q51" s="527"/>
      <c r="R51" s="527"/>
      <c r="S51" s="527"/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8"/>
    </row>
    <row r="52" spans="1:32" ht="27" customHeight="1">
      <c r="A52" s="529" t="s">
        <v>2</v>
      </c>
      <c r="B52" s="530"/>
      <c r="C52" s="138" t="s">
        <v>46</v>
      </c>
      <c r="D52" s="138" t="s">
        <v>47</v>
      </c>
      <c r="E52" s="138" t="s">
        <v>107</v>
      </c>
      <c r="F52" s="531" t="s">
        <v>106</v>
      </c>
      <c r="G52" s="532"/>
      <c r="H52" s="532"/>
      <c r="I52" s="532"/>
      <c r="J52" s="532"/>
      <c r="K52" s="532"/>
      <c r="L52" s="532"/>
      <c r="M52" s="533"/>
      <c r="N52" s="67" t="s">
        <v>110</v>
      </c>
      <c r="O52" s="138" t="s">
        <v>46</v>
      </c>
      <c r="P52" s="531" t="s">
        <v>47</v>
      </c>
      <c r="Q52" s="534"/>
      <c r="R52" s="531" t="s">
        <v>38</v>
      </c>
      <c r="S52" s="532"/>
      <c r="T52" s="532"/>
      <c r="U52" s="534"/>
      <c r="V52" s="531" t="s">
        <v>48</v>
      </c>
      <c r="W52" s="532"/>
      <c r="X52" s="532"/>
      <c r="Y52" s="532"/>
      <c r="Z52" s="532"/>
      <c r="AA52" s="532"/>
      <c r="AB52" s="532"/>
      <c r="AC52" s="532"/>
      <c r="AD52" s="533"/>
    </row>
    <row r="53" spans="1:32" ht="27" customHeight="1">
      <c r="A53" s="512" t="s">
        <v>119</v>
      </c>
      <c r="B53" s="513"/>
      <c r="C53" s="139" t="s">
        <v>140</v>
      </c>
      <c r="D53" s="139" t="s">
        <v>144</v>
      </c>
      <c r="E53" s="141" t="s">
        <v>174</v>
      </c>
      <c r="F53" s="500" t="s">
        <v>202</v>
      </c>
      <c r="G53" s="501"/>
      <c r="H53" s="501"/>
      <c r="I53" s="501"/>
      <c r="J53" s="501"/>
      <c r="K53" s="501"/>
      <c r="L53" s="501"/>
      <c r="M53" s="502"/>
      <c r="N53" s="140" t="s">
        <v>118</v>
      </c>
      <c r="O53" s="146" t="s">
        <v>155</v>
      </c>
      <c r="P53" s="514" t="s">
        <v>115</v>
      </c>
      <c r="Q53" s="515"/>
      <c r="R53" s="514" t="s">
        <v>205</v>
      </c>
      <c r="S53" s="516"/>
      <c r="T53" s="516"/>
      <c r="U53" s="515"/>
      <c r="V53" s="487" t="s">
        <v>141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118</v>
      </c>
      <c r="B54" s="513"/>
      <c r="C54" s="139" t="s">
        <v>155</v>
      </c>
      <c r="D54" s="139" t="s">
        <v>115</v>
      </c>
      <c r="E54" s="141" t="s">
        <v>148</v>
      </c>
      <c r="F54" s="500" t="s">
        <v>203</v>
      </c>
      <c r="G54" s="501"/>
      <c r="H54" s="501"/>
      <c r="I54" s="501"/>
      <c r="J54" s="501"/>
      <c r="K54" s="501"/>
      <c r="L54" s="501"/>
      <c r="M54" s="502"/>
      <c r="N54" s="140" t="s">
        <v>118</v>
      </c>
      <c r="O54" s="146" t="s">
        <v>152</v>
      </c>
      <c r="P54" s="514" t="s">
        <v>129</v>
      </c>
      <c r="Q54" s="515"/>
      <c r="R54" s="514" t="s">
        <v>159</v>
      </c>
      <c r="S54" s="516"/>
      <c r="T54" s="516"/>
      <c r="U54" s="515"/>
      <c r="V54" s="487" t="s">
        <v>130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118</v>
      </c>
      <c r="B55" s="513"/>
      <c r="C55" s="139" t="s">
        <v>190</v>
      </c>
      <c r="D55" s="139" t="s">
        <v>127</v>
      </c>
      <c r="E55" s="141" t="s">
        <v>188</v>
      </c>
      <c r="F55" s="500" t="s">
        <v>141</v>
      </c>
      <c r="G55" s="501"/>
      <c r="H55" s="501"/>
      <c r="I55" s="501"/>
      <c r="J55" s="501"/>
      <c r="K55" s="501"/>
      <c r="L55" s="501"/>
      <c r="M55" s="502"/>
      <c r="N55" s="140" t="s">
        <v>112</v>
      </c>
      <c r="O55" s="146" t="s">
        <v>190</v>
      </c>
      <c r="P55" s="514" t="s">
        <v>115</v>
      </c>
      <c r="Q55" s="515"/>
      <c r="R55" s="514" t="s">
        <v>206</v>
      </c>
      <c r="S55" s="516"/>
      <c r="T55" s="516"/>
      <c r="U55" s="515"/>
      <c r="V55" s="487" t="s">
        <v>141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112</v>
      </c>
      <c r="B56" s="513"/>
      <c r="C56" s="139" t="s">
        <v>190</v>
      </c>
      <c r="D56" s="139" t="s">
        <v>115</v>
      </c>
      <c r="E56" s="141" t="s">
        <v>189</v>
      </c>
      <c r="F56" s="500" t="s">
        <v>141</v>
      </c>
      <c r="G56" s="501"/>
      <c r="H56" s="501"/>
      <c r="I56" s="501"/>
      <c r="J56" s="501"/>
      <c r="K56" s="501"/>
      <c r="L56" s="501"/>
      <c r="M56" s="502"/>
      <c r="N56" s="140" t="s">
        <v>112</v>
      </c>
      <c r="O56" s="146" t="s">
        <v>190</v>
      </c>
      <c r="P56" s="514" t="s">
        <v>129</v>
      </c>
      <c r="Q56" s="515"/>
      <c r="R56" s="514" t="s">
        <v>207</v>
      </c>
      <c r="S56" s="516"/>
      <c r="T56" s="516"/>
      <c r="U56" s="515"/>
      <c r="V56" s="487" t="s">
        <v>141</v>
      </c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118</v>
      </c>
      <c r="B57" s="513"/>
      <c r="C57" s="139" t="s">
        <v>151</v>
      </c>
      <c r="D57" s="139" t="s">
        <v>115</v>
      </c>
      <c r="E57" s="141" t="s">
        <v>167</v>
      </c>
      <c r="F57" s="500" t="s">
        <v>202</v>
      </c>
      <c r="G57" s="501"/>
      <c r="H57" s="501"/>
      <c r="I57" s="501"/>
      <c r="J57" s="501"/>
      <c r="K57" s="501"/>
      <c r="L57" s="501"/>
      <c r="M57" s="502"/>
      <c r="N57" s="140" t="s">
        <v>119</v>
      </c>
      <c r="O57" s="146" t="s">
        <v>140</v>
      </c>
      <c r="P57" s="514" t="s">
        <v>144</v>
      </c>
      <c r="Q57" s="515"/>
      <c r="R57" s="514" t="s">
        <v>174</v>
      </c>
      <c r="S57" s="516"/>
      <c r="T57" s="516"/>
      <c r="U57" s="515"/>
      <c r="V57" s="487" t="s">
        <v>130</v>
      </c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139"/>
      <c r="D58" s="139"/>
      <c r="E58" s="141"/>
      <c r="F58" s="500"/>
      <c r="G58" s="501"/>
      <c r="H58" s="501"/>
      <c r="I58" s="501"/>
      <c r="J58" s="501"/>
      <c r="K58" s="501"/>
      <c r="L58" s="501"/>
      <c r="M58" s="502"/>
      <c r="N58" s="140" t="s">
        <v>118</v>
      </c>
      <c r="O58" s="146" t="s">
        <v>151</v>
      </c>
      <c r="P58" s="514" t="s">
        <v>115</v>
      </c>
      <c r="Q58" s="515"/>
      <c r="R58" s="514" t="s">
        <v>167</v>
      </c>
      <c r="S58" s="516"/>
      <c r="T58" s="516"/>
      <c r="U58" s="515"/>
      <c r="V58" s="487" t="s">
        <v>130</v>
      </c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139"/>
      <c r="D59" s="139"/>
      <c r="E59" s="141"/>
      <c r="F59" s="500"/>
      <c r="G59" s="501"/>
      <c r="H59" s="501"/>
      <c r="I59" s="501"/>
      <c r="J59" s="501"/>
      <c r="K59" s="501"/>
      <c r="L59" s="501"/>
      <c r="M59" s="502"/>
      <c r="N59" s="140"/>
      <c r="O59" s="146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512"/>
      <c r="B60" s="513"/>
      <c r="C60" s="139"/>
      <c r="D60" s="139"/>
      <c r="E60" s="141"/>
      <c r="F60" s="500"/>
      <c r="G60" s="501"/>
      <c r="H60" s="501"/>
      <c r="I60" s="501"/>
      <c r="J60" s="501"/>
      <c r="K60" s="501"/>
      <c r="L60" s="501"/>
      <c r="M60" s="502"/>
      <c r="N60" s="140"/>
      <c r="O60" s="146"/>
      <c r="P60" s="514"/>
      <c r="Q60" s="515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</row>
    <row r="61" spans="1:32" ht="27" customHeight="1">
      <c r="A61" s="498"/>
      <c r="B61" s="499"/>
      <c r="C61" s="141"/>
      <c r="D61" s="141"/>
      <c r="E61" s="141"/>
      <c r="F61" s="500"/>
      <c r="G61" s="501"/>
      <c r="H61" s="501"/>
      <c r="I61" s="501"/>
      <c r="J61" s="501"/>
      <c r="K61" s="501"/>
      <c r="L61" s="501"/>
      <c r="M61" s="502"/>
      <c r="N61" s="140"/>
      <c r="O61" s="146"/>
      <c r="P61" s="499"/>
      <c r="Q61" s="499"/>
      <c r="R61" s="499"/>
      <c r="S61" s="499"/>
      <c r="T61" s="499"/>
      <c r="U61" s="499"/>
      <c r="V61" s="487"/>
      <c r="W61" s="487"/>
      <c r="X61" s="487"/>
      <c r="Y61" s="487"/>
      <c r="Z61" s="487"/>
      <c r="AA61" s="487"/>
      <c r="AB61" s="487"/>
      <c r="AC61" s="487"/>
      <c r="AD61" s="503"/>
      <c r="AF61" s="84">
        <f>8*3000</f>
        <v>24000</v>
      </c>
    </row>
    <row r="62" spans="1:32" ht="27" customHeight="1" thickBot="1">
      <c r="A62" s="504"/>
      <c r="B62" s="505"/>
      <c r="C62" s="142"/>
      <c r="D62" s="143"/>
      <c r="E62" s="143"/>
      <c r="F62" s="506"/>
      <c r="G62" s="507"/>
      <c r="H62" s="507"/>
      <c r="I62" s="507"/>
      <c r="J62" s="507"/>
      <c r="K62" s="507"/>
      <c r="L62" s="507"/>
      <c r="M62" s="508"/>
      <c r="N62" s="112"/>
      <c r="O62" s="103"/>
      <c r="P62" s="509"/>
      <c r="Q62" s="509"/>
      <c r="R62" s="509"/>
      <c r="S62" s="509"/>
      <c r="T62" s="509"/>
      <c r="U62" s="509"/>
      <c r="V62" s="510"/>
      <c r="W62" s="510"/>
      <c r="X62" s="510"/>
      <c r="Y62" s="510"/>
      <c r="Z62" s="510"/>
      <c r="AA62" s="510"/>
      <c r="AB62" s="510"/>
      <c r="AC62" s="510"/>
      <c r="AD62" s="511"/>
      <c r="AF62" s="84">
        <f>16*3000</f>
        <v>48000</v>
      </c>
    </row>
    <row r="63" spans="1:32" ht="27.75" thickBot="1">
      <c r="A63" s="496" t="s">
        <v>208</v>
      </c>
      <c r="B63" s="496"/>
      <c r="C63" s="496"/>
      <c r="D63" s="496"/>
      <c r="E63" s="496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7" t="s">
        <v>111</v>
      </c>
      <c r="B64" s="494"/>
      <c r="C64" s="144" t="s">
        <v>2</v>
      </c>
      <c r="D64" s="144" t="s">
        <v>37</v>
      </c>
      <c r="E64" s="144" t="s">
        <v>3</v>
      </c>
      <c r="F64" s="494" t="s">
        <v>109</v>
      </c>
      <c r="G64" s="494"/>
      <c r="H64" s="494"/>
      <c r="I64" s="494"/>
      <c r="J64" s="494"/>
      <c r="K64" s="494" t="s">
        <v>39</v>
      </c>
      <c r="L64" s="494"/>
      <c r="M64" s="144" t="s">
        <v>40</v>
      </c>
      <c r="N64" s="494" t="s">
        <v>41</v>
      </c>
      <c r="O64" s="494"/>
      <c r="P64" s="491" t="s">
        <v>42</v>
      </c>
      <c r="Q64" s="493"/>
      <c r="R64" s="491" t="s">
        <v>43</v>
      </c>
      <c r="S64" s="492"/>
      <c r="T64" s="492"/>
      <c r="U64" s="492"/>
      <c r="V64" s="492"/>
      <c r="W64" s="492"/>
      <c r="X64" s="492"/>
      <c r="Y64" s="492"/>
      <c r="Z64" s="492"/>
      <c r="AA64" s="493"/>
      <c r="AB64" s="494" t="s">
        <v>44</v>
      </c>
      <c r="AC64" s="494"/>
      <c r="AD64" s="495"/>
      <c r="AF64" s="84">
        <f>SUM(AF61:AF63)</f>
        <v>96000</v>
      </c>
    </row>
    <row r="65" spans="1:32" ht="25.5" customHeight="1">
      <c r="A65" s="482">
        <v>1</v>
      </c>
      <c r="B65" s="483"/>
      <c r="C65" s="105"/>
      <c r="D65" s="148"/>
      <c r="E65" s="145"/>
      <c r="F65" s="488"/>
      <c r="G65" s="489"/>
      <c r="H65" s="489"/>
      <c r="I65" s="489"/>
      <c r="J65" s="490"/>
      <c r="K65" s="476"/>
      <c r="L65" s="476"/>
      <c r="M65" s="51"/>
      <c r="N65" s="485"/>
      <c r="O65" s="48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2</v>
      </c>
      <c r="B66" s="483"/>
      <c r="C66" s="105"/>
      <c r="D66" s="148"/>
      <c r="E66" s="145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3</v>
      </c>
      <c r="B67" s="483"/>
      <c r="C67" s="105"/>
      <c r="D67" s="148"/>
      <c r="E67" s="145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4</v>
      </c>
      <c r="B68" s="483"/>
      <c r="C68" s="105"/>
      <c r="D68" s="148"/>
      <c r="E68" s="145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5</v>
      </c>
      <c r="B69" s="483"/>
      <c r="C69" s="105"/>
      <c r="D69" s="148"/>
      <c r="E69" s="145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6</v>
      </c>
      <c r="B70" s="483"/>
      <c r="C70" s="105"/>
      <c r="D70" s="148"/>
      <c r="E70" s="145"/>
      <c r="F70" s="488"/>
      <c r="G70" s="489"/>
      <c r="H70" s="489"/>
      <c r="I70" s="489"/>
      <c r="J70" s="490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7</v>
      </c>
      <c r="B71" s="483"/>
      <c r="C71" s="105"/>
      <c r="D71" s="148"/>
      <c r="E71" s="145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8</v>
      </c>
      <c r="B72" s="483"/>
      <c r="C72" s="105"/>
      <c r="D72" s="148"/>
      <c r="E72" s="145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9</v>
      </c>
      <c r="B73" s="483"/>
      <c r="C73" s="105"/>
      <c r="D73" s="148"/>
      <c r="E73" s="145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5.5" customHeight="1">
      <c r="A74" s="482">
        <v>10</v>
      </c>
      <c r="B74" s="483"/>
      <c r="C74" s="105"/>
      <c r="D74" s="148"/>
      <c r="E74" s="145"/>
      <c r="F74" s="484"/>
      <c r="G74" s="476"/>
      <c r="H74" s="476"/>
      <c r="I74" s="476"/>
      <c r="J74" s="476"/>
      <c r="K74" s="476"/>
      <c r="L74" s="476"/>
      <c r="M74" s="51"/>
      <c r="N74" s="485"/>
      <c r="O74" s="485"/>
      <c r="P74" s="486"/>
      <c r="Q74" s="486"/>
      <c r="R74" s="487"/>
      <c r="S74" s="487"/>
      <c r="T74" s="487"/>
      <c r="U74" s="487"/>
      <c r="V74" s="487"/>
      <c r="W74" s="487"/>
      <c r="X74" s="487"/>
      <c r="Y74" s="487"/>
      <c r="Z74" s="487"/>
      <c r="AA74" s="487"/>
      <c r="AB74" s="476"/>
      <c r="AC74" s="476"/>
      <c r="AD74" s="477"/>
      <c r="AF74" s="50"/>
    </row>
    <row r="75" spans="1:32" ht="26.25" customHeight="1" thickBot="1">
      <c r="A75" s="456" t="s">
        <v>209</v>
      </c>
      <c r="B75" s="456"/>
      <c r="C75" s="456"/>
      <c r="D75" s="456"/>
      <c r="E75" s="45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57" t="s">
        <v>149</v>
      </c>
      <c r="B76" s="458"/>
      <c r="C76" s="147" t="s">
        <v>2</v>
      </c>
      <c r="D76" s="147" t="s">
        <v>37</v>
      </c>
      <c r="E76" s="147" t="s">
        <v>135</v>
      </c>
      <c r="F76" s="458" t="s">
        <v>38</v>
      </c>
      <c r="G76" s="458"/>
      <c r="H76" s="458"/>
      <c r="I76" s="458"/>
      <c r="J76" s="458"/>
      <c r="K76" s="478" t="s">
        <v>58</v>
      </c>
      <c r="L76" s="479"/>
      <c r="M76" s="479"/>
      <c r="N76" s="479"/>
      <c r="O76" s="479"/>
      <c r="P76" s="479"/>
      <c r="Q76" s="479"/>
      <c r="R76" s="479"/>
      <c r="S76" s="480"/>
      <c r="T76" s="458" t="s">
        <v>49</v>
      </c>
      <c r="U76" s="458"/>
      <c r="V76" s="478" t="s">
        <v>50</v>
      </c>
      <c r="W76" s="480"/>
      <c r="X76" s="479" t="s">
        <v>51</v>
      </c>
      <c r="Y76" s="479"/>
      <c r="Z76" s="479"/>
      <c r="AA76" s="479"/>
      <c r="AB76" s="479"/>
      <c r="AC76" s="479"/>
      <c r="AD76" s="481"/>
      <c r="AF76" s="50"/>
    </row>
    <row r="77" spans="1:32" ht="33.75" customHeight="1">
      <c r="A77" s="450">
        <v>1</v>
      </c>
      <c r="B77" s="451"/>
      <c r="C77" s="149" t="s">
        <v>112</v>
      </c>
      <c r="D77" s="149"/>
      <c r="E77" s="65" t="s">
        <v>117</v>
      </c>
      <c r="F77" s="465" t="s">
        <v>116</v>
      </c>
      <c r="G77" s="466"/>
      <c r="H77" s="466"/>
      <c r="I77" s="466"/>
      <c r="J77" s="467"/>
      <c r="K77" s="468" t="s">
        <v>120</v>
      </c>
      <c r="L77" s="469"/>
      <c r="M77" s="469"/>
      <c r="N77" s="469"/>
      <c r="O77" s="469"/>
      <c r="P77" s="469"/>
      <c r="Q77" s="469"/>
      <c r="R77" s="469"/>
      <c r="S77" s="470"/>
      <c r="T77" s="471">
        <v>43675</v>
      </c>
      <c r="U77" s="472"/>
      <c r="V77" s="473"/>
      <c r="W77" s="473"/>
      <c r="X77" s="474"/>
      <c r="Y77" s="474"/>
      <c r="Z77" s="474"/>
      <c r="AA77" s="474"/>
      <c r="AB77" s="474"/>
      <c r="AC77" s="474"/>
      <c r="AD77" s="475"/>
      <c r="AF77" s="50"/>
    </row>
    <row r="78" spans="1:32" ht="30" customHeight="1">
      <c r="A78" s="443">
        <f>A77+1</f>
        <v>2</v>
      </c>
      <c r="B78" s="444"/>
      <c r="C78" s="148"/>
      <c r="D78" s="148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ref="A79:A83" si="20">A78+1</f>
        <v>3</v>
      </c>
      <c r="B79" s="444"/>
      <c r="C79" s="148"/>
      <c r="D79" s="148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20"/>
        <v>4</v>
      </c>
      <c r="B80" s="444"/>
      <c r="C80" s="148"/>
      <c r="D80" s="148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20"/>
        <v>5</v>
      </c>
      <c r="B81" s="444"/>
      <c r="C81" s="148"/>
      <c r="D81" s="148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20"/>
        <v>6</v>
      </c>
      <c r="B82" s="444"/>
      <c r="C82" s="148"/>
      <c r="D82" s="148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0" customHeight="1">
      <c r="A83" s="443">
        <f t="shared" si="20"/>
        <v>7</v>
      </c>
      <c r="B83" s="444"/>
      <c r="C83" s="148"/>
      <c r="D83" s="148"/>
      <c r="E83" s="32"/>
      <c r="F83" s="444"/>
      <c r="G83" s="444"/>
      <c r="H83" s="444"/>
      <c r="I83" s="444"/>
      <c r="J83" s="444"/>
      <c r="K83" s="459"/>
      <c r="L83" s="460"/>
      <c r="M83" s="460"/>
      <c r="N83" s="460"/>
      <c r="O83" s="460"/>
      <c r="P83" s="460"/>
      <c r="Q83" s="460"/>
      <c r="R83" s="460"/>
      <c r="S83" s="461"/>
      <c r="T83" s="462"/>
      <c r="U83" s="462"/>
      <c r="V83" s="462"/>
      <c r="W83" s="462"/>
      <c r="X83" s="463"/>
      <c r="Y83" s="463"/>
      <c r="Z83" s="463"/>
      <c r="AA83" s="463"/>
      <c r="AB83" s="463"/>
      <c r="AC83" s="463"/>
      <c r="AD83" s="464"/>
      <c r="AF83" s="50"/>
    </row>
    <row r="84" spans="1:32" ht="36" thickBot="1">
      <c r="A84" s="456" t="s">
        <v>210</v>
      </c>
      <c r="B84" s="456"/>
      <c r="C84" s="456"/>
      <c r="D84" s="456"/>
      <c r="E84" s="45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57" t="s">
        <v>111</v>
      </c>
      <c r="B85" s="458"/>
      <c r="C85" s="448" t="s">
        <v>52</v>
      </c>
      <c r="D85" s="448"/>
      <c r="E85" s="448" t="s">
        <v>53</v>
      </c>
      <c r="F85" s="448"/>
      <c r="G85" s="448"/>
      <c r="H85" s="448"/>
      <c r="I85" s="448"/>
      <c r="J85" s="448"/>
      <c r="K85" s="448" t="s">
        <v>54</v>
      </c>
      <c r="L85" s="448"/>
      <c r="M85" s="448"/>
      <c r="N85" s="448"/>
      <c r="O85" s="448"/>
      <c r="P85" s="448"/>
      <c r="Q85" s="448"/>
      <c r="R85" s="448"/>
      <c r="S85" s="448"/>
      <c r="T85" s="448" t="s">
        <v>55</v>
      </c>
      <c r="U85" s="448"/>
      <c r="V85" s="448" t="s">
        <v>56</v>
      </c>
      <c r="W85" s="448"/>
      <c r="X85" s="448"/>
      <c r="Y85" s="448" t="s">
        <v>51</v>
      </c>
      <c r="Z85" s="448"/>
      <c r="AA85" s="448"/>
      <c r="AB85" s="448"/>
      <c r="AC85" s="448"/>
      <c r="AD85" s="449"/>
      <c r="AF85" s="50"/>
    </row>
    <row r="86" spans="1:32" ht="30.75" customHeight="1">
      <c r="A86" s="450">
        <v>1</v>
      </c>
      <c r="B86" s="451"/>
      <c r="C86" s="452">
        <v>11</v>
      </c>
      <c r="D86" s="452"/>
      <c r="E86" s="452" t="s">
        <v>136</v>
      </c>
      <c r="F86" s="452"/>
      <c r="G86" s="452"/>
      <c r="H86" s="452"/>
      <c r="I86" s="452"/>
      <c r="J86" s="452"/>
      <c r="K86" s="452" t="s">
        <v>138</v>
      </c>
      <c r="L86" s="452"/>
      <c r="M86" s="452"/>
      <c r="N86" s="452"/>
      <c r="O86" s="452"/>
      <c r="P86" s="452"/>
      <c r="Q86" s="452"/>
      <c r="R86" s="452"/>
      <c r="S86" s="452"/>
      <c r="T86" s="452" t="s">
        <v>137</v>
      </c>
      <c r="U86" s="452"/>
      <c r="V86" s="453"/>
      <c r="W86" s="453"/>
      <c r="X86" s="453"/>
      <c r="Y86" s="454" t="s">
        <v>139</v>
      </c>
      <c r="Z86" s="454"/>
      <c r="AA86" s="454"/>
      <c r="AB86" s="454"/>
      <c r="AC86" s="454"/>
      <c r="AD86" s="455"/>
      <c r="AF86" s="50"/>
    </row>
    <row r="87" spans="1:32" ht="30.75" customHeight="1">
      <c r="A87" s="443">
        <v>2</v>
      </c>
      <c r="B87" s="444"/>
      <c r="C87" s="445"/>
      <c r="D87" s="445"/>
      <c r="E87" s="445"/>
      <c r="F87" s="445"/>
      <c r="G87" s="445"/>
      <c r="H87" s="445"/>
      <c r="I87" s="445"/>
      <c r="J87" s="445"/>
      <c r="K87" s="445"/>
      <c r="L87" s="445"/>
      <c r="M87" s="445"/>
      <c r="N87" s="445"/>
      <c r="O87" s="445"/>
      <c r="P87" s="445"/>
      <c r="Q87" s="445"/>
      <c r="R87" s="445"/>
      <c r="S87" s="445"/>
      <c r="T87" s="446"/>
      <c r="U87" s="446"/>
      <c r="V87" s="447"/>
      <c r="W87" s="447"/>
      <c r="X87" s="447"/>
      <c r="Y87" s="436"/>
      <c r="Z87" s="436"/>
      <c r="AA87" s="436"/>
      <c r="AB87" s="436"/>
      <c r="AC87" s="436"/>
      <c r="AD87" s="437"/>
      <c r="AF87" s="50"/>
    </row>
    <row r="88" spans="1:32" ht="30.75" customHeight="1" thickBot="1">
      <c r="A88" s="438">
        <v>3</v>
      </c>
      <c r="B88" s="439"/>
      <c r="C88" s="440"/>
      <c r="D88" s="440"/>
      <c r="E88" s="440"/>
      <c r="F88" s="440"/>
      <c r="G88" s="440"/>
      <c r="H88" s="440"/>
      <c r="I88" s="440"/>
      <c r="J88" s="440"/>
      <c r="K88" s="440"/>
      <c r="L88" s="440"/>
      <c r="M88" s="440"/>
      <c r="N88" s="440"/>
      <c r="O88" s="440"/>
      <c r="P88" s="440"/>
      <c r="Q88" s="440"/>
      <c r="R88" s="440"/>
      <c r="S88" s="440"/>
      <c r="T88" s="440"/>
      <c r="U88" s="440"/>
      <c r="V88" s="440"/>
      <c r="W88" s="440"/>
      <c r="X88" s="440"/>
      <c r="Y88" s="441"/>
      <c r="Z88" s="441"/>
      <c r="AA88" s="441"/>
      <c r="AB88" s="441"/>
      <c r="AC88" s="441"/>
      <c r="AD88" s="442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2D4-BAB5-4EA0-81B5-54B88CC09DDE}">
  <dimension ref="A1:AF89"/>
  <sheetViews>
    <sheetView view="pageBreakPreview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211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150" t="s">
        <v>17</v>
      </c>
      <c r="L5" s="150" t="s">
        <v>18</v>
      </c>
      <c r="M5" s="150" t="s">
        <v>19</v>
      </c>
      <c r="N5" s="15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127</v>
      </c>
      <c r="E6" s="53" t="s">
        <v>187</v>
      </c>
      <c r="F6" s="12" t="s">
        <v>126</v>
      </c>
      <c r="G6" s="12">
        <v>1</v>
      </c>
      <c r="H6" s="13">
        <v>24</v>
      </c>
      <c r="I6" s="31">
        <v>3000</v>
      </c>
      <c r="J6" s="14">
        <v>784</v>
      </c>
      <c r="K6" s="15">
        <f>L6+4896</f>
        <v>5680</v>
      </c>
      <c r="L6" s="15">
        <v>784</v>
      </c>
      <c r="M6" s="15">
        <f t="shared" ref="M6:M23" si="0">L6-N6</f>
        <v>784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4</v>
      </c>
      <c r="Q6" s="40">
        <f t="shared" ref="Q6:Q23" si="3">SUM(R6:AA6)</f>
        <v>20</v>
      </c>
      <c r="R6" s="7"/>
      <c r="S6" s="6"/>
      <c r="T6" s="16"/>
      <c r="U6" s="16"/>
      <c r="V6" s="17"/>
      <c r="W6" s="5">
        <v>20</v>
      </c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0.16666666666666666</v>
      </c>
      <c r="AD6" s="10">
        <f t="shared" ref="AD6:AD23" si="6">AC6*AB6*(1-O6)</f>
        <v>0.16666666666666666</v>
      </c>
      <c r="AE6" s="36">
        <f t="shared" ref="AE6:AE23" si="7">$AD$24</f>
        <v>0.32638888888888884</v>
      </c>
      <c r="AF6" s="84">
        <f t="shared" ref="AF6:AF23" si="8">A6</f>
        <v>1</v>
      </c>
    </row>
    <row r="7" spans="1:32" ht="27" customHeight="1">
      <c r="A7" s="113">
        <v>1</v>
      </c>
      <c r="B7" s="11" t="s">
        <v>212</v>
      </c>
      <c r="C7" s="34" t="s">
        <v>112</v>
      </c>
      <c r="D7" s="52" t="s">
        <v>213</v>
      </c>
      <c r="E7" s="53" t="s">
        <v>214</v>
      </c>
      <c r="F7" s="12" t="s">
        <v>126</v>
      </c>
      <c r="G7" s="12">
        <v>1</v>
      </c>
      <c r="H7" s="13">
        <v>24</v>
      </c>
      <c r="I7" s="31">
        <v>200</v>
      </c>
      <c r="J7" s="14">
        <v>690</v>
      </c>
      <c r="K7" s="15">
        <f>L7</f>
        <v>690</v>
      </c>
      <c r="L7" s="15">
        <v>690</v>
      </c>
      <c r="M7" s="15">
        <f t="shared" ref="M7" si="9">L7-N7</f>
        <v>690</v>
      </c>
      <c r="N7" s="15">
        <v>0</v>
      </c>
      <c r="O7" s="58">
        <f t="shared" ref="O7" si="10">IF(L7=0,"0",N7/L7)</f>
        <v>0</v>
      </c>
      <c r="P7" s="39">
        <f t="shared" ref="P7" si="11">IF(L7=0,"0",(24-Q7))</f>
        <v>4</v>
      </c>
      <c r="Q7" s="40">
        <f t="shared" ref="Q7" si="12">SUM(R7:AA7)</f>
        <v>20</v>
      </c>
      <c r="R7" s="7"/>
      <c r="S7" s="6">
        <v>16</v>
      </c>
      <c r="T7" s="16"/>
      <c r="U7" s="16"/>
      <c r="V7" s="17"/>
      <c r="W7" s="5">
        <v>4</v>
      </c>
      <c r="X7" s="16"/>
      <c r="Y7" s="16"/>
      <c r="Z7" s="16"/>
      <c r="AA7" s="18"/>
      <c r="AB7" s="8">
        <f t="shared" ref="AB7" si="13">IF(J7=0,"0",(L7/J7))</f>
        <v>1</v>
      </c>
      <c r="AC7" s="9">
        <f t="shared" ref="AC7" si="14">IF(P7=0,"0",(P7/24))</f>
        <v>0.16666666666666666</v>
      </c>
      <c r="AD7" s="10">
        <f t="shared" ref="AD7" si="15">AC7*AB7*(1-O7)</f>
        <v>0.16666666666666666</v>
      </c>
      <c r="AE7" s="36">
        <f t="shared" si="7"/>
        <v>0.32638888888888884</v>
      </c>
      <c r="AF7" s="84">
        <f t="shared" ref="AF7" si="16">A7</f>
        <v>1</v>
      </c>
    </row>
    <row r="8" spans="1:32" ht="27" customHeight="1">
      <c r="A8" s="113">
        <v>2</v>
      </c>
      <c r="B8" s="11" t="s">
        <v>57</v>
      </c>
      <c r="C8" s="34" t="s">
        <v>119</v>
      </c>
      <c r="D8" s="52" t="s">
        <v>144</v>
      </c>
      <c r="E8" s="53" t="s">
        <v>161</v>
      </c>
      <c r="F8" s="12" t="s">
        <v>146</v>
      </c>
      <c r="G8" s="12">
        <v>1</v>
      </c>
      <c r="H8" s="13">
        <v>24</v>
      </c>
      <c r="I8" s="31">
        <v>50000</v>
      </c>
      <c r="J8" s="14">
        <v>2801</v>
      </c>
      <c r="K8" s="15">
        <f>L8+3683+2801</f>
        <v>6484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0.32638888888888884</v>
      </c>
      <c r="AF8" s="84">
        <f t="shared" si="8"/>
        <v>2</v>
      </c>
    </row>
    <row r="9" spans="1:32" ht="27" customHeight="1">
      <c r="A9" s="95">
        <v>3</v>
      </c>
      <c r="B9" s="11" t="s">
        <v>57</v>
      </c>
      <c r="C9" s="11" t="s">
        <v>118</v>
      </c>
      <c r="D9" s="52" t="s">
        <v>132</v>
      </c>
      <c r="E9" s="53" t="s">
        <v>166</v>
      </c>
      <c r="F9" s="30" t="s">
        <v>134</v>
      </c>
      <c r="G9" s="33">
        <v>1</v>
      </c>
      <c r="H9" s="35">
        <v>24</v>
      </c>
      <c r="I9" s="7">
        <v>28000</v>
      </c>
      <c r="J9" s="14">
        <v>4536</v>
      </c>
      <c r="K9" s="15">
        <f>L9+670+3737+4361+4739+3866</f>
        <v>21909</v>
      </c>
      <c r="L9" s="15">
        <f>2149+2387</f>
        <v>4536</v>
      </c>
      <c r="M9" s="15">
        <f t="shared" si="0"/>
        <v>4536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0.32638888888888884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115</v>
      </c>
      <c r="E10" s="53" t="s">
        <v>148</v>
      </c>
      <c r="F10" s="30" t="s">
        <v>128</v>
      </c>
      <c r="G10" s="33">
        <v>1</v>
      </c>
      <c r="H10" s="35">
        <v>24</v>
      </c>
      <c r="I10" s="7">
        <v>8000</v>
      </c>
      <c r="J10" s="5">
        <v>3702</v>
      </c>
      <c r="K10" s="15">
        <f>L10+2855+1537+3702</f>
        <v>8094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0.32638888888888884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129</v>
      </c>
      <c r="E11" s="53" t="s">
        <v>169</v>
      </c>
      <c r="F11" s="30" t="s">
        <v>158</v>
      </c>
      <c r="G11" s="33">
        <v>1</v>
      </c>
      <c r="H11" s="35">
        <v>24</v>
      </c>
      <c r="I11" s="7">
        <v>50000</v>
      </c>
      <c r="J11" s="14">
        <v>6720</v>
      </c>
      <c r="K11" s="15">
        <f>L11+5240+6693+6634</f>
        <v>25287</v>
      </c>
      <c r="L11" s="15">
        <f>3377+3343</f>
        <v>6720</v>
      </c>
      <c r="M11" s="15">
        <f t="shared" si="0"/>
        <v>6720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6" si="17">AC11*AB11*(1-O11)</f>
        <v>1</v>
      </c>
      <c r="AE11" s="36">
        <f t="shared" si="7"/>
        <v>0.32638888888888884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119</v>
      </c>
      <c r="D12" s="52" t="s">
        <v>129</v>
      </c>
      <c r="E12" s="53" t="s">
        <v>131</v>
      </c>
      <c r="F12" s="30" t="s">
        <v>122</v>
      </c>
      <c r="G12" s="33">
        <v>4</v>
      </c>
      <c r="H12" s="35">
        <v>24</v>
      </c>
      <c r="I12" s="7">
        <v>200000</v>
      </c>
      <c r="J12" s="14">
        <v>14223</v>
      </c>
      <c r="K12" s="15">
        <f>L12+25248+14223</f>
        <v>39471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17"/>
        <v>0</v>
      </c>
      <c r="AE12" s="36">
        <f t="shared" si="7"/>
        <v>0.32638888888888884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112</v>
      </c>
      <c r="D13" s="52" t="s">
        <v>115</v>
      </c>
      <c r="E13" s="53" t="s">
        <v>206</v>
      </c>
      <c r="F13" s="30" t="s">
        <v>215</v>
      </c>
      <c r="G13" s="12">
        <v>1</v>
      </c>
      <c r="H13" s="13">
        <v>20</v>
      </c>
      <c r="I13" s="31">
        <v>650</v>
      </c>
      <c r="J13" s="5">
        <v>1083</v>
      </c>
      <c r="K13" s="15">
        <f>L13</f>
        <v>1083</v>
      </c>
      <c r="L13" s="15">
        <f>529+554</f>
        <v>1083</v>
      </c>
      <c r="M13" s="15">
        <f t="shared" si="0"/>
        <v>1083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>
        <v>4</v>
      </c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 t="shared" si="17"/>
        <v>0.25</v>
      </c>
      <c r="AE13" s="36">
        <f t="shared" si="7"/>
        <v>0.32638888888888884</v>
      </c>
      <c r="AF13" s="84">
        <f t="shared" si="8"/>
        <v>7</v>
      </c>
    </row>
    <row r="14" spans="1:32" ht="27" customHeight="1">
      <c r="A14" s="96">
        <v>7</v>
      </c>
      <c r="B14" s="11" t="s">
        <v>57</v>
      </c>
      <c r="C14" s="34" t="s">
        <v>112</v>
      </c>
      <c r="D14" s="52" t="s">
        <v>129</v>
      </c>
      <c r="E14" s="53" t="s">
        <v>216</v>
      </c>
      <c r="F14" s="30" t="s">
        <v>128</v>
      </c>
      <c r="G14" s="12">
        <v>1</v>
      </c>
      <c r="H14" s="13">
        <v>20</v>
      </c>
      <c r="I14" s="31">
        <v>650</v>
      </c>
      <c r="J14" s="5">
        <v>1071</v>
      </c>
      <c r="K14" s="15">
        <f>L14</f>
        <v>1071</v>
      </c>
      <c r="L14" s="15">
        <v>1071</v>
      </c>
      <c r="M14" s="15">
        <f t="shared" si="0"/>
        <v>1071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17"/>
        <v>0.25</v>
      </c>
      <c r="AE14" s="36">
        <f t="shared" si="7"/>
        <v>0.32638888888888884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34" t="s">
        <v>118</v>
      </c>
      <c r="D15" s="52" t="s">
        <v>129</v>
      </c>
      <c r="E15" s="53" t="s">
        <v>159</v>
      </c>
      <c r="F15" s="30" t="s">
        <v>160</v>
      </c>
      <c r="G15" s="12">
        <v>1</v>
      </c>
      <c r="H15" s="13">
        <v>28</v>
      </c>
      <c r="I15" s="31">
        <v>37000</v>
      </c>
      <c r="J15" s="5">
        <v>497</v>
      </c>
      <c r="K15" s="15">
        <f>L15+497</f>
        <v>497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>AC15*AB15*(1-O15)</f>
        <v>0</v>
      </c>
      <c r="AE15" s="36">
        <f t="shared" si="7"/>
        <v>0.32638888888888884</v>
      </c>
      <c r="AF15" s="84">
        <f t="shared" si="8"/>
        <v>8</v>
      </c>
    </row>
    <row r="16" spans="1:32" ht="27" customHeight="1">
      <c r="A16" s="106">
        <v>9</v>
      </c>
      <c r="B16" s="11" t="s">
        <v>57</v>
      </c>
      <c r="C16" s="34" t="s">
        <v>112</v>
      </c>
      <c r="D16" s="52" t="s">
        <v>115</v>
      </c>
      <c r="E16" s="53" t="s">
        <v>165</v>
      </c>
      <c r="F16" s="30" t="s">
        <v>128</v>
      </c>
      <c r="G16" s="33">
        <v>1</v>
      </c>
      <c r="H16" s="35">
        <v>60</v>
      </c>
      <c r="I16" s="7">
        <v>300</v>
      </c>
      <c r="J16" s="5">
        <v>112</v>
      </c>
      <c r="K16" s="15">
        <f>L16+112</f>
        <v>112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17"/>
        <v>0</v>
      </c>
      <c r="AE16" s="36">
        <f t="shared" si="7"/>
        <v>0.32638888888888884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121</v>
      </c>
      <c r="D17" s="52" t="s">
        <v>127</v>
      </c>
      <c r="E17" s="53" t="s">
        <v>154</v>
      </c>
      <c r="F17" s="12" t="s">
        <v>156</v>
      </c>
      <c r="G17" s="12">
        <v>1</v>
      </c>
      <c r="H17" s="13">
        <v>24</v>
      </c>
      <c r="I17" s="31">
        <v>13000</v>
      </c>
      <c r="J17" s="14">
        <v>5033</v>
      </c>
      <c r="K17" s="15">
        <f>L17+3277+4927+4955+4860+5033</f>
        <v>23052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0.32638888888888884</v>
      </c>
      <c r="AF17" s="84">
        <f t="shared" si="8"/>
        <v>10</v>
      </c>
    </row>
    <row r="18" spans="1:32" ht="30" customHeight="1">
      <c r="A18" s="95">
        <v>11</v>
      </c>
      <c r="B18" s="11" t="s">
        <v>57</v>
      </c>
      <c r="C18" s="34" t="s">
        <v>118</v>
      </c>
      <c r="D18" s="52" t="s">
        <v>132</v>
      </c>
      <c r="E18" s="53" t="s">
        <v>133</v>
      </c>
      <c r="F18" s="30" t="s">
        <v>134</v>
      </c>
      <c r="G18" s="12">
        <v>1</v>
      </c>
      <c r="H18" s="13">
        <v>24</v>
      </c>
      <c r="I18" s="7">
        <v>500</v>
      </c>
      <c r="J18" s="14">
        <v>495</v>
      </c>
      <c r="K18" s="15">
        <f>L18+495</f>
        <v>495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>
        <v>24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0.32638888888888884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118</v>
      </c>
      <c r="D19" s="52" t="s">
        <v>127</v>
      </c>
      <c r="E19" s="53" t="s">
        <v>147</v>
      </c>
      <c r="F19" s="30" t="s">
        <v>145</v>
      </c>
      <c r="G19" s="12">
        <v>1</v>
      </c>
      <c r="H19" s="13">
        <v>24</v>
      </c>
      <c r="I19" s="7">
        <v>41000</v>
      </c>
      <c r="J19" s="14">
        <v>5947</v>
      </c>
      <c r="K19" s="15">
        <f>L19+5525+6064+6153+5650+5997+6224+6237+5947</f>
        <v>47797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0.32638888888888884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119</v>
      </c>
      <c r="D20" s="52" t="s">
        <v>115</v>
      </c>
      <c r="E20" s="53" t="s">
        <v>157</v>
      </c>
      <c r="F20" s="30" t="s">
        <v>122</v>
      </c>
      <c r="G20" s="33">
        <v>2</v>
      </c>
      <c r="H20" s="35">
        <v>24</v>
      </c>
      <c r="I20" s="7">
        <v>50000</v>
      </c>
      <c r="J20" s="14">
        <v>8131</v>
      </c>
      <c r="K20" s="15">
        <f>L20+2418+5560+9380+10984</f>
        <v>36473</v>
      </c>
      <c r="L20" s="15">
        <f>2643+2744*2</f>
        <v>8131</v>
      </c>
      <c r="M20" s="15">
        <f t="shared" si="0"/>
        <v>8131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>
        <v>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6">
        <f t="shared" si="7"/>
        <v>0.32638888888888884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112</v>
      </c>
      <c r="D21" s="52" t="s">
        <v>217</v>
      </c>
      <c r="E21" s="53" t="s">
        <v>218</v>
      </c>
      <c r="F21" s="30" t="s">
        <v>134</v>
      </c>
      <c r="G21" s="33">
        <v>1</v>
      </c>
      <c r="H21" s="35">
        <v>24</v>
      </c>
      <c r="I21" s="7">
        <v>20000</v>
      </c>
      <c r="J21" s="14">
        <v>2998</v>
      </c>
      <c r="K21" s="15">
        <f>L21</f>
        <v>2998</v>
      </c>
      <c r="L21" s="15">
        <f>224+2774</f>
        <v>2998</v>
      </c>
      <c r="M21" s="15">
        <f t="shared" si="0"/>
        <v>2998</v>
      </c>
      <c r="N21" s="15">
        <v>0</v>
      </c>
      <c r="O21" s="58">
        <f t="shared" si="1"/>
        <v>0</v>
      </c>
      <c r="P21" s="39">
        <f t="shared" si="2"/>
        <v>15</v>
      </c>
      <c r="Q21" s="40">
        <f t="shared" si="3"/>
        <v>9</v>
      </c>
      <c r="R21" s="7"/>
      <c r="S21" s="6">
        <v>9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0.625</v>
      </c>
      <c r="AD21" s="10">
        <f t="shared" si="6"/>
        <v>0.625</v>
      </c>
      <c r="AE21" s="36">
        <f t="shared" si="7"/>
        <v>0.32638888888888884</v>
      </c>
      <c r="AF21" s="84">
        <f t="shared" si="8"/>
        <v>14</v>
      </c>
    </row>
    <row r="22" spans="1:32" ht="27" customHeight="1">
      <c r="A22" s="113">
        <v>15</v>
      </c>
      <c r="B22" s="11" t="s">
        <v>57</v>
      </c>
      <c r="C22" s="34" t="s">
        <v>119</v>
      </c>
      <c r="D22" s="52" t="s">
        <v>115</v>
      </c>
      <c r="E22" s="53" t="s">
        <v>153</v>
      </c>
      <c r="F22" s="30" t="s">
        <v>122</v>
      </c>
      <c r="G22" s="12">
        <v>4</v>
      </c>
      <c r="H22" s="13">
        <v>28</v>
      </c>
      <c r="I22" s="31">
        <v>200000</v>
      </c>
      <c r="J22" s="5">
        <v>26188</v>
      </c>
      <c r="K22" s="15">
        <f>L22+17832+26640+27152+17856+28780+22560+24696+26472</f>
        <v>218176</v>
      </c>
      <c r="L22" s="15">
        <f>3333*4+3214*4</f>
        <v>26188</v>
      </c>
      <c r="M22" s="15">
        <f t="shared" si="0"/>
        <v>26188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0.32638888888888884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162</v>
      </c>
      <c r="F23" s="12" t="s">
        <v>114</v>
      </c>
      <c r="G23" s="12">
        <v>4</v>
      </c>
      <c r="H23" s="35">
        <v>20</v>
      </c>
      <c r="I23" s="7">
        <v>500000</v>
      </c>
      <c r="J23" s="14">
        <v>35932</v>
      </c>
      <c r="K23" s="15">
        <f>L23+28876+33668+30304+72816+70472+27788+28704+35272+35220+37904+15140+35600+34392</f>
        <v>522088</v>
      </c>
      <c r="L23" s="15">
        <f>8983*4</f>
        <v>35932</v>
      </c>
      <c r="M23" s="15">
        <f t="shared" si="0"/>
        <v>35932</v>
      </c>
      <c r="N23" s="15">
        <v>0</v>
      </c>
      <c r="O23" s="58">
        <f t="shared" si="1"/>
        <v>0</v>
      </c>
      <c r="P23" s="39">
        <f t="shared" si="2"/>
        <v>11</v>
      </c>
      <c r="Q23" s="40">
        <f t="shared" si="3"/>
        <v>13</v>
      </c>
      <c r="R23" s="7"/>
      <c r="S23" s="6"/>
      <c r="T23" s="16"/>
      <c r="U23" s="16"/>
      <c r="V23" s="17">
        <v>13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0.45833333333333331</v>
      </c>
      <c r="AD23" s="10">
        <f t="shared" si="6"/>
        <v>0.45833333333333331</v>
      </c>
      <c r="AE23" s="36">
        <f t="shared" si="7"/>
        <v>0.32638888888888884</v>
      </c>
      <c r="AF23" s="84">
        <f t="shared" si="8"/>
        <v>16</v>
      </c>
    </row>
    <row r="24" spans="1:32" ht="31.5" customHeight="1" thickBot="1">
      <c r="A24" s="519" t="s">
        <v>34</v>
      </c>
      <c r="B24" s="520"/>
      <c r="C24" s="520"/>
      <c r="D24" s="520"/>
      <c r="E24" s="520"/>
      <c r="F24" s="520"/>
      <c r="G24" s="520"/>
      <c r="H24" s="521"/>
      <c r="I24" s="22">
        <f t="shared" ref="I24:N24" si="18">SUM(I6:I23)</f>
        <v>1202300</v>
      </c>
      <c r="J24" s="19">
        <f t="shared" si="18"/>
        <v>120943</v>
      </c>
      <c r="K24" s="20">
        <f t="shared" si="18"/>
        <v>961457</v>
      </c>
      <c r="L24" s="21">
        <f t="shared" si="18"/>
        <v>88133</v>
      </c>
      <c r="M24" s="20">
        <f t="shared" si="18"/>
        <v>88133</v>
      </c>
      <c r="N24" s="21">
        <f t="shared" si="18"/>
        <v>0</v>
      </c>
      <c r="O24" s="41">
        <f t="shared" si="1"/>
        <v>0</v>
      </c>
      <c r="P24" s="42">
        <f t="shared" ref="P24:AA24" si="19">SUM(P6:P23)</f>
        <v>141</v>
      </c>
      <c r="Q24" s="43">
        <f t="shared" si="19"/>
        <v>291</v>
      </c>
      <c r="R24" s="23">
        <f t="shared" si="19"/>
        <v>24</v>
      </c>
      <c r="S24" s="24">
        <f t="shared" si="19"/>
        <v>126</v>
      </c>
      <c r="T24" s="24">
        <f t="shared" si="19"/>
        <v>0</v>
      </c>
      <c r="U24" s="24">
        <f t="shared" si="19"/>
        <v>0</v>
      </c>
      <c r="V24" s="25">
        <f t="shared" si="19"/>
        <v>13</v>
      </c>
      <c r="W24" s="26">
        <f t="shared" si="19"/>
        <v>128</v>
      </c>
      <c r="X24" s="27">
        <f t="shared" si="19"/>
        <v>0</v>
      </c>
      <c r="Y24" s="27">
        <f t="shared" si="19"/>
        <v>0</v>
      </c>
      <c r="Z24" s="27">
        <f t="shared" si="19"/>
        <v>0</v>
      </c>
      <c r="AA24" s="27">
        <f t="shared" si="19"/>
        <v>0</v>
      </c>
      <c r="AB24" s="28">
        <f>AVERAGE(AB6:AB23)</f>
        <v>0.55555555555555558</v>
      </c>
      <c r="AC24" s="4">
        <f>AVERAGE(AC6:AC23)</f>
        <v>0.32638888888888884</v>
      </c>
      <c r="AD24" s="4">
        <f>AVERAGE(AD6:AD23)</f>
        <v>0.32638888888888884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22" t="s">
        <v>45</v>
      </c>
      <c r="B51" s="522"/>
      <c r="C51" s="522"/>
      <c r="D51" s="522"/>
      <c r="E51" s="522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23" t="s">
        <v>219</v>
      </c>
      <c r="B52" s="524"/>
      <c r="C52" s="524"/>
      <c r="D52" s="524"/>
      <c r="E52" s="524"/>
      <c r="F52" s="524"/>
      <c r="G52" s="524"/>
      <c r="H52" s="524"/>
      <c r="I52" s="524"/>
      <c r="J52" s="524"/>
      <c r="K52" s="524"/>
      <c r="L52" s="524"/>
      <c r="M52" s="525"/>
      <c r="N52" s="526" t="s">
        <v>223</v>
      </c>
      <c r="O52" s="527"/>
      <c r="P52" s="527"/>
      <c r="Q52" s="527"/>
      <c r="R52" s="527"/>
      <c r="S52" s="527"/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8"/>
    </row>
    <row r="53" spans="1:32" ht="27" customHeight="1">
      <c r="A53" s="529" t="s">
        <v>2</v>
      </c>
      <c r="B53" s="530"/>
      <c r="C53" s="151" t="s">
        <v>46</v>
      </c>
      <c r="D53" s="151" t="s">
        <v>47</v>
      </c>
      <c r="E53" s="151" t="s">
        <v>107</v>
      </c>
      <c r="F53" s="531" t="s">
        <v>106</v>
      </c>
      <c r="G53" s="532"/>
      <c r="H53" s="532"/>
      <c r="I53" s="532"/>
      <c r="J53" s="532"/>
      <c r="K53" s="532"/>
      <c r="L53" s="532"/>
      <c r="M53" s="533"/>
      <c r="N53" s="67" t="s">
        <v>110</v>
      </c>
      <c r="O53" s="151" t="s">
        <v>46</v>
      </c>
      <c r="P53" s="531" t="s">
        <v>47</v>
      </c>
      <c r="Q53" s="534"/>
      <c r="R53" s="531" t="s">
        <v>38</v>
      </c>
      <c r="S53" s="532"/>
      <c r="T53" s="532"/>
      <c r="U53" s="534"/>
      <c r="V53" s="531" t="s">
        <v>48</v>
      </c>
      <c r="W53" s="532"/>
      <c r="X53" s="532"/>
      <c r="Y53" s="532"/>
      <c r="Z53" s="532"/>
      <c r="AA53" s="532"/>
      <c r="AB53" s="532"/>
      <c r="AC53" s="532"/>
      <c r="AD53" s="533"/>
    </row>
    <row r="54" spans="1:32" ht="27" customHeight="1">
      <c r="A54" s="512" t="s">
        <v>112</v>
      </c>
      <c r="B54" s="513"/>
      <c r="C54" s="152" t="s">
        <v>143</v>
      </c>
      <c r="D54" s="152" t="s">
        <v>213</v>
      </c>
      <c r="E54" s="153" t="s">
        <v>214</v>
      </c>
      <c r="F54" s="500" t="s">
        <v>220</v>
      </c>
      <c r="G54" s="501"/>
      <c r="H54" s="501"/>
      <c r="I54" s="501"/>
      <c r="J54" s="501"/>
      <c r="K54" s="501"/>
      <c r="L54" s="501"/>
      <c r="M54" s="502"/>
      <c r="N54" s="157" t="s">
        <v>118</v>
      </c>
      <c r="O54" s="159" t="s">
        <v>155</v>
      </c>
      <c r="P54" s="514" t="s">
        <v>115</v>
      </c>
      <c r="Q54" s="515"/>
      <c r="R54" s="514" t="s">
        <v>205</v>
      </c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118</v>
      </c>
      <c r="B55" s="513"/>
      <c r="C55" s="152" t="s">
        <v>151</v>
      </c>
      <c r="D55" s="152" t="s">
        <v>115</v>
      </c>
      <c r="E55" s="153" t="s">
        <v>167</v>
      </c>
      <c r="F55" s="500" t="s">
        <v>202</v>
      </c>
      <c r="G55" s="501"/>
      <c r="H55" s="501"/>
      <c r="I55" s="501"/>
      <c r="J55" s="501"/>
      <c r="K55" s="501"/>
      <c r="L55" s="501"/>
      <c r="M55" s="502"/>
      <c r="N55" s="157" t="s">
        <v>118</v>
      </c>
      <c r="O55" s="159" t="s">
        <v>152</v>
      </c>
      <c r="P55" s="514" t="s">
        <v>129</v>
      </c>
      <c r="Q55" s="515"/>
      <c r="R55" s="514" t="s">
        <v>159</v>
      </c>
      <c r="S55" s="516"/>
      <c r="T55" s="516"/>
      <c r="U55" s="515"/>
      <c r="V55" s="487" t="s">
        <v>130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112</v>
      </c>
      <c r="B56" s="513"/>
      <c r="C56" s="152" t="s">
        <v>190</v>
      </c>
      <c r="D56" s="152" t="s">
        <v>115</v>
      </c>
      <c r="E56" s="153" t="s">
        <v>206</v>
      </c>
      <c r="F56" s="500" t="s">
        <v>221</v>
      </c>
      <c r="G56" s="501"/>
      <c r="H56" s="501"/>
      <c r="I56" s="501"/>
      <c r="J56" s="501"/>
      <c r="K56" s="501"/>
      <c r="L56" s="501"/>
      <c r="M56" s="502"/>
      <c r="N56" s="157" t="s">
        <v>119</v>
      </c>
      <c r="O56" s="159" t="s">
        <v>140</v>
      </c>
      <c r="P56" s="514" t="s">
        <v>144</v>
      </c>
      <c r="Q56" s="515"/>
      <c r="R56" s="514" t="s">
        <v>174</v>
      </c>
      <c r="S56" s="516"/>
      <c r="T56" s="516"/>
      <c r="U56" s="515"/>
      <c r="V56" s="487" t="s">
        <v>130</v>
      </c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112</v>
      </c>
      <c r="B57" s="513"/>
      <c r="C57" s="152" t="s">
        <v>190</v>
      </c>
      <c r="D57" s="152" t="s">
        <v>129</v>
      </c>
      <c r="E57" s="153" t="s">
        <v>216</v>
      </c>
      <c r="F57" s="500" t="s">
        <v>141</v>
      </c>
      <c r="G57" s="501"/>
      <c r="H57" s="501"/>
      <c r="I57" s="501"/>
      <c r="J57" s="501"/>
      <c r="K57" s="501"/>
      <c r="L57" s="501"/>
      <c r="M57" s="502"/>
      <c r="N57" s="157" t="s">
        <v>119</v>
      </c>
      <c r="O57" s="159" t="s">
        <v>142</v>
      </c>
      <c r="P57" s="514" t="s">
        <v>115</v>
      </c>
      <c r="Q57" s="515"/>
      <c r="R57" s="514" t="s">
        <v>157</v>
      </c>
      <c r="S57" s="516"/>
      <c r="T57" s="516"/>
      <c r="U57" s="515"/>
      <c r="V57" s="487" t="s">
        <v>130</v>
      </c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 t="s">
        <v>112</v>
      </c>
      <c r="B58" s="513"/>
      <c r="C58" s="152" t="s">
        <v>151</v>
      </c>
      <c r="D58" s="152" t="s">
        <v>217</v>
      </c>
      <c r="E58" s="153" t="s">
        <v>218</v>
      </c>
      <c r="F58" s="500" t="s">
        <v>141</v>
      </c>
      <c r="G58" s="501"/>
      <c r="H58" s="501"/>
      <c r="I58" s="501"/>
      <c r="J58" s="501"/>
      <c r="K58" s="501"/>
      <c r="L58" s="501"/>
      <c r="M58" s="502"/>
      <c r="N58" s="157"/>
      <c r="O58" s="159"/>
      <c r="P58" s="514"/>
      <c r="Q58" s="515"/>
      <c r="R58" s="514"/>
      <c r="S58" s="516"/>
      <c r="T58" s="516"/>
      <c r="U58" s="515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 t="s">
        <v>119</v>
      </c>
      <c r="B59" s="513"/>
      <c r="C59" s="152" t="s">
        <v>142</v>
      </c>
      <c r="D59" s="152" t="s">
        <v>115</v>
      </c>
      <c r="E59" s="153" t="s">
        <v>157</v>
      </c>
      <c r="F59" s="500" t="s">
        <v>222</v>
      </c>
      <c r="G59" s="501"/>
      <c r="H59" s="501"/>
      <c r="I59" s="501"/>
      <c r="J59" s="501"/>
      <c r="K59" s="501"/>
      <c r="L59" s="501"/>
      <c r="M59" s="502"/>
      <c r="N59" s="157"/>
      <c r="O59" s="159"/>
      <c r="P59" s="514"/>
      <c r="Q59" s="515"/>
      <c r="R59" s="514"/>
      <c r="S59" s="516"/>
      <c r="T59" s="516"/>
      <c r="U59" s="515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512"/>
      <c r="B60" s="513"/>
      <c r="C60" s="152"/>
      <c r="D60" s="152"/>
      <c r="E60" s="153"/>
      <c r="F60" s="500"/>
      <c r="G60" s="501"/>
      <c r="H60" s="501"/>
      <c r="I60" s="501"/>
      <c r="J60" s="501"/>
      <c r="K60" s="501"/>
      <c r="L60" s="501"/>
      <c r="M60" s="502"/>
      <c r="N60" s="157"/>
      <c r="O60" s="159"/>
      <c r="P60" s="514"/>
      <c r="Q60" s="515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</row>
    <row r="61" spans="1:32" ht="27" customHeight="1">
      <c r="A61" s="512"/>
      <c r="B61" s="513"/>
      <c r="C61" s="152"/>
      <c r="D61" s="152"/>
      <c r="E61" s="153"/>
      <c r="F61" s="500"/>
      <c r="G61" s="501"/>
      <c r="H61" s="501"/>
      <c r="I61" s="501"/>
      <c r="J61" s="501"/>
      <c r="K61" s="501"/>
      <c r="L61" s="501"/>
      <c r="M61" s="502"/>
      <c r="N61" s="157"/>
      <c r="O61" s="159"/>
      <c r="P61" s="514"/>
      <c r="Q61" s="515"/>
      <c r="R61" s="499"/>
      <c r="S61" s="499"/>
      <c r="T61" s="499"/>
      <c r="U61" s="499"/>
      <c r="V61" s="487"/>
      <c r="W61" s="487"/>
      <c r="X61" s="487"/>
      <c r="Y61" s="487"/>
      <c r="Z61" s="487"/>
      <c r="AA61" s="487"/>
      <c r="AB61" s="487"/>
      <c r="AC61" s="487"/>
      <c r="AD61" s="503"/>
    </row>
    <row r="62" spans="1:32" ht="27" customHeight="1">
      <c r="A62" s="498"/>
      <c r="B62" s="499"/>
      <c r="C62" s="153"/>
      <c r="D62" s="153"/>
      <c r="E62" s="153"/>
      <c r="F62" s="500"/>
      <c r="G62" s="501"/>
      <c r="H62" s="501"/>
      <c r="I62" s="501"/>
      <c r="J62" s="501"/>
      <c r="K62" s="501"/>
      <c r="L62" s="501"/>
      <c r="M62" s="502"/>
      <c r="N62" s="157"/>
      <c r="O62" s="159"/>
      <c r="P62" s="499"/>
      <c r="Q62" s="499"/>
      <c r="R62" s="499"/>
      <c r="S62" s="499"/>
      <c r="T62" s="499"/>
      <c r="U62" s="499"/>
      <c r="V62" s="487"/>
      <c r="W62" s="487"/>
      <c r="X62" s="487"/>
      <c r="Y62" s="487"/>
      <c r="Z62" s="487"/>
      <c r="AA62" s="487"/>
      <c r="AB62" s="487"/>
      <c r="AC62" s="487"/>
      <c r="AD62" s="503"/>
      <c r="AF62" s="84">
        <f>8*3000</f>
        <v>24000</v>
      </c>
    </row>
    <row r="63" spans="1:32" ht="27" customHeight="1" thickBot="1">
      <c r="A63" s="504"/>
      <c r="B63" s="505"/>
      <c r="C63" s="154"/>
      <c r="D63" s="155"/>
      <c r="E63" s="155"/>
      <c r="F63" s="506"/>
      <c r="G63" s="507"/>
      <c r="H63" s="507"/>
      <c r="I63" s="507"/>
      <c r="J63" s="507"/>
      <c r="K63" s="507"/>
      <c r="L63" s="507"/>
      <c r="M63" s="508"/>
      <c r="N63" s="112"/>
      <c r="O63" s="103"/>
      <c r="P63" s="509"/>
      <c r="Q63" s="509"/>
      <c r="R63" s="509"/>
      <c r="S63" s="509"/>
      <c r="T63" s="509"/>
      <c r="U63" s="509"/>
      <c r="V63" s="510"/>
      <c r="W63" s="510"/>
      <c r="X63" s="510"/>
      <c r="Y63" s="510"/>
      <c r="Z63" s="510"/>
      <c r="AA63" s="510"/>
      <c r="AB63" s="510"/>
      <c r="AC63" s="510"/>
      <c r="AD63" s="511"/>
      <c r="AF63" s="84">
        <f>16*3000</f>
        <v>48000</v>
      </c>
    </row>
    <row r="64" spans="1:32" ht="27.75" thickBot="1">
      <c r="A64" s="496" t="s">
        <v>224</v>
      </c>
      <c r="B64" s="496"/>
      <c r="C64" s="496"/>
      <c r="D64" s="496"/>
      <c r="E64" s="496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97" t="s">
        <v>111</v>
      </c>
      <c r="B65" s="494"/>
      <c r="C65" s="156" t="s">
        <v>2</v>
      </c>
      <c r="D65" s="156" t="s">
        <v>37</v>
      </c>
      <c r="E65" s="156" t="s">
        <v>3</v>
      </c>
      <c r="F65" s="494" t="s">
        <v>109</v>
      </c>
      <c r="G65" s="494"/>
      <c r="H65" s="494"/>
      <c r="I65" s="494"/>
      <c r="J65" s="494"/>
      <c r="K65" s="494" t="s">
        <v>39</v>
      </c>
      <c r="L65" s="494"/>
      <c r="M65" s="156" t="s">
        <v>40</v>
      </c>
      <c r="N65" s="494" t="s">
        <v>41</v>
      </c>
      <c r="O65" s="494"/>
      <c r="P65" s="491" t="s">
        <v>42</v>
      </c>
      <c r="Q65" s="493"/>
      <c r="R65" s="491" t="s">
        <v>43</v>
      </c>
      <c r="S65" s="492"/>
      <c r="T65" s="492"/>
      <c r="U65" s="492"/>
      <c r="V65" s="492"/>
      <c r="W65" s="492"/>
      <c r="X65" s="492"/>
      <c r="Y65" s="492"/>
      <c r="Z65" s="492"/>
      <c r="AA65" s="493"/>
      <c r="AB65" s="494" t="s">
        <v>44</v>
      </c>
      <c r="AC65" s="494"/>
      <c r="AD65" s="495"/>
      <c r="AF65" s="84">
        <f>SUM(AF62:AF64)</f>
        <v>96000</v>
      </c>
    </row>
    <row r="66" spans="1:32" ht="25.5" customHeight="1">
      <c r="A66" s="482">
        <v>1</v>
      </c>
      <c r="B66" s="483"/>
      <c r="C66" s="105" t="s">
        <v>112</v>
      </c>
      <c r="D66" s="161"/>
      <c r="E66" s="158" t="s">
        <v>213</v>
      </c>
      <c r="F66" s="488" t="s">
        <v>214</v>
      </c>
      <c r="G66" s="489"/>
      <c r="H66" s="489"/>
      <c r="I66" s="489"/>
      <c r="J66" s="490"/>
      <c r="K66" s="476" t="s">
        <v>126</v>
      </c>
      <c r="L66" s="476"/>
      <c r="M66" s="51" t="s">
        <v>225</v>
      </c>
      <c r="N66" s="485" t="s">
        <v>143</v>
      </c>
      <c r="O66" s="485"/>
      <c r="P66" s="486">
        <v>50</v>
      </c>
      <c r="Q66" s="486"/>
      <c r="R66" s="487" t="s">
        <v>226</v>
      </c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2</v>
      </c>
      <c r="B67" s="483"/>
      <c r="C67" s="105"/>
      <c r="D67" s="161"/>
      <c r="E67" s="158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3</v>
      </c>
      <c r="B68" s="483"/>
      <c r="C68" s="105"/>
      <c r="D68" s="161"/>
      <c r="E68" s="158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4</v>
      </c>
      <c r="B69" s="483"/>
      <c r="C69" s="105"/>
      <c r="D69" s="161"/>
      <c r="E69" s="158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5</v>
      </c>
      <c r="B70" s="483"/>
      <c r="C70" s="105"/>
      <c r="D70" s="161"/>
      <c r="E70" s="158"/>
      <c r="F70" s="488"/>
      <c r="G70" s="489"/>
      <c r="H70" s="489"/>
      <c r="I70" s="489"/>
      <c r="J70" s="490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6</v>
      </c>
      <c r="B71" s="483"/>
      <c r="C71" s="105"/>
      <c r="D71" s="161"/>
      <c r="E71" s="158"/>
      <c r="F71" s="488"/>
      <c r="G71" s="489"/>
      <c r="H71" s="489"/>
      <c r="I71" s="489"/>
      <c r="J71" s="490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7</v>
      </c>
      <c r="B72" s="483"/>
      <c r="C72" s="105"/>
      <c r="D72" s="161"/>
      <c r="E72" s="158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8</v>
      </c>
      <c r="B73" s="483"/>
      <c r="C73" s="105"/>
      <c r="D73" s="161"/>
      <c r="E73" s="158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5.5" customHeight="1">
      <c r="A74" s="482">
        <v>9</v>
      </c>
      <c r="B74" s="483"/>
      <c r="C74" s="105"/>
      <c r="D74" s="161"/>
      <c r="E74" s="158"/>
      <c r="F74" s="484"/>
      <c r="G74" s="476"/>
      <c r="H74" s="476"/>
      <c r="I74" s="476"/>
      <c r="J74" s="476"/>
      <c r="K74" s="476"/>
      <c r="L74" s="476"/>
      <c r="M74" s="51"/>
      <c r="N74" s="485"/>
      <c r="O74" s="485"/>
      <c r="P74" s="486"/>
      <c r="Q74" s="486"/>
      <c r="R74" s="487"/>
      <c r="S74" s="487"/>
      <c r="T74" s="487"/>
      <c r="U74" s="487"/>
      <c r="V74" s="487"/>
      <c r="W74" s="487"/>
      <c r="X74" s="487"/>
      <c r="Y74" s="487"/>
      <c r="Z74" s="487"/>
      <c r="AA74" s="487"/>
      <c r="AB74" s="476"/>
      <c r="AC74" s="476"/>
      <c r="AD74" s="477"/>
      <c r="AF74" s="50"/>
    </row>
    <row r="75" spans="1:32" ht="25.5" customHeight="1">
      <c r="A75" s="482">
        <v>10</v>
      </c>
      <c r="B75" s="483"/>
      <c r="C75" s="105"/>
      <c r="D75" s="161"/>
      <c r="E75" s="158"/>
      <c r="F75" s="484"/>
      <c r="G75" s="476"/>
      <c r="H75" s="476"/>
      <c r="I75" s="476"/>
      <c r="J75" s="476"/>
      <c r="K75" s="476"/>
      <c r="L75" s="476"/>
      <c r="M75" s="51"/>
      <c r="N75" s="485"/>
      <c r="O75" s="485"/>
      <c r="P75" s="486"/>
      <c r="Q75" s="486"/>
      <c r="R75" s="487"/>
      <c r="S75" s="487"/>
      <c r="T75" s="487"/>
      <c r="U75" s="487"/>
      <c r="V75" s="487"/>
      <c r="W75" s="487"/>
      <c r="X75" s="487"/>
      <c r="Y75" s="487"/>
      <c r="Z75" s="487"/>
      <c r="AA75" s="487"/>
      <c r="AB75" s="476"/>
      <c r="AC75" s="476"/>
      <c r="AD75" s="477"/>
      <c r="AF75" s="50"/>
    </row>
    <row r="76" spans="1:32" ht="26.25" customHeight="1" thickBot="1">
      <c r="A76" s="456" t="s">
        <v>227</v>
      </c>
      <c r="B76" s="456"/>
      <c r="C76" s="456"/>
      <c r="D76" s="456"/>
      <c r="E76" s="456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57" t="s">
        <v>149</v>
      </c>
      <c r="B77" s="458"/>
      <c r="C77" s="160" t="s">
        <v>2</v>
      </c>
      <c r="D77" s="160" t="s">
        <v>37</v>
      </c>
      <c r="E77" s="160" t="s">
        <v>135</v>
      </c>
      <c r="F77" s="458" t="s">
        <v>38</v>
      </c>
      <c r="G77" s="458"/>
      <c r="H77" s="458"/>
      <c r="I77" s="458"/>
      <c r="J77" s="458"/>
      <c r="K77" s="478" t="s">
        <v>58</v>
      </c>
      <c r="L77" s="479"/>
      <c r="M77" s="479"/>
      <c r="N77" s="479"/>
      <c r="O77" s="479"/>
      <c r="P77" s="479"/>
      <c r="Q77" s="479"/>
      <c r="R77" s="479"/>
      <c r="S77" s="480"/>
      <c r="T77" s="458" t="s">
        <v>49</v>
      </c>
      <c r="U77" s="458"/>
      <c r="V77" s="478" t="s">
        <v>50</v>
      </c>
      <c r="W77" s="480"/>
      <c r="X77" s="479" t="s">
        <v>51</v>
      </c>
      <c r="Y77" s="479"/>
      <c r="Z77" s="479"/>
      <c r="AA77" s="479"/>
      <c r="AB77" s="479"/>
      <c r="AC77" s="479"/>
      <c r="AD77" s="481"/>
      <c r="AF77" s="50"/>
    </row>
    <row r="78" spans="1:32" ht="33.75" customHeight="1">
      <c r="A78" s="450">
        <v>1</v>
      </c>
      <c r="B78" s="451"/>
      <c r="C78" s="162" t="s">
        <v>112</v>
      </c>
      <c r="D78" s="162"/>
      <c r="E78" s="65" t="s">
        <v>117</v>
      </c>
      <c r="F78" s="465" t="s">
        <v>116</v>
      </c>
      <c r="G78" s="466"/>
      <c r="H78" s="466"/>
      <c r="I78" s="466"/>
      <c r="J78" s="467"/>
      <c r="K78" s="468" t="s">
        <v>120</v>
      </c>
      <c r="L78" s="469"/>
      <c r="M78" s="469"/>
      <c r="N78" s="469"/>
      <c r="O78" s="469"/>
      <c r="P78" s="469"/>
      <c r="Q78" s="469"/>
      <c r="R78" s="469"/>
      <c r="S78" s="470"/>
      <c r="T78" s="471">
        <v>43675</v>
      </c>
      <c r="U78" s="472"/>
      <c r="V78" s="473"/>
      <c r="W78" s="473"/>
      <c r="X78" s="474"/>
      <c r="Y78" s="474"/>
      <c r="Z78" s="474"/>
      <c r="AA78" s="474"/>
      <c r="AB78" s="474"/>
      <c r="AC78" s="474"/>
      <c r="AD78" s="475"/>
      <c r="AF78" s="50"/>
    </row>
    <row r="79" spans="1:32" ht="30" customHeight="1">
      <c r="A79" s="443">
        <f>A78+1</f>
        <v>2</v>
      </c>
      <c r="B79" s="444"/>
      <c r="C79" s="161"/>
      <c r="D79" s="161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ref="A80:A84" si="20">A79+1</f>
        <v>3</v>
      </c>
      <c r="B80" s="444"/>
      <c r="C80" s="161"/>
      <c r="D80" s="161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20"/>
        <v>4</v>
      </c>
      <c r="B81" s="444"/>
      <c r="C81" s="161"/>
      <c r="D81" s="161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20"/>
        <v>5</v>
      </c>
      <c r="B82" s="444"/>
      <c r="C82" s="161"/>
      <c r="D82" s="161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0" customHeight="1">
      <c r="A83" s="443">
        <f t="shared" si="20"/>
        <v>6</v>
      </c>
      <c r="B83" s="444"/>
      <c r="C83" s="161"/>
      <c r="D83" s="161"/>
      <c r="E83" s="32"/>
      <c r="F83" s="444"/>
      <c r="G83" s="444"/>
      <c r="H83" s="444"/>
      <c r="I83" s="444"/>
      <c r="J83" s="444"/>
      <c r="K83" s="459"/>
      <c r="L83" s="460"/>
      <c r="M83" s="460"/>
      <c r="N83" s="460"/>
      <c r="O83" s="460"/>
      <c r="P83" s="460"/>
      <c r="Q83" s="460"/>
      <c r="R83" s="460"/>
      <c r="S83" s="461"/>
      <c r="T83" s="462"/>
      <c r="U83" s="462"/>
      <c r="V83" s="462"/>
      <c r="W83" s="462"/>
      <c r="X83" s="463"/>
      <c r="Y83" s="463"/>
      <c r="Z83" s="463"/>
      <c r="AA83" s="463"/>
      <c r="AB83" s="463"/>
      <c r="AC83" s="463"/>
      <c r="AD83" s="464"/>
      <c r="AF83" s="50"/>
    </row>
    <row r="84" spans="1:32" ht="30" customHeight="1">
      <c r="A84" s="443">
        <f t="shared" si="20"/>
        <v>7</v>
      </c>
      <c r="B84" s="444"/>
      <c r="C84" s="161"/>
      <c r="D84" s="161"/>
      <c r="E84" s="32"/>
      <c r="F84" s="444"/>
      <c r="G84" s="444"/>
      <c r="H84" s="444"/>
      <c r="I84" s="444"/>
      <c r="J84" s="444"/>
      <c r="K84" s="459"/>
      <c r="L84" s="460"/>
      <c r="M84" s="460"/>
      <c r="N84" s="460"/>
      <c r="O84" s="460"/>
      <c r="P84" s="460"/>
      <c r="Q84" s="460"/>
      <c r="R84" s="460"/>
      <c r="S84" s="461"/>
      <c r="T84" s="462"/>
      <c r="U84" s="462"/>
      <c r="V84" s="462"/>
      <c r="W84" s="462"/>
      <c r="X84" s="463"/>
      <c r="Y84" s="463"/>
      <c r="Z84" s="463"/>
      <c r="AA84" s="463"/>
      <c r="AB84" s="463"/>
      <c r="AC84" s="463"/>
      <c r="AD84" s="464"/>
      <c r="AF84" s="50"/>
    </row>
    <row r="85" spans="1:32" ht="36" thickBot="1">
      <c r="A85" s="456" t="s">
        <v>228</v>
      </c>
      <c r="B85" s="456"/>
      <c r="C85" s="456"/>
      <c r="D85" s="456"/>
      <c r="E85" s="456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57" t="s">
        <v>111</v>
      </c>
      <c r="B86" s="458"/>
      <c r="C86" s="448" t="s">
        <v>52</v>
      </c>
      <c r="D86" s="448"/>
      <c r="E86" s="448" t="s">
        <v>53</v>
      </c>
      <c r="F86" s="448"/>
      <c r="G86" s="448"/>
      <c r="H86" s="448"/>
      <c r="I86" s="448"/>
      <c r="J86" s="448"/>
      <c r="K86" s="448" t="s">
        <v>54</v>
      </c>
      <c r="L86" s="448"/>
      <c r="M86" s="448"/>
      <c r="N86" s="448"/>
      <c r="O86" s="448"/>
      <c r="P86" s="448"/>
      <c r="Q86" s="448"/>
      <c r="R86" s="448"/>
      <c r="S86" s="448"/>
      <c r="T86" s="448" t="s">
        <v>55</v>
      </c>
      <c r="U86" s="448"/>
      <c r="V86" s="448" t="s">
        <v>56</v>
      </c>
      <c r="W86" s="448"/>
      <c r="X86" s="448"/>
      <c r="Y86" s="448" t="s">
        <v>51</v>
      </c>
      <c r="Z86" s="448"/>
      <c r="AA86" s="448"/>
      <c r="AB86" s="448"/>
      <c r="AC86" s="448"/>
      <c r="AD86" s="449"/>
      <c r="AF86" s="50"/>
    </row>
    <row r="87" spans="1:32" ht="30.75" customHeight="1">
      <c r="A87" s="450">
        <v>1</v>
      </c>
      <c r="B87" s="451"/>
      <c r="C87" s="452">
        <v>11</v>
      </c>
      <c r="D87" s="452"/>
      <c r="E87" s="452" t="s">
        <v>136</v>
      </c>
      <c r="F87" s="452"/>
      <c r="G87" s="452"/>
      <c r="H87" s="452"/>
      <c r="I87" s="452"/>
      <c r="J87" s="452"/>
      <c r="K87" s="452" t="s">
        <v>138</v>
      </c>
      <c r="L87" s="452"/>
      <c r="M87" s="452"/>
      <c r="N87" s="452"/>
      <c r="O87" s="452"/>
      <c r="P87" s="452"/>
      <c r="Q87" s="452"/>
      <c r="R87" s="452"/>
      <c r="S87" s="452"/>
      <c r="T87" s="452" t="s">
        <v>137</v>
      </c>
      <c r="U87" s="452"/>
      <c r="V87" s="453"/>
      <c r="W87" s="453"/>
      <c r="X87" s="453"/>
      <c r="Y87" s="454" t="s">
        <v>139</v>
      </c>
      <c r="Z87" s="454"/>
      <c r="AA87" s="454"/>
      <c r="AB87" s="454"/>
      <c r="AC87" s="454"/>
      <c r="AD87" s="455"/>
      <c r="AF87" s="50"/>
    </row>
    <row r="88" spans="1:32" ht="30.75" customHeight="1">
      <c r="A88" s="443">
        <v>2</v>
      </c>
      <c r="B88" s="444"/>
      <c r="C88" s="445"/>
      <c r="D88" s="445"/>
      <c r="E88" s="445"/>
      <c r="F88" s="445"/>
      <c r="G88" s="445"/>
      <c r="H88" s="445"/>
      <c r="I88" s="445"/>
      <c r="J88" s="445"/>
      <c r="K88" s="445"/>
      <c r="L88" s="445"/>
      <c r="M88" s="445"/>
      <c r="N88" s="445"/>
      <c r="O88" s="445"/>
      <c r="P88" s="445"/>
      <c r="Q88" s="445"/>
      <c r="R88" s="445"/>
      <c r="S88" s="445"/>
      <c r="T88" s="446"/>
      <c r="U88" s="446"/>
      <c r="V88" s="447"/>
      <c r="W88" s="447"/>
      <c r="X88" s="447"/>
      <c r="Y88" s="436"/>
      <c r="Z88" s="436"/>
      <c r="AA88" s="436"/>
      <c r="AB88" s="436"/>
      <c r="AC88" s="436"/>
      <c r="AD88" s="437"/>
      <c r="AF88" s="50"/>
    </row>
    <row r="89" spans="1:32" ht="30.75" customHeight="1" thickBot="1">
      <c r="A89" s="438">
        <v>3</v>
      </c>
      <c r="B89" s="439"/>
      <c r="C89" s="440"/>
      <c r="D89" s="440"/>
      <c r="E89" s="440"/>
      <c r="F89" s="440"/>
      <c r="G89" s="440"/>
      <c r="H89" s="440"/>
      <c r="I89" s="440"/>
      <c r="J89" s="440"/>
      <c r="K89" s="440"/>
      <c r="L89" s="440"/>
      <c r="M89" s="440"/>
      <c r="N89" s="440"/>
      <c r="O89" s="440"/>
      <c r="P89" s="440"/>
      <c r="Q89" s="440"/>
      <c r="R89" s="440"/>
      <c r="S89" s="440"/>
      <c r="T89" s="440"/>
      <c r="U89" s="440"/>
      <c r="V89" s="440"/>
      <c r="W89" s="440"/>
      <c r="X89" s="440"/>
      <c r="Y89" s="441"/>
      <c r="Z89" s="441"/>
      <c r="AA89" s="441"/>
      <c r="AB89" s="441"/>
      <c r="AC89" s="441"/>
      <c r="AD89" s="442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A233-03B3-4110-BFCB-14D1B21BAC95}">
  <dimension ref="A1:AF87"/>
  <sheetViews>
    <sheetView view="pageBreakPreview" zoomScale="70" zoomScaleNormal="72" zoomScaleSheetLayoutView="70" workbookViewId="0">
      <selection activeCell="K78" sqref="K78:S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229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175" t="s">
        <v>17</v>
      </c>
      <c r="L5" s="175" t="s">
        <v>18</v>
      </c>
      <c r="M5" s="175" t="s">
        <v>19</v>
      </c>
      <c r="N5" s="17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212</v>
      </c>
      <c r="C6" s="34" t="s">
        <v>112</v>
      </c>
      <c r="D6" s="52" t="s">
        <v>213</v>
      </c>
      <c r="E6" s="53" t="s">
        <v>214</v>
      </c>
      <c r="F6" s="12" t="s">
        <v>126</v>
      </c>
      <c r="G6" s="12">
        <v>1</v>
      </c>
      <c r="H6" s="13">
        <v>24</v>
      </c>
      <c r="I6" s="31">
        <v>200</v>
      </c>
      <c r="J6" s="14">
        <v>690</v>
      </c>
      <c r="K6" s="15">
        <f>L6+690</f>
        <v>690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0.31510416666666663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2801</v>
      </c>
      <c r="K7" s="15">
        <f>L7+3683+2801</f>
        <v>6484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0.31510416666666663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28000</v>
      </c>
      <c r="J8" s="14">
        <v>4715</v>
      </c>
      <c r="K8" s="15">
        <f>L8+670+3737+4361+4739+3866+4536</f>
        <v>26624</v>
      </c>
      <c r="L8" s="15">
        <f>2344+2371</f>
        <v>4715</v>
      </c>
      <c r="M8" s="15">
        <f t="shared" si="0"/>
        <v>4715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0.31510416666666663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129</v>
      </c>
      <c r="E9" s="53" t="s">
        <v>159</v>
      </c>
      <c r="F9" s="30" t="s">
        <v>160</v>
      </c>
      <c r="G9" s="33">
        <v>1</v>
      </c>
      <c r="H9" s="35">
        <v>24</v>
      </c>
      <c r="I9" s="7">
        <v>38000</v>
      </c>
      <c r="J9" s="5">
        <v>1102</v>
      </c>
      <c r="K9" s="15">
        <f>L9</f>
        <v>1102</v>
      </c>
      <c r="L9" s="15">
        <v>1102</v>
      </c>
      <c r="M9" s="15">
        <f t="shared" si="0"/>
        <v>1102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>
        <v>18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>AC9*AB9*(1-O9)</f>
        <v>0.25</v>
      </c>
      <c r="AE9" s="36">
        <f t="shared" si="7"/>
        <v>0.31510416666666663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169</v>
      </c>
      <c r="F10" s="30" t="s">
        <v>158</v>
      </c>
      <c r="G10" s="33">
        <v>1</v>
      </c>
      <c r="H10" s="35">
        <v>24</v>
      </c>
      <c r="I10" s="7">
        <v>50000</v>
      </c>
      <c r="J10" s="14">
        <v>6621</v>
      </c>
      <c r="K10" s="15">
        <f>L10+5240+6693+6634+6720</f>
        <v>31908</v>
      </c>
      <c r="L10" s="15">
        <f>3350+3271</f>
        <v>6621</v>
      </c>
      <c r="M10" s="15">
        <f t="shared" si="0"/>
        <v>6621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0.31510416666666663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0.31510416666666663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230</v>
      </c>
      <c r="F12" s="30" t="s">
        <v>158</v>
      </c>
      <c r="G12" s="12">
        <v>1</v>
      </c>
      <c r="H12" s="13">
        <v>20</v>
      </c>
      <c r="I12" s="31">
        <v>500</v>
      </c>
      <c r="J12" s="5">
        <v>640</v>
      </c>
      <c r="K12" s="15">
        <f>L12</f>
        <v>640</v>
      </c>
      <c r="L12" s="15">
        <v>640</v>
      </c>
      <c r="M12" s="15">
        <f t="shared" si="0"/>
        <v>640</v>
      </c>
      <c r="N12" s="15">
        <v>0</v>
      </c>
      <c r="O12" s="58">
        <f t="shared" si="1"/>
        <v>0</v>
      </c>
      <c r="P12" s="39">
        <f t="shared" si="2"/>
        <v>4</v>
      </c>
      <c r="Q12" s="40">
        <f t="shared" si="3"/>
        <v>20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20</v>
      </c>
      <c r="AB12" s="8">
        <f t="shared" si="4"/>
        <v>1</v>
      </c>
      <c r="AC12" s="9">
        <f t="shared" si="5"/>
        <v>0.16666666666666666</v>
      </c>
      <c r="AD12" s="10">
        <f t="shared" si="9"/>
        <v>0.16666666666666666</v>
      </c>
      <c r="AE12" s="36">
        <f t="shared" si="7"/>
        <v>0.31510416666666663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118</v>
      </c>
      <c r="D13" s="52" t="s">
        <v>129</v>
      </c>
      <c r="E13" s="53" t="s">
        <v>159</v>
      </c>
      <c r="F13" s="30" t="s">
        <v>160</v>
      </c>
      <c r="G13" s="12">
        <v>1</v>
      </c>
      <c r="H13" s="13">
        <v>28</v>
      </c>
      <c r="I13" s="31">
        <v>37000</v>
      </c>
      <c r="J13" s="5">
        <v>497</v>
      </c>
      <c r="K13" s="15">
        <f>L13+497</f>
        <v>497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0.31510416666666663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0.31510416666666663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v>13000</v>
      </c>
      <c r="J15" s="14">
        <v>5033</v>
      </c>
      <c r="K15" s="15">
        <f>L15+3277+4927+4955+4860+5033</f>
        <v>23052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0.31510416666666663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0.31510416666666663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0.31510416666666663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157</v>
      </c>
      <c r="F18" s="30" t="s">
        <v>122</v>
      </c>
      <c r="G18" s="33">
        <v>2</v>
      </c>
      <c r="H18" s="35">
        <v>24</v>
      </c>
      <c r="I18" s="7">
        <v>50000</v>
      </c>
      <c r="J18" s="14">
        <v>5074</v>
      </c>
      <c r="K18" s="15">
        <f>L18+2418+5560+9380+10984+8131</f>
        <v>41547</v>
      </c>
      <c r="L18" s="15">
        <f>284*2+2253*2</f>
        <v>5074</v>
      </c>
      <c r="M18" s="15">
        <f t="shared" si="0"/>
        <v>5074</v>
      </c>
      <c r="N18" s="15">
        <v>0</v>
      </c>
      <c r="O18" s="58">
        <f t="shared" si="1"/>
        <v>0</v>
      </c>
      <c r="P18" s="39">
        <f t="shared" si="2"/>
        <v>14</v>
      </c>
      <c r="Q18" s="40">
        <f t="shared" si="3"/>
        <v>10</v>
      </c>
      <c r="R18" s="7"/>
      <c r="S18" s="6">
        <v>10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0.58333333333333337</v>
      </c>
      <c r="AD18" s="10">
        <f t="shared" si="6"/>
        <v>0.58333333333333337</v>
      </c>
      <c r="AE18" s="36">
        <f t="shared" si="7"/>
        <v>0.31510416666666663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217</v>
      </c>
      <c r="E19" s="53" t="s">
        <v>218</v>
      </c>
      <c r="F19" s="30" t="s">
        <v>134</v>
      </c>
      <c r="G19" s="33">
        <v>1</v>
      </c>
      <c r="H19" s="35">
        <v>24</v>
      </c>
      <c r="I19" s="7">
        <v>20000</v>
      </c>
      <c r="J19" s="14">
        <v>5646</v>
      </c>
      <c r="K19" s="15">
        <f>L19+2998</f>
        <v>8644</v>
      </c>
      <c r="L19" s="15">
        <f>2817+2829</f>
        <v>5646</v>
      </c>
      <c r="M19" s="15">
        <f t="shared" si="0"/>
        <v>5646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0.31510416666666663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118</v>
      </c>
      <c r="D20" s="52" t="s">
        <v>115</v>
      </c>
      <c r="E20" s="53" t="s">
        <v>167</v>
      </c>
      <c r="F20" s="30" t="s">
        <v>160</v>
      </c>
      <c r="G20" s="12">
        <v>1</v>
      </c>
      <c r="H20" s="13">
        <v>28</v>
      </c>
      <c r="I20" s="31">
        <v>20000</v>
      </c>
      <c r="J20" s="5">
        <v>2933</v>
      </c>
      <c r="K20" s="15">
        <f>L20</f>
        <v>2933</v>
      </c>
      <c r="L20" s="15">
        <f>2933</f>
        <v>2933</v>
      </c>
      <c r="M20" s="15">
        <f t="shared" si="0"/>
        <v>2933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 t="shared" si="6"/>
        <v>0.58333333333333337</v>
      </c>
      <c r="AE20" s="36">
        <f t="shared" si="7"/>
        <v>0.31510416666666663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34908</v>
      </c>
      <c r="K21" s="15">
        <f>L21+28876+33668+30304+72816+70472+27788+28704+35272+35220+37904+15140+35600+34392+35932</f>
        <v>556996</v>
      </c>
      <c r="L21" s="15">
        <f>8727*4</f>
        <v>34908</v>
      </c>
      <c r="M21" s="15">
        <f t="shared" si="0"/>
        <v>34908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0.31510416666666663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1048500</v>
      </c>
      <c r="J22" s="19">
        <f t="shared" si="10"/>
        <v>91437</v>
      </c>
      <c r="K22" s="20">
        <f t="shared" si="10"/>
        <v>788992</v>
      </c>
      <c r="L22" s="21">
        <f t="shared" si="10"/>
        <v>61639</v>
      </c>
      <c r="M22" s="20">
        <f t="shared" si="10"/>
        <v>61639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121</v>
      </c>
      <c r="Q22" s="43">
        <f t="shared" si="11"/>
        <v>263</v>
      </c>
      <c r="R22" s="23">
        <f t="shared" si="11"/>
        <v>24</v>
      </c>
      <c r="S22" s="24">
        <f t="shared" si="11"/>
        <v>86</v>
      </c>
      <c r="T22" s="24">
        <f t="shared" si="11"/>
        <v>0</v>
      </c>
      <c r="U22" s="24">
        <f t="shared" si="11"/>
        <v>0</v>
      </c>
      <c r="V22" s="25">
        <f t="shared" si="11"/>
        <v>13</v>
      </c>
      <c r="W22" s="26">
        <f t="shared" si="11"/>
        <v>96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44</v>
      </c>
      <c r="AB22" s="28">
        <f>AVERAGE(AB6:AB21)</f>
        <v>0.5</v>
      </c>
      <c r="AC22" s="4">
        <f>AVERAGE(AC6:AC21)</f>
        <v>0.31510416666666663</v>
      </c>
      <c r="AD22" s="4">
        <f>AVERAGE(AD6:AD21)</f>
        <v>0.31510416666666663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231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233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174" t="s">
        <v>46</v>
      </c>
      <c r="D51" s="174" t="s">
        <v>47</v>
      </c>
      <c r="E51" s="174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174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119</v>
      </c>
      <c r="B52" s="513"/>
      <c r="C52" s="173" t="s">
        <v>142</v>
      </c>
      <c r="D52" s="173" t="s">
        <v>115</v>
      </c>
      <c r="E52" s="170" t="s">
        <v>157</v>
      </c>
      <c r="F52" s="500" t="s">
        <v>130</v>
      </c>
      <c r="G52" s="501"/>
      <c r="H52" s="501"/>
      <c r="I52" s="501"/>
      <c r="J52" s="501"/>
      <c r="K52" s="501"/>
      <c r="L52" s="501"/>
      <c r="M52" s="502"/>
      <c r="N52" s="169" t="s">
        <v>118</v>
      </c>
      <c r="O52" s="167" t="s">
        <v>155</v>
      </c>
      <c r="P52" s="514" t="s">
        <v>129</v>
      </c>
      <c r="Q52" s="515"/>
      <c r="R52" s="514" t="s">
        <v>159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118</v>
      </c>
      <c r="B53" s="513"/>
      <c r="C53" s="173" t="s">
        <v>180</v>
      </c>
      <c r="D53" s="173" t="s">
        <v>115</v>
      </c>
      <c r="E53" s="170" t="s">
        <v>167</v>
      </c>
      <c r="F53" s="500" t="s">
        <v>130</v>
      </c>
      <c r="G53" s="501"/>
      <c r="H53" s="501"/>
      <c r="I53" s="501"/>
      <c r="J53" s="501"/>
      <c r="K53" s="501"/>
      <c r="L53" s="501"/>
      <c r="M53" s="502"/>
      <c r="N53" s="169" t="s">
        <v>119</v>
      </c>
      <c r="O53" s="167" t="s">
        <v>140</v>
      </c>
      <c r="P53" s="514" t="s">
        <v>144</v>
      </c>
      <c r="Q53" s="515"/>
      <c r="R53" s="514" t="s">
        <v>174</v>
      </c>
      <c r="S53" s="516"/>
      <c r="T53" s="516"/>
      <c r="U53" s="515"/>
      <c r="V53" s="487" t="s">
        <v>130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112</v>
      </c>
      <c r="B54" s="513"/>
      <c r="C54" s="173" t="s">
        <v>190</v>
      </c>
      <c r="D54" s="173" t="s">
        <v>115</v>
      </c>
      <c r="E54" s="170" t="s">
        <v>230</v>
      </c>
      <c r="F54" s="500" t="s">
        <v>141</v>
      </c>
      <c r="G54" s="501"/>
      <c r="H54" s="501"/>
      <c r="I54" s="501"/>
      <c r="J54" s="501"/>
      <c r="K54" s="501"/>
      <c r="L54" s="501"/>
      <c r="M54" s="502"/>
      <c r="N54" s="169"/>
      <c r="O54" s="167"/>
      <c r="P54" s="514"/>
      <c r="Q54" s="515"/>
      <c r="R54" s="514"/>
      <c r="S54" s="516"/>
      <c r="T54" s="516"/>
      <c r="U54" s="515"/>
      <c r="V54" s="487"/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118</v>
      </c>
      <c r="B55" s="513"/>
      <c r="C55" s="173" t="s">
        <v>155</v>
      </c>
      <c r="D55" s="173" t="s">
        <v>129</v>
      </c>
      <c r="E55" s="170" t="s">
        <v>159</v>
      </c>
      <c r="F55" s="500" t="s">
        <v>232</v>
      </c>
      <c r="G55" s="501"/>
      <c r="H55" s="501"/>
      <c r="I55" s="501"/>
      <c r="J55" s="501"/>
      <c r="K55" s="501"/>
      <c r="L55" s="501"/>
      <c r="M55" s="502"/>
      <c r="N55" s="169"/>
      <c r="O55" s="167"/>
      <c r="P55" s="514"/>
      <c r="Q55" s="515"/>
      <c r="R55" s="514"/>
      <c r="S55" s="516"/>
      <c r="T55" s="516"/>
      <c r="U55" s="515"/>
      <c r="V55" s="487"/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/>
      <c r="B56" s="513"/>
      <c r="C56" s="173"/>
      <c r="D56" s="173"/>
      <c r="E56" s="170"/>
      <c r="F56" s="500"/>
      <c r="G56" s="501"/>
      <c r="H56" s="501"/>
      <c r="I56" s="501"/>
      <c r="J56" s="501"/>
      <c r="K56" s="501"/>
      <c r="L56" s="501"/>
      <c r="M56" s="502"/>
      <c r="N56" s="169"/>
      <c r="O56" s="167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/>
      <c r="B57" s="513"/>
      <c r="C57" s="173"/>
      <c r="D57" s="173"/>
      <c r="E57" s="170"/>
      <c r="F57" s="500"/>
      <c r="G57" s="501"/>
      <c r="H57" s="501"/>
      <c r="I57" s="501"/>
      <c r="J57" s="501"/>
      <c r="K57" s="501"/>
      <c r="L57" s="501"/>
      <c r="M57" s="502"/>
      <c r="N57" s="169"/>
      <c r="O57" s="167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173"/>
      <c r="D58" s="173"/>
      <c r="E58" s="170"/>
      <c r="F58" s="500"/>
      <c r="G58" s="501"/>
      <c r="H58" s="501"/>
      <c r="I58" s="501"/>
      <c r="J58" s="501"/>
      <c r="K58" s="501"/>
      <c r="L58" s="501"/>
      <c r="M58" s="502"/>
      <c r="N58" s="169"/>
      <c r="O58" s="167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173"/>
      <c r="D59" s="173"/>
      <c r="E59" s="170"/>
      <c r="F59" s="500"/>
      <c r="G59" s="501"/>
      <c r="H59" s="501"/>
      <c r="I59" s="501"/>
      <c r="J59" s="501"/>
      <c r="K59" s="501"/>
      <c r="L59" s="501"/>
      <c r="M59" s="502"/>
      <c r="N59" s="169"/>
      <c r="O59" s="167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170"/>
      <c r="D60" s="170"/>
      <c r="E60" s="170"/>
      <c r="F60" s="500"/>
      <c r="G60" s="501"/>
      <c r="H60" s="501"/>
      <c r="I60" s="501"/>
      <c r="J60" s="501"/>
      <c r="K60" s="501"/>
      <c r="L60" s="501"/>
      <c r="M60" s="502"/>
      <c r="N60" s="169"/>
      <c r="O60" s="167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171"/>
      <c r="D61" s="172"/>
      <c r="E61" s="172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234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168" t="s">
        <v>2</v>
      </c>
      <c r="D63" s="168" t="s">
        <v>37</v>
      </c>
      <c r="E63" s="168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168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118</v>
      </c>
      <c r="D64" s="163"/>
      <c r="E64" s="166" t="s">
        <v>237</v>
      </c>
      <c r="F64" s="488" t="s">
        <v>235</v>
      </c>
      <c r="G64" s="489"/>
      <c r="H64" s="489"/>
      <c r="I64" s="489"/>
      <c r="J64" s="490"/>
      <c r="K64" s="476" t="s">
        <v>134</v>
      </c>
      <c r="L64" s="476"/>
      <c r="M64" s="51" t="s">
        <v>246</v>
      </c>
      <c r="N64" s="485" t="s">
        <v>190</v>
      </c>
      <c r="O64" s="485"/>
      <c r="P64" s="486">
        <v>50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118</v>
      </c>
      <c r="D65" s="163"/>
      <c r="E65" s="166" t="s">
        <v>144</v>
      </c>
      <c r="F65" s="488" t="s">
        <v>236</v>
      </c>
      <c r="G65" s="489"/>
      <c r="H65" s="489"/>
      <c r="I65" s="489"/>
      <c r="J65" s="490"/>
      <c r="K65" s="476" t="s">
        <v>134</v>
      </c>
      <c r="L65" s="476"/>
      <c r="M65" s="51" t="s">
        <v>246</v>
      </c>
      <c r="N65" s="485" t="s">
        <v>190</v>
      </c>
      <c r="O65" s="485"/>
      <c r="P65" s="486">
        <v>0</v>
      </c>
      <c r="Q65" s="486"/>
      <c r="R65" s="487" t="s">
        <v>250</v>
      </c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 t="s">
        <v>118</v>
      </c>
      <c r="D66" s="163"/>
      <c r="E66" s="166" t="s">
        <v>240</v>
      </c>
      <c r="F66" s="488" t="s">
        <v>238</v>
      </c>
      <c r="G66" s="489"/>
      <c r="H66" s="489"/>
      <c r="I66" s="489"/>
      <c r="J66" s="490"/>
      <c r="K66" s="476" t="s">
        <v>134</v>
      </c>
      <c r="L66" s="476"/>
      <c r="M66" s="51" t="s">
        <v>247</v>
      </c>
      <c r="N66" s="485" t="s">
        <v>190</v>
      </c>
      <c r="O66" s="485"/>
      <c r="P66" s="486">
        <v>50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 t="s">
        <v>118</v>
      </c>
      <c r="D67" s="163"/>
      <c r="E67" s="166" t="s">
        <v>127</v>
      </c>
      <c r="F67" s="488" t="s">
        <v>239</v>
      </c>
      <c r="G67" s="489"/>
      <c r="H67" s="489"/>
      <c r="I67" s="489"/>
      <c r="J67" s="490"/>
      <c r="K67" s="476" t="s">
        <v>134</v>
      </c>
      <c r="L67" s="476"/>
      <c r="M67" s="51" t="s">
        <v>246</v>
      </c>
      <c r="N67" s="485" t="s">
        <v>190</v>
      </c>
      <c r="O67" s="485"/>
      <c r="P67" s="486">
        <v>50</v>
      </c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 t="s">
        <v>118</v>
      </c>
      <c r="D68" s="163"/>
      <c r="E68" s="166" t="s">
        <v>132</v>
      </c>
      <c r="F68" s="488" t="s">
        <v>241</v>
      </c>
      <c r="G68" s="489"/>
      <c r="H68" s="489"/>
      <c r="I68" s="489"/>
      <c r="J68" s="490"/>
      <c r="K68" s="476" t="s">
        <v>134</v>
      </c>
      <c r="L68" s="476"/>
      <c r="M68" s="51" t="s">
        <v>246</v>
      </c>
      <c r="N68" s="485" t="s">
        <v>152</v>
      </c>
      <c r="O68" s="485"/>
      <c r="P68" s="486">
        <v>0</v>
      </c>
      <c r="Q68" s="486"/>
      <c r="R68" s="487" t="s">
        <v>249</v>
      </c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 t="s">
        <v>112</v>
      </c>
      <c r="D69" s="163"/>
      <c r="E69" s="166" t="s">
        <v>115</v>
      </c>
      <c r="F69" s="488" t="s">
        <v>243</v>
      </c>
      <c r="G69" s="489"/>
      <c r="H69" s="489"/>
      <c r="I69" s="489"/>
      <c r="J69" s="490"/>
      <c r="K69" s="476" t="s">
        <v>245</v>
      </c>
      <c r="L69" s="476"/>
      <c r="M69" s="51" t="s">
        <v>248</v>
      </c>
      <c r="N69" s="485" t="s">
        <v>242</v>
      </c>
      <c r="O69" s="485"/>
      <c r="P69" s="486">
        <v>50</v>
      </c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 t="s">
        <v>118</v>
      </c>
      <c r="D70" s="163"/>
      <c r="E70" s="166" t="s">
        <v>115</v>
      </c>
      <c r="F70" s="484" t="s">
        <v>244</v>
      </c>
      <c r="G70" s="476"/>
      <c r="H70" s="476"/>
      <c r="I70" s="476"/>
      <c r="J70" s="476"/>
      <c r="K70" s="476" t="s">
        <v>160</v>
      </c>
      <c r="L70" s="476"/>
      <c r="M70" s="51" t="s">
        <v>247</v>
      </c>
      <c r="N70" s="485" t="s">
        <v>180</v>
      </c>
      <c r="O70" s="485"/>
      <c r="P70" s="486">
        <v>0</v>
      </c>
      <c r="Q70" s="486"/>
      <c r="R70" s="487" t="s">
        <v>249</v>
      </c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163"/>
      <c r="E71" s="166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163"/>
      <c r="E72" s="166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163"/>
      <c r="E73" s="166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251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165" t="s">
        <v>2</v>
      </c>
      <c r="D75" s="165" t="s">
        <v>37</v>
      </c>
      <c r="E75" s="165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164" t="s">
        <v>112</v>
      </c>
      <c r="D76" s="164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163"/>
      <c r="D77" s="163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163"/>
      <c r="D78" s="163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163"/>
      <c r="D79" s="163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163"/>
      <c r="D80" s="163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163"/>
      <c r="D81" s="163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163"/>
      <c r="D82" s="163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252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2634-4FEF-40C8-BC77-AAE815D8680D}">
  <dimension ref="A1:AF87"/>
  <sheetViews>
    <sheetView view="pageBreakPreview" zoomScale="70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253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176" t="s">
        <v>17</v>
      </c>
      <c r="L5" s="176" t="s">
        <v>18</v>
      </c>
      <c r="M5" s="176" t="s">
        <v>19</v>
      </c>
      <c r="N5" s="17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212</v>
      </c>
      <c r="C6" s="34" t="s">
        <v>112</v>
      </c>
      <c r="D6" s="52" t="s">
        <v>213</v>
      </c>
      <c r="E6" s="53" t="s">
        <v>214</v>
      </c>
      <c r="F6" s="12" t="s">
        <v>126</v>
      </c>
      <c r="G6" s="12">
        <v>1</v>
      </c>
      <c r="H6" s="13">
        <v>24</v>
      </c>
      <c r="I6" s="31">
        <v>200</v>
      </c>
      <c r="J6" s="14">
        <v>690</v>
      </c>
      <c r="K6" s="15">
        <f>L6+690</f>
        <v>690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0.16145833333333334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972</v>
      </c>
      <c r="K7" s="15">
        <f>L7+3683+2801</f>
        <v>7456</v>
      </c>
      <c r="L7" s="15">
        <v>972</v>
      </c>
      <c r="M7" s="15">
        <f t="shared" si="0"/>
        <v>972</v>
      </c>
      <c r="N7" s="15">
        <v>0</v>
      </c>
      <c r="O7" s="58">
        <f t="shared" si="1"/>
        <v>0</v>
      </c>
      <c r="P7" s="39">
        <f t="shared" si="2"/>
        <v>7</v>
      </c>
      <c r="Q7" s="40">
        <f t="shared" si="3"/>
        <v>17</v>
      </c>
      <c r="R7" s="7"/>
      <c r="S7" s="6">
        <v>4</v>
      </c>
      <c r="T7" s="16"/>
      <c r="U7" s="16"/>
      <c r="V7" s="17">
        <v>13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0.29166666666666669</v>
      </c>
      <c r="AD7" s="10">
        <f t="shared" si="6"/>
        <v>0.29166666666666669</v>
      </c>
      <c r="AE7" s="36">
        <f t="shared" si="7"/>
        <v>0.16145833333333334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28000</v>
      </c>
      <c r="J8" s="14">
        <v>2163</v>
      </c>
      <c r="K8" s="15">
        <f>L8+670+3737+4361+4739+3866+4536+4715</f>
        <v>28787</v>
      </c>
      <c r="L8" s="15">
        <v>2163</v>
      </c>
      <c r="M8" s="15">
        <f t="shared" si="0"/>
        <v>2163</v>
      </c>
      <c r="N8" s="15">
        <v>0</v>
      </c>
      <c r="O8" s="58">
        <f t="shared" si="1"/>
        <v>0</v>
      </c>
      <c r="P8" s="39">
        <f t="shared" si="2"/>
        <v>11</v>
      </c>
      <c r="Q8" s="40">
        <f t="shared" si="3"/>
        <v>13</v>
      </c>
      <c r="R8" s="7"/>
      <c r="S8" s="6"/>
      <c r="T8" s="16"/>
      <c r="U8" s="16"/>
      <c r="V8" s="17">
        <v>13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0.45833333333333331</v>
      </c>
      <c r="AD8" s="10">
        <f t="shared" si="6"/>
        <v>0.45833333333333331</v>
      </c>
      <c r="AE8" s="36">
        <f t="shared" si="7"/>
        <v>0.16145833333333334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129</v>
      </c>
      <c r="E9" s="53" t="s">
        <v>159</v>
      </c>
      <c r="F9" s="30" t="s">
        <v>160</v>
      </c>
      <c r="G9" s="33">
        <v>1</v>
      </c>
      <c r="H9" s="35">
        <v>24</v>
      </c>
      <c r="I9" s="7">
        <v>38000</v>
      </c>
      <c r="J9" s="5">
        <v>1102</v>
      </c>
      <c r="K9" s="15">
        <f>L9+1102</f>
        <v>1102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>AC9*AB9*(1-O9)</f>
        <v>0</v>
      </c>
      <c r="AE9" s="36">
        <f t="shared" si="7"/>
        <v>0.16145833333333334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169</v>
      </c>
      <c r="F10" s="30" t="s">
        <v>158</v>
      </c>
      <c r="G10" s="33">
        <v>1</v>
      </c>
      <c r="H10" s="35">
        <v>24</v>
      </c>
      <c r="I10" s="7">
        <v>50000</v>
      </c>
      <c r="J10" s="14">
        <v>2957</v>
      </c>
      <c r="K10" s="15">
        <f>L10+5240+6693+6634+6720+6621</f>
        <v>34865</v>
      </c>
      <c r="L10" s="15">
        <v>2957</v>
      </c>
      <c r="M10" s="15">
        <f t="shared" si="0"/>
        <v>2957</v>
      </c>
      <c r="N10" s="15">
        <v>0</v>
      </c>
      <c r="O10" s="58">
        <f t="shared" si="1"/>
        <v>0</v>
      </c>
      <c r="P10" s="39">
        <f t="shared" si="2"/>
        <v>11</v>
      </c>
      <c r="Q10" s="40">
        <f t="shared" si="3"/>
        <v>13</v>
      </c>
      <c r="R10" s="7"/>
      <c r="S10" s="6"/>
      <c r="T10" s="16"/>
      <c r="U10" s="16"/>
      <c r="V10" s="17">
        <v>13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0.45833333333333331</v>
      </c>
      <c r="AD10" s="10">
        <f t="shared" ref="AD10:AD14" si="9">AC10*AB10*(1-O10)</f>
        <v>0.45833333333333331</v>
      </c>
      <c r="AE10" s="36">
        <f t="shared" si="7"/>
        <v>0.16145833333333334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0.16145833333333334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230</v>
      </c>
      <c r="F12" s="30" t="s">
        <v>158</v>
      </c>
      <c r="G12" s="12">
        <v>1</v>
      </c>
      <c r="H12" s="13">
        <v>20</v>
      </c>
      <c r="I12" s="31">
        <v>500</v>
      </c>
      <c r="J12" s="5">
        <v>640</v>
      </c>
      <c r="K12" s="15">
        <f>L12+640</f>
        <v>640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0.16145833333333334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118</v>
      </c>
      <c r="D13" s="52" t="s">
        <v>129</v>
      </c>
      <c r="E13" s="53" t="s">
        <v>159</v>
      </c>
      <c r="F13" s="30" t="s">
        <v>160</v>
      </c>
      <c r="G13" s="12">
        <v>1</v>
      </c>
      <c r="H13" s="13">
        <v>28</v>
      </c>
      <c r="I13" s="31">
        <v>37000</v>
      </c>
      <c r="J13" s="5">
        <v>497</v>
      </c>
      <c r="K13" s="15">
        <f>L13+497</f>
        <v>497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0.16145833333333334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0.16145833333333334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v>13000</v>
      </c>
      <c r="J15" s="14">
        <v>5033</v>
      </c>
      <c r="K15" s="15">
        <f>L15+3277+4927+4955+4860+5033</f>
        <v>23052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0.16145833333333334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0.16145833333333334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0.16145833333333334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157</v>
      </c>
      <c r="F18" s="30" t="s">
        <v>122</v>
      </c>
      <c r="G18" s="33">
        <v>2</v>
      </c>
      <c r="H18" s="35">
        <v>24</v>
      </c>
      <c r="I18" s="7">
        <v>50000</v>
      </c>
      <c r="J18" s="14">
        <v>4824</v>
      </c>
      <c r="K18" s="15">
        <f>L18+2418+5560+9380+10984+8131+5074</f>
        <v>46371</v>
      </c>
      <c r="L18" s="15">
        <f>2412*2</f>
        <v>4824</v>
      </c>
      <c r="M18" s="15">
        <f t="shared" si="0"/>
        <v>4824</v>
      </c>
      <c r="N18" s="15">
        <v>0</v>
      </c>
      <c r="O18" s="58">
        <f t="shared" si="1"/>
        <v>0</v>
      </c>
      <c r="P18" s="39">
        <f t="shared" si="2"/>
        <v>11</v>
      </c>
      <c r="Q18" s="40">
        <f t="shared" si="3"/>
        <v>13</v>
      </c>
      <c r="R18" s="7"/>
      <c r="S18" s="6"/>
      <c r="T18" s="16"/>
      <c r="U18" s="16"/>
      <c r="V18" s="17">
        <v>13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0.45833333333333331</v>
      </c>
      <c r="AD18" s="10">
        <f t="shared" si="6"/>
        <v>0.45833333333333331</v>
      </c>
      <c r="AE18" s="36">
        <f t="shared" si="7"/>
        <v>0.16145833333333334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217</v>
      </c>
      <c r="E19" s="53" t="s">
        <v>218</v>
      </c>
      <c r="F19" s="30" t="s">
        <v>134</v>
      </c>
      <c r="G19" s="33">
        <v>1</v>
      </c>
      <c r="H19" s="35">
        <v>24</v>
      </c>
      <c r="I19" s="7">
        <v>20000</v>
      </c>
      <c r="J19" s="14">
        <v>2387</v>
      </c>
      <c r="K19" s="15">
        <f>L19+2998+5646</f>
        <v>11031</v>
      </c>
      <c r="L19" s="15">
        <v>2387</v>
      </c>
      <c r="M19" s="15">
        <f t="shared" si="0"/>
        <v>2387</v>
      </c>
      <c r="N19" s="15">
        <v>0</v>
      </c>
      <c r="O19" s="58">
        <f t="shared" si="1"/>
        <v>0</v>
      </c>
      <c r="P19" s="39">
        <f t="shared" si="2"/>
        <v>11</v>
      </c>
      <c r="Q19" s="40">
        <f t="shared" si="3"/>
        <v>13</v>
      </c>
      <c r="R19" s="7"/>
      <c r="S19" s="6"/>
      <c r="T19" s="16"/>
      <c r="U19" s="16"/>
      <c r="V19" s="17">
        <v>13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0.45833333333333331</v>
      </c>
      <c r="AD19" s="10">
        <f t="shared" si="6"/>
        <v>0.45833333333333331</v>
      </c>
      <c r="AE19" s="36">
        <f t="shared" si="7"/>
        <v>0.16145833333333334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118</v>
      </c>
      <c r="D20" s="52" t="s">
        <v>115</v>
      </c>
      <c r="E20" s="53" t="s">
        <v>167</v>
      </c>
      <c r="F20" s="30" t="s">
        <v>160</v>
      </c>
      <c r="G20" s="12">
        <v>1</v>
      </c>
      <c r="H20" s="13">
        <v>28</v>
      </c>
      <c r="I20" s="31">
        <v>20000</v>
      </c>
      <c r="J20" s="5">
        <v>2588</v>
      </c>
      <c r="K20" s="15">
        <f>L20+2933</f>
        <v>5521</v>
      </c>
      <c r="L20" s="15">
        <v>2588</v>
      </c>
      <c r="M20" s="15">
        <f t="shared" si="0"/>
        <v>2588</v>
      </c>
      <c r="N20" s="15">
        <v>0</v>
      </c>
      <c r="O20" s="58">
        <f t="shared" si="1"/>
        <v>0</v>
      </c>
      <c r="P20" s="39">
        <f t="shared" si="2"/>
        <v>11</v>
      </c>
      <c r="Q20" s="40">
        <f t="shared" si="3"/>
        <v>13</v>
      </c>
      <c r="R20" s="7"/>
      <c r="S20" s="6"/>
      <c r="T20" s="16"/>
      <c r="U20" s="16"/>
      <c r="V20" s="17">
        <v>13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0.45833333333333331</v>
      </c>
      <c r="AD20" s="10">
        <f t="shared" si="6"/>
        <v>0.45833333333333331</v>
      </c>
      <c r="AE20" s="36">
        <f t="shared" si="7"/>
        <v>0.16145833333333334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34908</v>
      </c>
      <c r="K21" s="15">
        <f>L21+28876+33668+30304+72816+70472+27788+28704+35272+35220+37904+15140+35600+34392+35932+34908</f>
        <v>556996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0.16145833333333334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1048500</v>
      </c>
      <c r="J22" s="19">
        <f t="shared" si="10"/>
        <v>79538</v>
      </c>
      <c r="K22" s="20">
        <f t="shared" si="10"/>
        <v>804883</v>
      </c>
      <c r="L22" s="21">
        <f t="shared" si="10"/>
        <v>15891</v>
      </c>
      <c r="M22" s="20">
        <f t="shared" si="10"/>
        <v>15891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62</v>
      </c>
      <c r="Q22" s="43">
        <f t="shared" si="11"/>
        <v>322</v>
      </c>
      <c r="R22" s="23">
        <f t="shared" si="11"/>
        <v>24</v>
      </c>
      <c r="S22" s="24">
        <f t="shared" si="11"/>
        <v>52</v>
      </c>
      <c r="T22" s="24">
        <f t="shared" si="11"/>
        <v>0</v>
      </c>
      <c r="U22" s="24">
        <f t="shared" si="11"/>
        <v>0</v>
      </c>
      <c r="V22" s="25">
        <f t="shared" si="11"/>
        <v>102</v>
      </c>
      <c r="W22" s="26">
        <f t="shared" si="11"/>
        <v>96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0.375</v>
      </c>
      <c r="AC22" s="4">
        <f>AVERAGE(AC6:AC21)</f>
        <v>0.16145833333333334</v>
      </c>
      <c r="AD22" s="4">
        <f>AVERAGE(AD6:AD21)</f>
        <v>0.16145833333333334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254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255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177" t="s">
        <v>46</v>
      </c>
      <c r="D51" s="177" t="s">
        <v>47</v>
      </c>
      <c r="E51" s="177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177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119</v>
      </c>
      <c r="B52" s="513"/>
      <c r="C52" s="178" t="s">
        <v>140</v>
      </c>
      <c r="D52" s="178" t="s">
        <v>144</v>
      </c>
      <c r="E52" s="179" t="s">
        <v>161</v>
      </c>
      <c r="F52" s="500" t="s">
        <v>130</v>
      </c>
      <c r="G52" s="501"/>
      <c r="H52" s="501"/>
      <c r="I52" s="501"/>
      <c r="J52" s="501"/>
      <c r="K52" s="501"/>
      <c r="L52" s="501"/>
      <c r="M52" s="502"/>
      <c r="N52" s="183" t="s">
        <v>118</v>
      </c>
      <c r="O52" s="185" t="s">
        <v>151</v>
      </c>
      <c r="P52" s="514" t="s">
        <v>129</v>
      </c>
      <c r="Q52" s="515"/>
      <c r="R52" s="514" t="s">
        <v>159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/>
      <c r="B53" s="513"/>
      <c r="C53" s="178"/>
      <c r="D53" s="178"/>
      <c r="E53" s="179"/>
      <c r="F53" s="500"/>
      <c r="G53" s="501"/>
      <c r="H53" s="501"/>
      <c r="I53" s="501"/>
      <c r="J53" s="501"/>
      <c r="K53" s="501"/>
      <c r="L53" s="501"/>
      <c r="M53" s="502"/>
      <c r="N53" s="183" t="s">
        <v>118</v>
      </c>
      <c r="O53" s="185" t="s">
        <v>155</v>
      </c>
      <c r="P53" s="514" t="s">
        <v>115</v>
      </c>
      <c r="Q53" s="515"/>
      <c r="R53" s="514" t="s">
        <v>205</v>
      </c>
      <c r="S53" s="516"/>
      <c r="T53" s="516"/>
      <c r="U53" s="515"/>
      <c r="V53" s="487" t="s">
        <v>141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/>
      <c r="B54" s="513"/>
      <c r="C54" s="178"/>
      <c r="D54" s="178"/>
      <c r="E54" s="179"/>
      <c r="F54" s="500"/>
      <c r="G54" s="501"/>
      <c r="H54" s="501"/>
      <c r="I54" s="501"/>
      <c r="J54" s="501"/>
      <c r="K54" s="501"/>
      <c r="L54" s="501"/>
      <c r="M54" s="502"/>
      <c r="N54" s="183" t="s">
        <v>119</v>
      </c>
      <c r="O54" s="185" t="s">
        <v>142</v>
      </c>
      <c r="P54" s="514" t="s">
        <v>115</v>
      </c>
      <c r="Q54" s="515"/>
      <c r="R54" s="514" t="s">
        <v>168</v>
      </c>
      <c r="S54" s="516"/>
      <c r="T54" s="516"/>
      <c r="U54" s="515"/>
      <c r="V54" s="487" t="s">
        <v>256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/>
      <c r="B55" s="513"/>
      <c r="C55" s="178"/>
      <c r="D55" s="178"/>
      <c r="E55" s="179"/>
      <c r="F55" s="500"/>
      <c r="G55" s="501"/>
      <c r="H55" s="501"/>
      <c r="I55" s="501"/>
      <c r="J55" s="501"/>
      <c r="K55" s="501"/>
      <c r="L55" s="501"/>
      <c r="M55" s="502"/>
      <c r="N55" s="183"/>
      <c r="O55" s="185"/>
      <c r="P55" s="514"/>
      <c r="Q55" s="515"/>
      <c r="R55" s="514"/>
      <c r="S55" s="516"/>
      <c r="T55" s="516"/>
      <c r="U55" s="515"/>
      <c r="V55" s="487"/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/>
      <c r="B56" s="513"/>
      <c r="C56" s="178"/>
      <c r="D56" s="178"/>
      <c r="E56" s="179"/>
      <c r="F56" s="500"/>
      <c r="G56" s="501"/>
      <c r="H56" s="501"/>
      <c r="I56" s="501"/>
      <c r="J56" s="501"/>
      <c r="K56" s="501"/>
      <c r="L56" s="501"/>
      <c r="M56" s="502"/>
      <c r="N56" s="183"/>
      <c r="O56" s="185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/>
      <c r="B57" s="513"/>
      <c r="C57" s="178"/>
      <c r="D57" s="178"/>
      <c r="E57" s="179"/>
      <c r="F57" s="500"/>
      <c r="G57" s="501"/>
      <c r="H57" s="501"/>
      <c r="I57" s="501"/>
      <c r="J57" s="501"/>
      <c r="K57" s="501"/>
      <c r="L57" s="501"/>
      <c r="M57" s="502"/>
      <c r="N57" s="183"/>
      <c r="O57" s="185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178"/>
      <c r="D58" s="178"/>
      <c r="E58" s="179"/>
      <c r="F58" s="500"/>
      <c r="G58" s="501"/>
      <c r="H58" s="501"/>
      <c r="I58" s="501"/>
      <c r="J58" s="501"/>
      <c r="K58" s="501"/>
      <c r="L58" s="501"/>
      <c r="M58" s="502"/>
      <c r="N58" s="183"/>
      <c r="O58" s="185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178"/>
      <c r="D59" s="178"/>
      <c r="E59" s="179"/>
      <c r="F59" s="500"/>
      <c r="G59" s="501"/>
      <c r="H59" s="501"/>
      <c r="I59" s="501"/>
      <c r="J59" s="501"/>
      <c r="K59" s="501"/>
      <c r="L59" s="501"/>
      <c r="M59" s="502"/>
      <c r="N59" s="183"/>
      <c r="O59" s="185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179"/>
      <c r="D60" s="179"/>
      <c r="E60" s="179"/>
      <c r="F60" s="500"/>
      <c r="G60" s="501"/>
      <c r="H60" s="501"/>
      <c r="I60" s="501"/>
      <c r="J60" s="501"/>
      <c r="K60" s="501"/>
      <c r="L60" s="501"/>
      <c r="M60" s="502"/>
      <c r="N60" s="183"/>
      <c r="O60" s="185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180"/>
      <c r="D61" s="181"/>
      <c r="E61" s="181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257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182" t="s">
        <v>2</v>
      </c>
      <c r="D63" s="182" t="s">
        <v>37</v>
      </c>
      <c r="E63" s="182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182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119</v>
      </c>
      <c r="D64" s="187"/>
      <c r="E64" s="184" t="s">
        <v>144</v>
      </c>
      <c r="F64" s="488" t="s">
        <v>161</v>
      </c>
      <c r="G64" s="489"/>
      <c r="H64" s="489"/>
      <c r="I64" s="489"/>
      <c r="J64" s="490"/>
      <c r="K64" s="476" t="s">
        <v>146</v>
      </c>
      <c r="L64" s="476"/>
      <c r="M64" s="51" t="s">
        <v>258</v>
      </c>
      <c r="N64" s="485" t="s">
        <v>140</v>
      </c>
      <c r="O64" s="485"/>
      <c r="P64" s="486">
        <v>100</v>
      </c>
      <c r="Q64" s="486"/>
      <c r="R64" s="487" t="s">
        <v>259</v>
      </c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/>
      <c r="D65" s="187"/>
      <c r="E65" s="184"/>
      <c r="F65" s="488"/>
      <c r="G65" s="489"/>
      <c r="H65" s="489"/>
      <c r="I65" s="489"/>
      <c r="J65" s="490"/>
      <c r="K65" s="476"/>
      <c r="L65" s="476"/>
      <c r="M65" s="51"/>
      <c r="N65" s="485"/>
      <c r="O65" s="48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187"/>
      <c r="E66" s="184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187"/>
      <c r="E67" s="184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187"/>
      <c r="E68" s="184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187"/>
      <c r="E69" s="184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187"/>
      <c r="E70" s="184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187"/>
      <c r="E71" s="184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187"/>
      <c r="E72" s="184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187"/>
      <c r="E73" s="184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260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186" t="s">
        <v>2</v>
      </c>
      <c r="D75" s="186" t="s">
        <v>37</v>
      </c>
      <c r="E75" s="186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188" t="s">
        <v>112</v>
      </c>
      <c r="D76" s="188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187"/>
      <c r="D77" s="187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187"/>
      <c r="D78" s="187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187"/>
      <c r="D79" s="187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187"/>
      <c r="D80" s="187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187"/>
      <c r="D81" s="187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187"/>
      <c r="D82" s="187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261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ED57-4E99-4E3C-9EC4-6BDA30367C92}">
  <dimension ref="A1:AF87"/>
  <sheetViews>
    <sheetView view="pageBreakPreview" zoomScale="70" zoomScaleNormal="72" zoomScaleSheetLayoutView="70" workbookViewId="0">
      <selection activeCell="L13" sqref="L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262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201" t="s">
        <v>17</v>
      </c>
      <c r="L5" s="201" t="s">
        <v>18</v>
      </c>
      <c r="M5" s="201" t="s">
        <v>19</v>
      </c>
      <c r="N5" s="20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212</v>
      </c>
      <c r="C6" s="34" t="s">
        <v>112</v>
      </c>
      <c r="D6" s="52" t="s">
        <v>213</v>
      </c>
      <c r="E6" s="53" t="s">
        <v>214</v>
      </c>
      <c r="F6" s="12" t="s">
        <v>126</v>
      </c>
      <c r="G6" s="12">
        <v>1</v>
      </c>
      <c r="H6" s="13">
        <v>24</v>
      </c>
      <c r="I6" s="31">
        <v>200</v>
      </c>
      <c r="J6" s="14">
        <v>690</v>
      </c>
      <c r="K6" s="15">
        <f>L6+690</f>
        <v>690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0.38802083333333337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5614</v>
      </c>
      <c r="K7" s="15">
        <f>L7+3683+2801+972</f>
        <v>13070</v>
      </c>
      <c r="L7" s="15">
        <f>2981+2633</f>
        <v>5614</v>
      </c>
      <c r="M7" s="15">
        <f t="shared" si="0"/>
        <v>5614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0.38802083333333337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28000</v>
      </c>
      <c r="J8" s="14">
        <v>4452</v>
      </c>
      <c r="K8" s="15">
        <f>L8+670+3737+4361+4739+3866+4536+4715+2163</f>
        <v>33239</v>
      </c>
      <c r="L8" s="15">
        <f>2367+2085</f>
        <v>4452</v>
      </c>
      <c r="M8" s="15">
        <f t="shared" si="0"/>
        <v>4452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0.38802083333333337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115</v>
      </c>
      <c r="E9" s="53" t="s">
        <v>205</v>
      </c>
      <c r="F9" s="30" t="s">
        <v>128</v>
      </c>
      <c r="G9" s="33">
        <v>1</v>
      </c>
      <c r="H9" s="35">
        <v>24</v>
      </c>
      <c r="I9" s="7">
        <v>2000</v>
      </c>
      <c r="J9" s="5">
        <v>2927</v>
      </c>
      <c r="K9" s="15">
        <f>L9</f>
        <v>2927</v>
      </c>
      <c r="L9" s="15">
        <f>577+2350</f>
        <v>2927</v>
      </c>
      <c r="M9" s="15">
        <f t="shared" si="0"/>
        <v>2927</v>
      </c>
      <c r="N9" s="15">
        <v>0</v>
      </c>
      <c r="O9" s="58">
        <f t="shared" si="1"/>
        <v>0</v>
      </c>
      <c r="P9" s="39">
        <f t="shared" si="2"/>
        <v>16</v>
      </c>
      <c r="Q9" s="40">
        <f t="shared" si="3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0.66666666666666663</v>
      </c>
      <c r="AD9" s="10">
        <f>AC9*AB9*(1-O9)</f>
        <v>0.66666666666666663</v>
      </c>
      <c r="AE9" s="36">
        <f t="shared" si="7"/>
        <v>0.38802083333333337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169</v>
      </c>
      <c r="F10" s="30" t="s">
        <v>158</v>
      </c>
      <c r="G10" s="33">
        <v>1</v>
      </c>
      <c r="H10" s="35">
        <v>24</v>
      </c>
      <c r="I10" s="7">
        <v>50000</v>
      </c>
      <c r="J10" s="14">
        <v>6280</v>
      </c>
      <c r="K10" s="15">
        <f>L10+5240+6693+6634+6720+6621+2957</f>
        <v>41145</v>
      </c>
      <c r="L10" s="15">
        <f>3345+2935</f>
        <v>6280</v>
      </c>
      <c r="M10" s="15">
        <f t="shared" si="0"/>
        <v>6280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0.38802083333333337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0.38802083333333337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230</v>
      </c>
      <c r="F12" s="30" t="s">
        <v>158</v>
      </c>
      <c r="G12" s="12">
        <v>1</v>
      </c>
      <c r="H12" s="13">
        <v>20</v>
      </c>
      <c r="I12" s="31">
        <v>500</v>
      </c>
      <c r="J12" s="5">
        <v>640</v>
      </c>
      <c r="K12" s="15">
        <f>L12+640</f>
        <v>640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0.38802083333333337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118</v>
      </c>
      <c r="D13" s="52" t="s">
        <v>129</v>
      </c>
      <c r="E13" s="53" t="s">
        <v>159</v>
      </c>
      <c r="F13" s="30" t="s">
        <v>160</v>
      </c>
      <c r="G13" s="12">
        <v>1</v>
      </c>
      <c r="H13" s="13">
        <v>28</v>
      </c>
      <c r="I13" s="31">
        <v>37000</v>
      </c>
      <c r="J13" s="5">
        <v>497</v>
      </c>
      <c r="K13" s="15">
        <f>L13+497</f>
        <v>497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0.38802083333333337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0.38802083333333337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v>13000</v>
      </c>
      <c r="J15" s="14">
        <v>5033</v>
      </c>
      <c r="K15" s="15">
        <f>L15+3277+4927+4955+4860+5033</f>
        <v>23052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0.38802083333333337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0.38802083333333337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0.38802083333333337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157</v>
      </c>
      <c r="F18" s="30" t="s">
        <v>122</v>
      </c>
      <c r="G18" s="33">
        <v>2</v>
      </c>
      <c r="H18" s="35">
        <v>24</v>
      </c>
      <c r="I18" s="7">
        <v>50000</v>
      </c>
      <c r="J18" s="14">
        <v>7096</v>
      </c>
      <c r="K18" s="15">
        <f>L18+2418+5560+9380+10984+8131+5074+4824</f>
        <v>53467</v>
      </c>
      <c r="L18" s="15">
        <f>2684*2+864*2</f>
        <v>7096</v>
      </c>
      <c r="M18" s="15">
        <f t="shared" si="0"/>
        <v>7096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6">
        <f t="shared" si="7"/>
        <v>0.38802083333333337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159</v>
      </c>
      <c r="F19" s="30" t="s">
        <v>160</v>
      </c>
      <c r="G19" s="33">
        <v>1</v>
      </c>
      <c r="H19" s="35">
        <v>24</v>
      </c>
      <c r="I19" s="7">
        <v>37000</v>
      </c>
      <c r="J19" s="14">
        <v>2899</v>
      </c>
      <c r="K19" s="15">
        <f>L19</f>
        <v>2899</v>
      </c>
      <c r="L19" s="15">
        <f>326+2573</f>
        <v>2899</v>
      </c>
      <c r="M19" s="15">
        <f t="shared" si="0"/>
        <v>2899</v>
      </c>
      <c r="N19" s="15">
        <v>0</v>
      </c>
      <c r="O19" s="58">
        <f t="shared" si="1"/>
        <v>0</v>
      </c>
      <c r="P19" s="39">
        <f t="shared" si="2"/>
        <v>15</v>
      </c>
      <c r="Q19" s="40">
        <f t="shared" si="3"/>
        <v>9</v>
      </c>
      <c r="R19" s="7"/>
      <c r="S19" s="6">
        <v>9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0.625</v>
      </c>
      <c r="AD19" s="10">
        <f t="shared" si="6"/>
        <v>0.625</v>
      </c>
      <c r="AE19" s="36">
        <f t="shared" si="7"/>
        <v>0.38802083333333337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118</v>
      </c>
      <c r="D20" s="52" t="s">
        <v>115</v>
      </c>
      <c r="E20" s="53" t="s">
        <v>167</v>
      </c>
      <c r="F20" s="30" t="s">
        <v>160</v>
      </c>
      <c r="G20" s="12">
        <v>1</v>
      </c>
      <c r="H20" s="13">
        <v>28</v>
      </c>
      <c r="I20" s="31">
        <v>20000</v>
      </c>
      <c r="J20" s="5">
        <v>4206</v>
      </c>
      <c r="K20" s="15">
        <f>L20+2933+2588</f>
        <v>9727</v>
      </c>
      <c r="L20" s="15">
        <f>1345+2861</f>
        <v>4206</v>
      </c>
      <c r="M20" s="15">
        <f t="shared" si="0"/>
        <v>4206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6">
        <f t="shared" si="7"/>
        <v>0.38802083333333337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30816</v>
      </c>
      <c r="K21" s="15">
        <f>L21+28876+33668+30304+72816+70472+27788+28704+35272+35220+37904+15140+35600+34392+35932+34908</f>
        <v>587812</v>
      </c>
      <c r="L21" s="15">
        <f>7704*4</f>
        <v>30816</v>
      </c>
      <c r="M21" s="15">
        <f t="shared" si="0"/>
        <v>30816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0.38802083333333337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1029500</v>
      </c>
      <c r="J22" s="19">
        <f t="shared" si="10"/>
        <v>91927</v>
      </c>
      <c r="K22" s="20">
        <f t="shared" si="10"/>
        <v>857040</v>
      </c>
      <c r="L22" s="21">
        <f t="shared" si="10"/>
        <v>64290</v>
      </c>
      <c r="M22" s="20">
        <f t="shared" si="10"/>
        <v>64290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149</v>
      </c>
      <c r="Q22" s="43">
        <f t="shared" si="11"/>
        <v>235</v>
      </c>
      <c r="R22" s="23">
        <f t="shared" si="11"/>
        <v>24</v>
      </c>
      <c r="S22" s="24">
        <f t="shared" si="11"/>
        <v>53</v>
      </c>
      <c r="T22" s="24">
        <f t="shared" si="11"/>
        <v>0</v>
      </c>
      <c r="U22" s="24">
        <f t="shared" si="11"/>
        <v>0</v>
      </c>
      <c r="V22" s="25">
        <f t="shared" si="11"/>
        <v>14</v>
      </c>
      <c r="W22" s="26">
        <f t="shared" si="11"/>
        <v>96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0.5</v>
      </c>
      <c r="AC22" s="4">
        <f>AVERAGE(AC6:AC21)</f>
        <v>0.38802083333333337</v>
      </c>
      <c r="AD22" s="4">
        <f>AVERAGE(AD6:AD21)</f>
        <v>0.38802083333333337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263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266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200" t="s">
        <v>46</v>
      </c>
      <c r="D51" s="200" t="s">
        <v>47</v>
      </c>
      <c r="E51" s="200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200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118</v>
      </c>
      <c r="B52" s="513"/>
      <c r="C52" s="199" t="s">
        <v>155</v>
      </c>
      <c r="D52" s="199" t="s">
        <v>115</v>
      </c>
      <c r="E52" s="196" t="s">
        <v>205</v>
      </c>
      <c r="F52" s="500" t="s">
        <v>177</v>
      </c>
      <c r="G52" s="501"/>
      <c r="H52" s="501"/>
      <c r="I52" s="501"/>
      <c r="J52" s="501"/>
      <c r="K52" s="501"/>
      <c r="L52" s="501"/>
      <c r="M52" s="502"/>
      <c r="N52" s="195" t="s">
        <v>112</v>
      </c>
      <c r="O52" s="193" t="s">
        <v>155</v>
      </c>
      <c r="P52" s="514" t="s">
        <v>217</v>
      </c>
      <c r="Q52" s="515"/>
      <c r="R52" s="514" t="s">
        <v>267</v>
      </c>
      <c r="S52" s="516"/>
      <c r="T52" s="516"/>
      <c r="U52" s="515"/>
      <c r="V52" s="487" t="s">
        <v>141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119</v>
      </c>
      <c r="B53" s="513"/>
      <c r="C53" s="199" t="s">
        <v>142</v>
      </c>
      <c r="D53" s="199" t="s">
        <v>115</v>
      </c>
      <c r="E53" s="196" t="s">
        <v>168</v>
      </c>
      <c r="F53" s="500" t="s">
        <v>256</v>
      </c>
      <c r="G53" s="501"/>
      <c r="H53" s="501"/>
      <c r="I53" s="501"/>
      <c r="J53" s="501"/>
      <c r="K53" s="501"/>
      <c r="L53" s="501"/>
      <c r="M53" s="502"/>
      <c r="N53" s="195" t="s">
        <v>119</v>
      </c>
      <c r="O53" s="193" t="s">
        <v>269</v>
      </c>
      <c r="P53" s="514" t="s">
        <v>270</v>
      </c>
      <c r="Q53" s="515"/>
      <c r="R53" s="514" t="s">
        <v>268</v>
      </c>
      <c r="S53" s="516"/>
      <c r="T53" s="516"/>
      <c r="U53" s="515"/>
      <c r="V53" s="487" t="s">
        <v>141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118</v>
      </c>
      <c r="B54" s="513"/>
      <c r="C54" s="199" t="s">
        <v>151</v>
      </c>
      <c r="D54" s="199" t="s">
        <v>129</v>
      </c>
      <c r="E54" s="196" t="s">
        <v>159</v>
      </c>
      <c r="F54" s="500" t="s">
        <v>264</v>
      </c>
      <c r="G54" s="501"/>
      <c r="H54" s="501"/>
      <c r="I54" s="501"/>
      <c r="J54" s="501"/>
      <c r="K54" s="501"/>
      <c r="L54" s="501"/>
      <c r="M54" s="502"/>
      <c r="N54" s="195"/>
      <c r="O54" s="193"/>
      <c r="P54" s="514"/>
      <c r="Q54" s="515"/>
      <c r="R54" s="514"/>
      <c r="S54" s="516"/>
      <c r="T54" s="516"/>
      <c r="U54" s="515"/>
      <c r="V54" s="487"/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118</v>
      </c>
      <c r="B55" s="513"/>
      <c r="C55" s="199" t="s">
        <v>180</v>
      </c>
      <c r="D55" s="199" t="s">
        <v>115</v>
      </c>
      <c r="E55" s="196" t="s">
        <v>167</v>
      </c>
      <c r="F55" s="500" t="s">
        <v>265</v>
      </c>
      <c r="G55" s="501"/>
      <c r="H55" s="501"/>
      <c r="I55" s="501"/>
      <c r="J55" s="501"/>
      <c r="K55" s="501"/>
      <c r="L55" s="501"/>
      <c r="M55" s="502"/>
      <c r="N55" s="195"/>
      <c r="O55" s="193"/>
      <c r="P55" s="514"/>
      <c r="Q55" s="515"/>
      <c r="R55" s="514"/>
      <c r="S55" s="516"/>
      <c r="T55" s="516"/>
      <c r="U55" s="515"/>
      <c r="V55" s="487"/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/>
      <c r="B56" s="513"/>
      <c r="C56" s="199"/>
      <c r="D56" s="199"/>
      <c r="E56" s="196"/>
      <c r="F56" s="500"/>
      <c r="G56" s="501"/>
      <c r="H56" s="501"/>
      <c r="I56" s="501"/>
      <c r="J56" s="501"/>
      <c r="K56" s="501"/>
      <c r="L56" s="501"/>
      <c r="M56" s="502"/>
      <c r="N56" s="195"/>
      <c r="O56" s="193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/>
      <c r="B57" s="513"/>
      <c r="C57" s="199"/>
      <c r="D57" s="199"/>
      <c r="E57" s="196"/>
      <c r="F57" s="500"/>
      <c r="G57" s="501"/>
      <c r="H57" s="501"/>
      <c r="I57" s="501"/>
      <c r="J57" s="501"/>
      <c r="K57" s="501"/>
      <c r="L57" s="501"/>
      <c r="M57" s="502"/>
      <c r="N57" s="195"/>
      <c r="O57" s="193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199"/>
      <c r="D58" s="199"/>
      <c r="E58" s="196"/>
      <c r="F58" s="500"/>
      <c r="G58" s="501"/>
      <c r="H58" s="501"/>
      <c r="I58" s="501"/>
      <c r="J58" s="501"/>
      <c r="K58" s="501"/>
      <c r="L58" s="501"/>
      <c r="M58" s="502"/>
      <c r="N58" s="195"/>
      <c r="O58" s="193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199"/>
      <c r="D59" s="199"/>
      <c r="E59" s="196"/>
      <c r="F59" s="500"/>
      <c r="G59" s="501"/>
      <c r="H59" s="501"/>
      <c r="I59" s="501"/>
      <c r="J59" s="501"/>
      <c r="K59" s="501"/>
      <c r="L59" s="501"/>
      <c r="M59" s="502"/>
      <c r="N59" s="195"/>
      <c r="O59" s="193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196"/>
      <c r="D60" s="196"/>
      <c r="E60" s="196"/>
      <c r="F60" s="500"/>
      <c r="G60" s="501"/>
      <c r="H60" s="501"/>
      <c r="I60" s="501"/>
      <c r="J60" s="501"/>
      <c r="K60" s="501"/>
      <c r="L60" s="501"/>
      <c r="M60" s="502"/>
      <c r="N60" s="195"/>
      <c r="O60" s="193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197"/>
      <c r="D61" s="198"/>
      <c r="E61" s="198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271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194" t="s">
        <v>2</v>
      </c>
      <c r="D63" s="194" t="s">
        <v>37</v>
      </c>
      <c r="E63" s="194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194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118</v>
      </c>
      <c r="D64" s="189"/>
      <c r="E64" s="192" t="s">
        <v>129</v>
      </c>
      <c r="F64" s="488" t="s">
        <v>272</v>
      </c>
      <c r="G64" s="489"/>
      <c r="H64" s="489"/>
      <c r="I64" s="489"/>
      <c r="J64" s="490"/>
      <c r="K64" s="476" t="s">
        <v>134</v>
      </c>
      <c r="L64" s="476"/>
      <c r="M64" s="51" t="s">
        <v>246</v>
      </c>
      <c r="N64" s="485" t="s">
        <v>190</v>
      </c>
      <c r="O64" s="485"/>
      <c r="P64" s="486">
        <v>50</v>
      </c>
      <c r="Q64" s="486"/>
      <c r="R64" s="487" t="s">
        <v>273</v>
      </c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118</v>
      </c>
      <c r="D65" s="189"/>
      <c r="E65" s="192" t="s">
        <v>115</v>
      </c>
      <c r="F65" s="488" t="s">
        <v>274</v>
      </c>
      <c r="G65" s="489"/>
      <c r="H65" s="489"/>
      <c r="I65" s="489"/>
      <c r="J65" s="490"/>
      <c r="K65" s="476" t="s">
        <v>134</v>
      </c>
      <c r="L65" s="476"/>
      <c r="M65" s="51" t="s">
        <v>246</v>
      </c>
      <c r="N65" s="485" t="s">
        <v>190</v>
      </c>
      <c r="O65" s="485"/>
      <c r="P65" s="486"/>
      <c r="Q65" s="486"/>
      <c r="R65" s="487" t="s">
        <v>275</v>
      </c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189"/>
      <c r="E66" s="192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189"/>
      <c r="E67" s="192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189"/>
      <c r="E68" s="192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189"/>
      <c r="E69" s="192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189"/>
      <c r="E70" s="192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189"/>
      <c r="E71" s="192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189"/>
      <c r="E72" s="192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189"/>
      <c r="E73" s="192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276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191" t="s">
        <v>2</v>
      </c>
      <c r="D75" s="191" t="s">
        <v>37</v>
      </c>
      <c r="E75" s="191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190" t="s">
        <v>112</v>
      </c>
      <c r="D76" s="190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189"/>
      <c r="D77" s="189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189"/>
      <c r="D78" s="189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189"/>
      <c r="D79" s="189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189"/>
      <c r="D80" s="189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189"/>
      <c r="D81" s="189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189"/>
      <c r="D82" s="189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277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8560-F9B9-4C9E-9A6C-7DCBA6C4B2CD}">
  <dimension ref="A1:AF88"/>
  <sheetViews>
    <sheetView view="pageBreakPreview" zoomScale="70" zoomScaleNormal="72" zoomScaleSheetLayoutView="70" workbookViewId="0">
      <selection activeCell="K81" sqref="K81:S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278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202" t="s">
        <v>17</v>
      </c>
      <c r="L5" s="202" t="s">
        <v>18</v>
      </c>
      <c r="M5" s="202" t="s">
        <v>19</v>
      </c>
      <c r="N5" s="20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212</v>
      </c>
      <c r="C6" s="34" t="s">
        <v>112</v>
      </c>
      <c r="D6" s="52" t="s">
        <v>213</v>
      </c>
      <c r="E6" s="53" t="s">
        <v>214</v>
      </c>
      <c r="F6" s="12" t="s">
        <v>126</v>
      </c>
      <c r="G6" s="12">
        <v>1</v>
      </c>
      <c r="H6" s="13">
        <v>24</v>
      </c>
      <c r="I6" s="31">
        <v>200</v>
      </c>
      <c r="J6" s="14">
        <v>690</v>
      </c>
      <c r="K6" s="15">
        <f>L6+690</f>
        <v>690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0.43137254901960781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6047</v>
      </c>
      <c r="K7" s="15">
        <f>L7+3683+2801+972+5614</f>
        <v>19117</v>
      </c>
      <c r="L7" s="15">
        <f>3019+3028</f>
        <v>6047</v>
      </c>
      <c r="M7" s="15">
        <f t="shared" si="0"/>
        <v>6047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0.43137254901960781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28000</v>
      </c>
      <c r="J8" s="14">
        <v>4746</v>
      </c>
      <c r="K8" s="15">
        <f>L8+670+3737+4361+4739+3866+4536+4715+2163+4452</f>
        <v>37985</v>
      </c>
      <c r="L8" s="15">
        <f>2364+2382</f>
        <v>4746</v>
      </c>
      <c r="M8" s="15">
        <f t="shared" si="0"/>
        <v>4746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0.43137254901960781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217</v>
      </c>
      <c r="E9" s="53" t="s">
        <v>267</v>
      </c>
      <c r="F9" s="30" t="s">
        <v>134</v>
      </c>
      <c r="G9" s="33">
        <v>1</v>
      </c>
      <c r="H9" s="35">
        <v>24</v>
      </c>
      <c r="I9" s="7">
        <v>11000</v>
      </c>
      <c r="J9" s="5">
        <v>3775</v>
      </c>
      <c r="K9" s="15">
        <f>L9</f>
        <v>3775</v>
      </c>
      <c r="L9" s="15">
        <f>1147+2628</f>
        <v>3775</v>
      </c>
      <c r="M9" s="15">
        <f t="shared" si="0"/>
        <v>3775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/>
      <c r="T9" s="16"/>
      <c r="U9" s="16"/>
      <c r="V9" s="17"/>
      <c r="W9" s="5"/>
      <c r="X9" s="16"/>
      <c r="Y9" s="16"/>
      <c r="Z9" s="16"/>
      <c r="AA9" s="18">
        <v>5</v>
      </c>
      <c r="AB9" s="8">
        <f t="shared" si="4"/>
        <v>1</v>
      </c>
      <c r="AC9" s="9">
        <f t="shared" si="5"/>
        <v>0.79166666666666663</v>
      </c>
      <c r="AD9" s="10">
        <f>AC9*AB9*(1-O9)</f>
        <v>0.79166666666666663</v>
      </c>
      <c r="AE9" s="36">
        <f t="shared" si="7"/>
        <v>0.43137254901960781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169</v>
      </c>
      <c r="F10" s="30" t="s">
        <v>158</v>
      </c>
      <c r="G10" s="33">
        <v>1</v>
      </c>
      <c r="H10" s="35">
        <v>24</v>
      </c>
      <c r="I10" s="7">
        <v>50000</v>
      </c>
      <c r="J10" s="14">
        <v>6678</v>
      </c>
      <c r="K10" s="15">
        <f>L10+5240+6693+6634+6720+6621+2957+6280</f>
        <v>47823</v>
      </c>
      <c r="L10" s="15">
        <f>3335+3343</f>
        <v>6678</v>
      </c>
      <c r="M10" s="15">
        <f t="shared" si="0"/>
        <v>6678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0.43137254901960781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0.43137254901960781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230</v>
      </c>
      <c r="F12" s="30" t="s">
        <v>158</v>
      </c>
      <c r="G12" s="12">
        <v>1</v>
      </c>
      <c r="H12" s="13">
        <v>20</v>
      </c>
      <c r="I12" s="31">
        <v>500</v>
      </c>
      <c r="J12" s="5">
        <v>640</v>
      </c>
      <c r="K12" s="15">
        <f>L12+640</f>
        <v>640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0.43137254901960781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118</v>
      </c>
      <c r="D13" s="52" t="s">
        <v>129</v>
      </c>
      <c r="E13" s="53" t="s">
        <v>159</v>
      </c>
      <c r="F13" s="30" t="s">
        <v>160</v>
      </c>
      <c r="G13" s="12">
        <v>1</v>
      </c>
      <c r="H13" s="13">
        <v>28</v>
      </c>
      <c r="I13" s="31">
        <v>37000</v>
      </c>
      <c r="J13" s="5">
        <v>497</v>
      </c>
      <c r="K13" s="15">
        <f>L13+497</f>
        <v>497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0.43137254901960781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0.43137254901960781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 t="s">
        <v>270</v>
      </c>
      <c r="E15" s="53" t="s">
        <v>279</v>
      </c>
      <c r="F15" s="12" t="s">
        <v>145</v>
      </c>
      <c r="G15" s="12" t="s">
        <v>280</v>
      </c>
      <c r="H15" s="13">
        <v>24</v>
      </c>
      <c r="I15" s="31">
        <v>1000</v>
      </c>
      <c r="J15" s="14">
        <v>2967</v>
      </c>
      <c r="K15" s="15">
        <f>L15</f>
        <v>2967</v>
      </c>
      <c r="L15" s="15">
        <f>466+2165+336</f>
        <v>2967</v>
      </c>
      <c r="M15" s="15">
        <f t="shared" si="0"/>
        <v>2967</v>
      </c>
      <c r="N15" s="15">
        <v>0</v>
      </c>
      <c r="O15" s="58">
        <f t="shared" si="1"/>
        <v>0</v>
      </c>
      <c r="P15" s="39">
        <f t="shared" si="2"/>
        <v>16</v>
      </c>
      <c r="Q15" s="40">
        <f t="shared" si="3"/>
        <v>8</v>
      </c>
      <c r="R15" s="7"/>
      <c r="S15" s="6">
        <v>8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0.66666666666666663</v>
      </c>
      <c r="AD15" s="10">
        <f t="shared" si="6"/>
        <v>0.66666666666666663</v>
      </c>
      <c r="AE15" s="36">
        <f t="shared" si="7"/>
        <v>0.43137254901960781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0.43137254901960781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0.43137254901960781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157</v>
      </c>
      <c r="F18" s="30" t="s">
        <v>122</v>
      </c>
      <c r="G18" s="33">
        <v>2</v>
      </c>
      <c r="H18" s="35">
        <v>24</v>
      </c>
      <c r="I18" s="7">
        <v>50000</v>
      </c>
      <c r="J18" s="14">
        <v>2680</v>
      </c>
      <c r="K18" s="15">
        <f>L18+2418+5560+9380+10984+8131+5074+4824+7096</f>
        <v>56147</v>
      </c>
      <c r="L18" s="15">
        <f>1340*2</f>
        <v>2680</v>
      </c>
      <c r="M18" s="15">
        <f t="shared" si="0"/>
        <v>2680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/>
      <c r="T18" s="16"/>
      <c r="U18" s="16"/>
      <c r="V18" s="17"/>
      <c r="W18" s="5">
        <v>19</v>
      </c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6"/>
        <v>0.20833333333333334</v>
      </c>
      <c r="AE18" s="36">
        <f t="shared" si="7"/>
        <v>0.43137254901960781</v>
      </c>
      <c r="AF18" s="84">
        <f t="shared" si="8"/>
        <v>13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281</v>
      </c>
      <c r="E19" s="53" t="s">
        <v>282</v>
      </c>
      <c r="F19" s="30" t="s">
        <v>283</v>
      </c>
      <c r="G19" s="33">
        <v>1</v>
      </c>
      <c r="H19" s="35">
        <v>24</v>
      </c>
      <c r="I19" s="7">
        <v>4000</v>
      </c>
      <c r="J19" s="14">
        <v>1972</v>
      </c>
      <c r="K19" s="15">
        <f>L19</f>
        <v>1972</v>
      </c>
      <c r="L19" s="15">
        <f>555+1417</f>
        <v>1972</v>
      </c>
      <c r="M19" s="15">
        <f t="shared" ref="M19" si="10">L19-N19</f>
        <v>1972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10</v>
      </c>
      <c r="Q19" s="40">
        <f t="shared" ref="Q19" si="13">SUM(R19:AA19)</f>
        <v>14</v>
      </c>
      <c r="R19" s="7"/>
      <c r="S19" s="6">
        <v>8</v>
      </c>
      <c r="T19" s="16">
        <v>6</v>
      </c>
      <c r="U19" s="16"/>
      <c r="V19" s="17"/>
      <c r="W19" s="5"/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0.41666666666666669</v>
      </c>
      <c r="AD19" s="10">
        <f t="shared" ref="AD19" si="16">AC19*AB19*(1-O19)</f>
        <v>0.41666666666666669</v>
      </c>
      <c r="AE19" s="36">
        <f t="shared" si="7"/>
        <v>0.43137254901960781</v>
      </c>
      <c r="AF19" s="84">
        <f t="shared" ref="AF19" si="17">A19</f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129</v>
      </c>
      <c r="E20" s="53" t="s">
        <v>159</v>
      </c>
      <c r="F20" s="30" t="s">
        <v>160</v>
      </c>
      <c r="G20" s="33">
        <v>1</v>
      </c>
      <c r="H20" s="35">
        <v>24</v>
      </c>
      <c r="I20" s="7">
        <v>37000</v>
      </c>
      <c r="J20" s="14">
        <v>5033</v>
      </c>
      <c r="K20" s="15">
        <f>L20+2899</f>
        <v>7932</v>
      </c>
      <c r="L20" s="15">
        <f>2195+2838</f>
        <v>5033</v>
      </c>
      <c r="M20" s="15">
        <f t="shared" si="0"/>
        <v>5033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0.43137254901960781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118</v>
      </c>
      <c r="D21" s="52" t="s">
        <v>115</v>
      </c>
      <c r="E21" s="53" t="s">
        <v>167</v>
      </c>
      <c r="F21" s="30" t="s">
        <v>160</v>
      </c>
      <c r="G21" s="12">
        <v>1</v>
      </c>
      <c r="H21" s="13">
        <v>28</v>
      </c>
      <c r="I21" s="31">
        <v>20000</v>
      </c>
      <c r="J21" s="5">
        <v>4685</v>
      </c>
      <c r="K21" s="15">
        <f>L21+2933+2588+4206</f>
        <v>14412</v>
      </c>
      <c r="L21" s="15">
        <f>2882+1803</f>
        <v>4685</v>
      </c>
      <c r="M21" s="15">
        <f t="shared" si="0"/>
        <v>4685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0.43137254901960781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500000</v>
      </c>
      <c r="J22" s="14">
        <v>34860</v>
      </c>
      <c r="K22" s="15">
        <v>30816</v>
      </c>
      <c r="L22" s="15">
        <f>8715*4</f>
        <v>34860</v>
      </c>
      <c r="M22" s="15">
        <f t="shared" si="0"/>
        <v>34860</v>
      </c>
      <c r="N22" s="15">
        <v>0</v>
      </c>
      <c r="O22" s="58">
        <f t="shared" si="1"/>
        <v>0</v>
      </c>
      <c r="P22" s="39">
        <f t="shared" si="2"/>
        <v>12</v>
      </c>
      <c r="Q22" s="40">
        <f t="shared" si="3"/>
        <v>12</v>
      </c>
      <c r="R22" s="7"/>
      <c r="S22" s="6"/>
      <c r="T22" s="16"/>
      <c r="U22" s="16"/>
      <c r="V22" s="17">
        <v>12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</v>
      </c>
      <c r="AD22" s="10">
        <f t="shared" si="6"/>
        <v>0.5</v>
      </c>
      <c r="AE22" s="36">
        <f t="shared" si="7"/>
        <v>0.43137254901960781</v>
      </c>
      <c r="AF22" s="84">
        <f t="shared" si="8"/>
        <v>16</v>
      </c>
    </row>
    <row r="23" spans="1:32" ht="31.5" customHeight="1" thickBot="1">
      <c r="A23" s="519" t="s">
        <v>34</v>
      </c>
      <c r="B23" s="520"/>
      <c r="C23" s="520"/>
      <c r="D23" s="520"/>
      <c r="E23" s="520"/>
      <c r="F23" s="520"/>
      <c r="G23" s="520"/>
      <c r="H23" s="521"/>
      <c r="I23" s="22">
        <f t="shared" ref="I23:N23" si="18">SUM(I6:I22)</f>
        <v>1030500</v>
      </c>
      <c r="J23" s="19">
        <f t="shared" si="18"/>
        <v>96047</v>
      </c>
      <c r="K23" s="20">
        <f t="shared" si="18"/>
        <v>312648</v>
      </c>
      <c r="L23" s="21">
        <f t="shared" si="18"/>
        <v>73443</v>
      </c>
      <c r="M23" s="20">
        <f t="shared" si="18"/>
        <v>73443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176</v>
      </c>
      <c r="Q23" s="43">
        <f t="shared" si="19"/>
        <v>232</v>
      </c>
      <c r="R23" s="23">
        <f t="shared" si="19"/>
        <v>24</v>
      </c>
      <c r="S23" s="24">
        <f t="shared" si="19"/>
        <v>46</v>
      </c>
      <c r="T23" s="24">
        <f t="shared" si="19"/>
        <v>6</v>
      </c>
      <c r="U23" s="24">
        <f t="shared" si="19"/>
        <v>0</v>
      </c>
      <c r="V23" s="25">
        <f t="shared" si="19"/>
        <v>12</v>
      </c>
      <c r="W23" s="26">
        <f t="shared" si="19"/>
        <v>91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53</v>
      </c>
      <c r="AB23" s="28">
        <f>AVERAGE(AB6:AB22)</f>
        <v>0.58823529411764708</v>
      </c>
      <c r="AC23" s="4">
        <f>AVERAGE(AC6:AC22)</f>
        <v>0.43137254901960781</v>
      </c>
      <c r="AD23" s="4">
        <f>AVERAGE(AD6:AD22)</f>
        <v>0.43137254901960781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22" t="s">
        <v>45</v>
      </c>
      <c r="B50" s="522"/>
      <c r="C50" s="522"/>
      <c r="D50" s="522"/>
      <c r="E50" s="52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23" t="s">
        <v>284</v>
      </c>
      <c r="B51" s="524"/>
      <c r="C51" s="524"/>
      <c r="D51" s="524"/>
      <c r="E51" s="524"/>
      <c r="F51" s="524"/>
      <c r="G51" s="524"/>
      <c r="H51" s="524"/>
      <c r="I51" s="524"/>
      <c r="J51" s="524"/>
      <c r="K51" s="524"/>
      <c r="L51" s="524"/>
      <c r="M51" s="525"/>
      <c r="N51" s="526" t="s">
        <v>287</v>
      </c>
      <c r="O51" s="527"/>
      <c r="P51" s="527"/>
      <c r="Q51" s="527"/>
      <c r="R51" s="527"/>
      <c r="S51" s="527"/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8"/>
    </row>
    <row r="52" spans="1:32" ht="27" customHeight="1">
      <c r="A52" s="529" t="s">
        <v>2</v>
      </c>
      <c r="B52" s="530"/>
      <c r="C52" s="203" t="s">
        <v>46</v>
      </c>
      <c r="D52" s="203" t="s">
        <v>47</v>
      </c>
      <c r="E52" s="203" t="s">
        <v>107</v>
      </c>
      <c r="F52" s="531" t="s">
        <v>106</v>
      </c>
      <c r="G52" s="532"/>
      <c r="H52" s="532"/>
      <c r="I52" s="532"/>
      <c r="J52" s="532"/>
      <c r="K52" s="532"/>
      <c r="L52" s="532"/>
      <c r="M52" s="533"/>
      <c r="N52" s="67" t="s">
        <v>110</v>
      </c>
      <c r="O52" s="203" t="s">
        <v>46</v>
      </c>
      <c r="P52" s="531" t="s">
        <v>47</v>
      </c>
      <c r="Q52" s="534"/>
      <c r="R52" s="531" t="s">
        <v>38</v>
      </c>
      <c r="S52" s="532"/>
      <c r="T52" s="532"/>
      <c r="U52" s="534"/>
      <c r="V52" s="531" t="s">
        <v>48</v>
      </c>
      <c r="W52" s="532"/>
      <c r="X52" s="532"/>
      <c r="Y52" s="532"/>
      <c r="Z52" s="532"/>
      <c r="AA52" s="532"/>
      <c r="AB52" s="532"/>
      <c r="AC52" s="532"/>
      <c r="AD52" s="533"/>
    </row>
    <row r="53" spans="1:32" ht="27" customHeight="1">
      <c r="A53" s="512" t="s">
        <v>112</v>
      </c>
      <c r="B53" s="513"/>
      <c r="C53" s="204" t="s">
        <v>155</v>
      </c>
      <c r="D53" s="204" t="s">
        <v>217</v>
      </c>
      <c r="E53" s="205" t="s">
        <v>267</v>
      </c>
      <c r="F53" s="500" t="s">
        <v>141</v>
      </c>
      <c r="G53" s="501"/>
      <c r="H53" s="501"/>
      <c r="I53" s="501"/>
      <c r="J53" s="501"/>
      <c r="K53" s="501"/>
      <c r="L53" s="501"/>
      <c r="M53" s="502"/>
      <c r="N53" s="209" t="s">
        <v>112</v>
      </c>
      <c r="O53" s="211" t="s">
        <v>142</v>
      </c>
      <c r="P53" s="514" t="s">
        <v>281</v>
      </c>
      <c r="Q53" s="515"/>
      <c r="R53" s="514" t="s">
        <v>282</v>
      </c>
      <c r="S53" s="516"/>
      <c r="T53" s="516"/>
      <c r="U53" s="515"/>
      <c r="V53" s="487" t="s">
        <v>130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112</v>
      </c>
      <c r="B54" s="513"/>
      <c r="C54" s="204" t="s">
        <v>142</v>
      </c>
      <c r="D54" s="204" t="s">
        <v>281</v>
      </c>
      <c r="E54" s="205" t="s">
        <v>282</v>
      </c>
      <c r="F54" s="500" t="s">
        <v>285</v>
      </c>
      <c r="G54" s="501"/>
      <c r="H54" s="501"/>
      <c r="I54" s="501"/>
      <c r="J54" s="501"/>
      <c r="K54" s="501"/>
      <c r="L54" s="501"/>
      <c r="M54" s="502"/>
      <c r="N54" s="209" t="s">
        <v>118</v>
      </c>
      <c r="O54" s="211" t="s">
        <v>180</v>
      </c>
      <c r="P54" s="514" t="s">
        <v>115</v>
      </c>
      <c r="Q54" s="515"/>
      <c r="R54" s="514" t="s">
        <v>167</v>
      </c>
      <c r="S54" s="516"/>
      <c r="T54" s="516"/>
      <c r="U54" s="515"/>
      <c r="V54" s="487" t="s">
        <v>130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118</v>
      </c>
      <c r="B55" s="513"/>
      <c r="C55" s="204" t="s">
        <v>151</v>
      </c>
      <c r="D55" s="204" t="s">
        <v>129</v>
      </c>
      <c r="E55" s="205" t="s">
        <v>159</v>
      </c>
      <c r="F55" s="500" t="s">
        <v>130</v>
      </c>
      <c r="G55" s="501"/>
      <c r="H55" s="501"/>
      <c r="I55" s="501"/>
      <c r="J55" s="501"/>
      <c r="K55" s="501"/>
      <c r="L55" s="501"/>
      <c r="M55" s="502"/>
      <c r="N55" s="209" t="s">
        <v>121</v>
      </c>
      <c r="O55" s="211" t="s">
        <v>152</v>
      </c>
      <c r="P55" s="514" t="s">
        <v>115</v>
      </c>
      <c r="Q55" s="515"/>
      <c r="R55" s="514" t="s">
        <v>288</v>
      </c>
      <c r="S55" s="516"/>
      <c r="T55" s="516"/>
      <c r="U55" s="515"/>
      <c r="V55" s="487" t="s">
        <v>141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118</v>
      </c>
      <c r="B56" s="513"/>
      <c r="C56" s="204" t="s">
        <v>180</v>
      </c>
      <c r="D56" s="204" t="s">
        <v>115</v>
      </c>
      <c r="E56" s="205" t="s">
        <v>167</v>
      </c>
      <c r="F56" s="500" t="s">
        <v>130</v>
      </c>
      <c r="G56" s="501"/>
      <c r="H56" s="501"/>
      <c r="I56" s="501"/>
      <c r="J56" s="501"/>
      <c r="K56" s="501"/>
      <c r="L56" s="501"/>
      <c r="M56" s="502"/>
      <c r="N56" s="209"/>
      <c r="O56" s="211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119</v>
      </c>
      <c r="B57" s="513"/>
      <c r="C57" s="204" t="s">
        <v>269</v>
      </c>
      <c r="D57" s="204" t="s">
        <v>270</v>
      </c>
      <c r="E57" s="205" t="s">
        <v>279</v>
      </c>
      <c r="F57" s="500" t="s">
        <v>286</v>
      </c>
      <c r="G57" s="501"/>
      <c r="H57" s="501"/>
      <c r="I57" s="501"/>
      <c r="J57" s="501"/>
      <c r="K57" s="501"/>
      <c r="L57" s="501"/>
      <c r="M57" s="502"/>
      <c r="N57" s="209"/>
      <c r="O57" s="211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204"/>
      <c r="D58" s="204"/>
      <c r="E58" s="205"/>
      <c r="F58" s="500"/>
      <c r="G58" s="501"/>
      <c r="H58" s="501"/>
      <c r="I58" s="501"/>
      <c r="J58" s="501"/>
      <c r="K58" s="501"/>
      <c r="L58" s="501"/>
      <c r="M58" s="502"/>
      <c r="N58" s="209"/>
      <c r="O58" s="211"/>
      <c r="P58" s="514"/>
      <c r="Q58" s="515"/>
      <c r="R58" s="514"/>
      <c r="S58" s="516"/>
      <c r="T58" s="516"/>
      <c r="U58" s="515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204"/>
      <c r="D59" s="204"/>
      <c r="E59" s="205"/>
      <c r="F59" s="500"/>
      <c r="G59" s="501"/>
      <c r="H59" s="501"/>
      <c r="I59" s="501"/>
      <c r="J59" s="501"/>
      <c r="K59" s="501"/>
      <c r="L59" s="501"/>
      <c r="M59" s="502"/>
      <c r="N59" s="209"/>
      <c r="O59" s="211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512"/>
      <c r="B60" s="513"/>
      <c r="C60" s="204"/>
      <c r="D60" s="204"/>
      <c r="E60" s="205"/>
      <c r="F60" s="500"/>
      <c r="G60" s="501"/>
      <c r="H60" s="501"/>
      <c r="I60" s="501"/>
      <c r="J60" s="501"/>
      <c r="K60" s="501"/>
      <c r="L60" s="501"/>
      <c r="M60" s="502"/>
      <c r="N60" s="209"/>
      <c r="O60" s="211"/>
      <c r="P60" s="514"/>
      <c r="Q60" s="515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</row>
    <row r="61" spans="1:32" ht="27" customHeight="1">
      <c r="A61" s="498"/>
      <c r="B61" s="499"/>
      <c r="C61" s="205"/>
      <c r="D61" s="205"/>
      <c r="E61" s="205"/>
      <c r="F61" s="500"/>
      <c r="G61" s="501"/>
      <c r="H61" s="501"/>
      <c r="I61" s="501"/>
      <c r="J61" s="501"/>
      <c r="K61" s="501"/>
      <c r="L61" s="501"/>
      <c r="M61" s="502"/>
      <c r="N61" s="209"/>
      <c r="O61" s="211"/>
      <c r="P61" s="499"/>
      <c r="Q61" s="499"/>
      <c r="R61" s="499"/>
      <c r="S61" s="499"/>
      <c r="T61" s="499"/>
      <c r="U61" s="499"/>
      <c r="V61" s="487"/>
      <c r="W61" s="487"/>
      <c r="X61" s="487"/>
      <c r="Y61" s="487"/>
      <c r="Z61" s="487"/>
      <c r="AA61" s="487"/>
      <c r="AB61" s="487"/>
      <c r="AC61" s="487"/>
      <c r="AD61" s="503"/>
      <c r="AF61" s="84">
        <f>8*3000</f>
        <v>24000</v>
      </c>
    </row>
    <row r="62" spans="1:32" ht="27" customHeight="1" thickBot="1">
      <c r="A62" s="504"/>
      <c r="B62" s="505"/>
      <c r="C62" s="206"/>
      <c r="D62" s="207"/>
      <c r="E62" s="207"/>
      <c r="F62" s="506"/>
      <c r="G62" s="507"/>
      <c r="H62" s="507"/>
      <c r="I62" s="507"/>
      <c r="J62" s="507"/>
      <c r="K62" s="507"/>
      <c r="L62" s="507"/>
      <c r="M62" s="508"/>
      <c r="N62" s="112"/>
      <c r="O62" s="103"/>
      <c r="P62" s="509"/>
      <c r="Q62" s="509"/>
      <c r="R62" s="509"/>
      <c r="S62" s="509"/>
      <c r="T62" s="509"/>
      <c r="U62" s="509"/>
      <c r="V62" s="510"/>
      <c r="W62" s="510"/>
      <c r="X62" s="510"/>
      <c r="Y62" s="510"/>
      <c r="Z62" s="510"/>
      <c r="AA62" s="510"/>
      <c r="AB62" s="510"/>
      <c r="AC62" s="510"/>
      <c r="AD62" s="511"/>
      <c r="AF62" s="84">
        <f>16*3000</f>
        <v>48000</v>
      </c>
    </row>
    <row r="63" spans="1:32" ht="27.75" thickBot="1">
      <c r="A63" s="496" t="s">
        <v>289</v>
      </c>
      <c r="B63" s="496"/>
      <c r="C63" s="496"/>
      <c r="D63" s="496"/>
      <c r="E63" s="496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7" t="s">
        <v>111</v>
      </c>
      <c r="B64" s="494"/>
      <c r="C64" s="208" t="s">
        <v>2</v>
      </c>
      <c r="D64" s="208" t="s">
        <v>37</v>
      </c>
      <c r="E64" s="208" t="s">
        <v>3</v>
      </c>
      <c r="F64" s="494" t="s">
        <v>109</v>
      </c>
      <c r="G64" s="494"/>
      <c r="H64" s="494"/>
      <c r="I64" s="494"/>
      <c r="J64" s="494"/>
      <c r="K64" s="494" t="s">
        <v>39</v>
      </c>
      <c r="L64" s="494"/>
      <c r="M64" s="208" t="s">
        <v>40</v>
      </c>
      <c r="N64" s="494" t="s">
        <v>41</v>
      </c>
      <c r="O64" s="494"/>
      <c r="P64" s="491" t="s">
        <v>42</v>
      </c>
      <c r="Q64" s="493"/>
      <c r="R64" s="491" t="s">
        <v>43</v>
      </c>
      <c r="S64" s="492"/>
      <c r="T64" s="492"/>
      <c r="U64" s="492"/>
      <c r="V64" s="492"/>
      <c r="W64" s="492"/>
      <c r="X64" s="492"/>
      <c r="Y64" s="492"/>
      <c r="Z64" s="492"/>
      <c r="AA64" s="493"/>
      <c r="AB64" s="494" t="s">
        <v>44</v>
      </c>
      <c r="AC64" s="494"/>
      <c r="AD64" s="495"/>
      <c r="AF64" s="84">
        <f>SUM(AF61:AF63)</f>
        <v>96000</v>
      </c>
    </row>
    <row r="65" spans="1:32" ht="25.5" customHeight="1">
      <c r="A65" s="482">
        <v>1</v>
      </c>
      <c r="B65" s="483"/>
      <c r="C65" s="105" t="s">
        <v>291</v>
      </c>
      <c r="D65" s="213"/>
      <c r="E65" s="210"/>
      <c r="F65" s="488" t="s">
        <v>290</v>
      </c>
      <c r="G65" s="489"/>
      <c r="H65" s="489"/>
      <c r="I65" s="489"/>
      <c r="J65" s="490"/>
      <c r="K65" s="476" t="s">
        <v>292</v>
      </c>
      <c r="L65" s="476"/>
      <c r="M65" s="51" t="s">
        <v>246</v>
      </c>
      <c r="N65" s="485" t="s">
        <v>155</v>
      </c>
      <c r="O65" s="485"/>
      <c r="P65" s="486">
        <f>50*32</f>
        <v>1600</v>
      </c>
      <c r="Q65" s="486"/>
      <c r="R65" s="487" t="s">
        <v>293</v>
      </c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2</v>
      </c>
      <c r="B66" s="483"/>
      <c r="C66" s="105" t="s">
        <v>118</v>
      </c>
      <c r="D66" s="213"/>
      <c r="E66" s="210" t="s">
        <v>115</v>
      </c>
      <c r="F66" s="488" t="s">
        <v>274</v>
      </c>
      <c r="G66" s="489"/>
      <c r="H66" s="489"/>
      <c r="I66" s="489"/>
      <c r="J66" s="490"/>
      <c r="K66" s="476" t="s">
        <v>134</v>
      </c>
      <c r="L66" s="476"/>
      <c r="M66" s="51" t="s">
        <v>246</v>
      </c>
      <c r="N66" s="485" t="s">
        <v>190</v>
      </c>
      <c r="O66" s="485"/>
      <c r="P66" s="486">
        <v>10</v>
      </c>
      <c r="Q66" s="486"/>
      <c r="R66" s="487" t="s">
        <v>275</v>
      </c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3</v>
      </c>
      <c r="B67" s="483"/>
      <c r="C67" s="105" t="s">
        <v>118</v>
      </c>
      <c r="D67" s="213"/>
      <c r="E67" s="210" t="s">
        <v>144</v>
      </c>
      <c r="F67" s="488" t="s">
        <v>236</v>
      </c>
      <c r="G67" s="489"/>
      <c r="H67" s="489"/>
      <c r="I67" s="489"/>
      <c r="J67" s="490"/>
      <c r="K67" s="476" t="s">
        <v>134</v>
      </c>
      <c r="L67" s="476"/>
      <c r="M67" s="51" t="s">
        <v>246</v>
      </c>
      <c r="N67" s="485" t="s">
        <v>190</v>
      </c>
      <c r="O67" s="485"/>
      <c r="P67" s="486">
        <v>50</v>
      </c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4</v>
      </c>
      <c r="B68" s="483"/>
      <c r="C68" s="105" t="s">
        <v>118</v>
      </c>
      <c r="D68" s="213"/>
      <c r="E68" s="210" t="s">
        <v>132</v>
      </c>
      <c r="F68" s="488" t="s">
        <v>241</v>
      </c>
      <c r="G68" s="489"/>
      <c r="H68" s="489"/>
      <c r="I68" s="489"/>
      <c r="J68" s="490"/>
      <c r="K68" s="476" t="s">
        <v>134</v>
      </c>
      <c r="L68" s="476"/>
      <c r="M68" s="51" t="s">
        <v>246</v>
      </c>
      <c r="N68" s="485" t="s">
        <v>152</v>
      </c>
      <c r="O68" s="485"/>
      <c r="P68" s="486">
        <v>50</v>
      </c>
      <c r="Q68" s="486"/>
      <c r="R68" s="487" t="s">
        <v>294</v>
      </c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5</v>
      </c>
      <c r="B69" s="483"/>
      <c r="C69" s="105" t="s">
        <v>118</v>
      </c>
      <c r="D69" s="213"/>
      <c r="E69" s="210" t="s">
        <v>127</v>
      </c>
      <c r="F69" s="488" t="s">
        <v>239</v>
      </c>
      <c r="G69" s="489"/>
      <c r="H69" s="489"/>
      <c r="I69" s="489"/>
      <c r="J69" s="490"/>
      <c r="K69" s="476" t="s">
        <v>134</v>
      </c>
      <c r="L69" s="476"/>
      <c r="M69" s="51" t="s">
        <v>246</v>
      </c>
      <c r="N69" s="485" t="s">
        <v>152</v>
      </c>
      <c r="O69" s="485"/>
      <c r="P69" s="486">
        <v>50</v>
      </c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6</v>
      </c>
      <c r="B70" s="483"/>
      <c r="C70" s="105"/>
      <c r="D70" s="213"/>
      <c r="E70" s="210"/>
      <c r="F70" s="488"/>
      <c r="G70" s="489"/>
      <c r="H70" s="489"/>
      <c r="I70" s="489"/>
      <c r="J70" s="490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7</v>
      </c>
      <c r="B71" s="483"/>
      <c r="C71" s="105"/>
      <c r="D71" s="213"/>
      <c r="E71" s="210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8</v>
      </c>
      <c r="B72" s="483"/>
      <c r="C72" s="105"/>
      <c r="D72" s="213"/>
      <c r="E72" s="210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9</v>
      </c>
      <c r="B73" s="483"/>
      <c r="C73" s="105"/>
      <c r="D73" s="213"/>
      <c r="E73" s="210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5.5" customHeight="1">
      <c r="A74" s="482">
        <v>10</v>
      </c>
      <c r="B74" s="483"/>
      <c r="C74" s="105"/>
      <c r="D74" s="213"/>
      <c r="E74" s="210"/>
      <c r="F74" s="484"/>
      <c r="G74" s="476"/>
      <c r="H74" s="476"/>
      <c r="I74" s="476"/>
      <c r="J74" s="476"/>
      <c r="K74" s="476"/>
      <c r="L74" s="476"/>
      <c r="M74" s="51"/>
      <c r="N74" s="485"/>
      <c r="O74" s="485"/>
      <c r="P74" s="486"/>
      <c r="Q74" s="486"/>
      <c r="R74" s="487"/>
      <c r="S74" s="487"/>
      <c r="T74" s="487"/>
      <c r="U74" s="487"/>
      <c r="V74" s="487"/>
      <c r="W74" s="487"/>
      <c r="X74" s="487"/>
      <c r="Y74" s="487"/>
      <c r="Z74" s="487"/>
      <c r="AA74" s="487"/>
      <c r="AB74" s="476"/>
      <c r="AC74" s="476"/>
      <c r="AD74" s="477"/>
      <c r="AF74" s="50"/>
    </row>
    <row r="75" spans="1:32" ht="26.25" customHeight="1" thickBot="1">
      <c r="A75" s="456" t="s">
        <v>295</v>
      </c>
      <c r="B75" s="456"/>
      <c r="C75" s="456"/>
      <c r="D75" s="456"/>
      <c r="E75" s="45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57" t="s">
        <v>149</v>
      </c>
      <c r="B76" s="458"/>
      <c r="C76" s="212" t="s">
        <v>2</v>
      </c>
      <c r="D76" s="212" t="s">
        <v>37</v>
      </c>
      <c r="E76" s="212" t="s">
        <v>135</v>
      </c>
      <c r="F76" s="458" t="s">
        <v>38</v>
      </c>
      <c r="G76" s="458"/>
      <c r="H76" s="458"/>
      <c r="I76" s="458"/>
      <c r="J76" s="458"/>
      <c r="K76" s="478" t="s">
        <v>58</v>
      </c>
      <c r="L76" s="479"/>
      <c r="M76" s="479"/>
      <c r="N76" s="479"/>
      <c r="O76" s="479"/>
      <c r="P76" s="479"/>
      <c r="Q76" s="479"/>
      <c r="R76" s="479"/>
      <c r="S76" s="480"/>
      <c r="T76" s="458" t="s">
        <v>49</v>
      </c>
      <c r="U76" s="458"/>
      <c r="V76" s="478" t="s">
        <v>50</v>
      </c>
      <c r="W76" s="480"/>
      <c r="X76" s="479" t="s">
        <v>51</v>
      </c>
      <c r="Y76" s="479"/>
      <c r="Z76" s="479"/>
      <c r="AA76" s="479"/>
      <c r="AB76" s="479"/>
      <c r="AC76" s="479"/>
      <c r="AD76" s="481"/>
      <c r="AF76" s="50"/>
    </row>
    <row r="77" spans="1:32" ht="33.75" customHeight="1">
      <c r="A77" s="450">
        <v>1</v>
      </c>
      <c r="B77" s="451"/>
      <c r="C77" s="214" t="s">
        <v>112</v>
      </c>
      <c r="D77" s="214"/>
      <c r="E77" s="65" t="s">
        <v>117</v>
      </c>
      <c r="F77" s="465" t="s">
        <v>116</v>
      </c>
      <c r="G77" s="466"/>
      <c r="H77" s="466"/>
      <c r="I77" s="466"/>
      <c r="J77" s="467"/>
      <c r="K77" s="468" t="s">
        <v>120</v>
      </c>
      <c r="L77" s="469"/>
      <c r="M77" s="469"/>
      <c r="N77" s="469"/>
      <c r="O77" s="469"/>
      <c r="P77" s="469"/>
      <c r="Q77" s="469"/>
      <c r="R77" s="469"/>
      <c r="S77" s="470"/>
      <c r="T77" s="471">
        <v>43675</v>
      </c>
      <c r="U77" s="472"/>
      <c r="V77" s="473"/>
      <c r="W77" s="473"/>
      <c r="X77" s="474"/>
      <c r="Y77" s="474"/>
      <c r="Z77" s="474"/>
      <c r="AA77" s="474"/>
      <c r="AB77" s="474"/>
      <c r="AC77" s="474"/>
      <c r="AD77" s="475"/>
      <c r="AF77" s="50"/>
    </row>
    <row r="78" spans="1:32" ht="30" customHeight="1">
      <c r="A78" s="443">
        <f>A77+1</f>
        <v>2</v>
      </c>
      <c r="B78" s="444"/>
      <c r="C78" s="213"/>
      <c r="D78" s="213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ref="A79:A83" si="20">A78+1</f>
        <v>3</v>
      </c>
      <c r="B79" s="444"/>
      <c r="C79" s="213"/>
      <c r="D79" s="213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20"/>
        <v>4</v>
      </c>
      <c r="B80" s="444"/>
      <c r="C80" s="213"/>
      <c r="D80" s="213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20"/>
        <v>5</v>
      </c>
      <c r="B81" s="444"/>
      <c r="C81" s="213"/>
      <c r="D81" s="213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20"/>
        <v>6</v>
      </c>
      <c r="B82" s="444"/>
      <c r="C82" s="213"/>
      <c r="D82" s="213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0" customHeight="1">
      <c r="A83" s="443">
        <f t="shared" si="20"/>
        <v>7</v>
      </c>
      <c r="B83" s="444"/>
      <c r="C83" s="213"/>
      <c r="D83" s="213"/>
      <c r="E83" s="32"/>
      <c r="F83" s="444"/>
      <c r="G83" s="444"/>
      <c r="H83" s="444"/>
      <c r="I83" s="444"/>
      <c r="J83" s="444"/>
      <c r="K83" s="459"/>
      <c r="L83" s="460"/>
      <c r="M83" s="460"/>
      <c r="N83" s="460"/>
      <c r="O83" s="460"/>
      <c r="P83" s="460"/>
      <c r="Q83" s="460"/>
      <c r="R83" s="460"/>
      <c r="S83" s="461"/>
      <c r="T83" s="462"/>
      <c r="U83" s="462"/>
      <c r="V83" s="462"/>
      <c r="W83" s="462"/>
      <c r="X83" s="463"/>
      <c r="Y83" s="463"/>
      <c r="Z83" s="463"/>
      <c r="AA83" s="463"/>
      <c r="AB83" s="463"/>
      <c r="AC83" s="463"/>
      <c r="AD83" s="464"/>
      <c r="AF83" s="50"/>
    </row>
    <row r="84" spans="1:32" ht="36" thickBot="1">
      <c r="A84" s="456" t="s">
        <v>296</v>
      </c>
      <c r="B84" s="456"/>
      <c r="C84" s="456"/>
      <c r="D84" s="456"/>
      <c r="E84" s="45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57" t="s">
        <v>111</v>
      </c>
      <c r="B85" s="458"/>
      <c r="C85" s="448" t="s">
        <v>52</v>
      </c>
      <c r="D85" s="448"/>
      <c r="E85" s="448" t="s">
        <v>53</v>
      </c>
      <c r="F85" s="448"/>
      <c r="G85" s="448"/>
      <c r="H85" s="448"/>
      <c r="I85" s="448"/>
      <c r="J85" s="448"/>
      <c r="K85" s="448" t="s">
        <v>54</v>
      </c>
      <c r="L85" s="448"/>
      <c r="M85" s="448"/>
      <c r="N85" s="448"/>
      <c r="O85" s="448"/>
      <c r="P85" s="448"/>
      <c r="Q85" s="448"/>
      <c r="R85" s="448"/>
      <c r="S85" s="448"/>
      <c r="T85" s="448" t="s">
        <v>55</v>
      </c>
      <c r="U85" s="448"/>
      <c r="V85" s="448" t="s">
        <v>56</v>
      </c>
      <c r="W85" s="448"/>
      <c r="X85" s="448"/>
      <c r="Y85" s="448" t="s">
        <v>51</v>
      </c>
      <c r="Z85" s="448"/>
      <c r="AA85" s="448"/>
      <c r="AB85" s="448"/>
      <c r="AC85" s="448"/>
      <c r="AD85" s="449"/>
      <c r="AF85" s="50"/>
    </row>
    <row r="86" spans="1:32" ht="30.75" customHeight="1">
      <c r="A86" s="450">
        <v>1</v>
      </c>
      <c r="B86" s="451"/>
      <c r="C86" s="452">
        <v>11</v>
      </c>
      <c r="D86" s="452"/>
      <c r="E86" s="452" t="s">
        <v>136</v>
      </c>
      <c r="F86" s="452"/>
      <c r="G86" s="452"/>
      <c r="H86" s="452"/>
      <c r="I86" s="452"/>
      <c r="J86" s="452"/>
      <c r="K86" s="452" t="s">
        <v>138</v>
      </c>
      <c r="L86" s="452"/>
      <c r="M86" s="452"/>
      <c r="N86" s="452"/>
      <c r="O86" s="452"/>
      <c r="P86" s="452"/>
      <c r="Q86" s="452"/>
      <c r="R86" s="452"/>
      <c r="S86" s="452"/>
      <c r="T86" s="452" t="s">
        <v>137</v>
      </c>
      <c r="U86" s="452"/>
      <c r="V86" s="453"/>
      <c r="W86" s="453"/>
      <c r="X86" s="453"/>
      <c r="Y86" s="454" t="s">
        <v>139</v>
      </c>
      <c r="Z86" s="454"/>
      <c r="AA86" s="454"/>
      <c r="AB86" s="454"/>
      <c r="AC86" s="454"/>
      <c r="AD86" s="455"/>
      <c r="AF86" s="50"/>
    </row>
    <row r="87" spans="1:32" ht="30.75" customHeight="1">
      <c r="A87" s="443">
        <v>2</v>
      </c>
      <c r="B87" s="444"/>
      <c r="C87" s="445"/>
      <c r="D87" s="445"/>
      <c r="E87" s="445"/>
      <c r="F87" s="445"/>
      <c r="G87" s="445"/>
      <c r="H87" s="445"/>
      <c r="I87" s="445"/>
      <c r="J87" s="445"/>
      <c r="K87" s="445"/>
      <c r="L87" s="445"/>
      <c r="M87" s="445"/>
      <c r="N87" s="445"/>
      <c r="O87" s="445"/>
      <c r="P87" s="445"/>
      <c r="Q87" s="445"/>
      <c r="R87" s="445"/>
      <c r="S87" s="445"/>
      <c r="T87" s="446"/>
      <c r="U87" s="446"/>
      <c r="V87" s="447"/>
      <c r="W87" s="447"/>
      <c r="X87" s="447"/>
      <c r="Y87" s="436"/>
      <c r="Z87" s="436"/>
      <c r="AA87" s="436"/>
      <c r="AB87" s="436"/>
      <c r="AC87" s="436"/>
      <c r="AD87" s="437"/>
      <c r="AF87" s="50"/>
    </row>
    <row r="88" spans="1:32" ht="30.75" customHeight="1" thickBot="1">
      <c r="A88" s="438">
        <v>3</v>
      </c>
      <c r="B88" s="439"/>
      <c r="C88" s="440"/>
      <c r="D88" s="440"/>
      <c r="E88" s="440"/>
      <c r="F88" s="440"/>
      <c r="G88" s="440"/>
      <c r="H88" s="440"/>
      <c r="I88" s="440"/>
      <c r="J88" s="440"/>
      <c r="K88" s="440"/>
      <c r="L88" s="440"/>
      <c r="M88" s="440"/>
      <c r="N88" s="440"/>
      <c r="O88" s="440"/>
      <c r="P88" s="440"/>
      <c r="Q88" s="440"/>
      <c r="R88" s="440"/>
      <c r="S88" s="440"/>
      <c r="T88" s="440"/>
      <c r="U88" s="440"/>
      <c r="V88" s="440"/>
      <c r="W88" s="440"/>
      <c r="X88" s="440"/>
      <c r="Y88" s="441"/>
      <c r="Z88" s="441"/>
      <c r="AA88" s="441"/>
      <c r="AB88" s="441"/>
      <c r="AC88" s="441"/>
      <c r="AD88" s="442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DBBD-ECCF-4D0C-9D4E-CCE3F3E427AD}">
  <dimension ref="A1:AF87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297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227" t="s">
        <v>17</v>
      </c>
      <c r="L5" s="227" t="s">
        <v>18</v>
      </c>
      <c r="M5" s="227" t="s">
        <v>19</v>
      </c>
      <c r="N5" s="22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212</v>
      </c>
      <c r="C6" s="34" t="s">
        <v>112</v>
      </c>
      <c r="D6" s="52" t="s">
        <v>213</v>
      </c>
      <c r="E6" s="53" t="s">
        <v>214</v>
      </c>
      <c r="F6" s="12" t="s">
        <v>126</v>
      </c>
      <c r="G6" s="12">
        <v>1</v>
      </c>
      <c r="H6" s="13">
        <v>24</v>
      </c>
      <c r="I6" s="31">
        <v>200</v>
      </c>
      <c r="J6" s="14">
        <v>690</v>
      </c>
      <c r="K6" s="15">
        <f>L6+690</f>
        <v>690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0.41666666666666669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6028</v>
      </c>
      <c r="K7" s="15">
        <f>L7+3683+2801+972+5614+6047</f>
        <v>25145</v>
      </c>
      <c r="L7" s="15">
        <f>3009+3019</f>
        <v>6028</v>
      </c>
      <c r="M7" s="15">
        <f t="shared" si="0"/>
        <v>6028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0.41666666666666669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28000</v>
      </c>
      <c r="J8" s="14">
        <v>4732</v>
      </c>
      <c r="K8" s="15">
        <f>L8+670+3737+4361+4739+3866+4536+4715+2163+4452+4746</f>
        <v>42717</v>
      </c>
      <c r="L8" s="15">
        <f>2360+2372</f>
        <v>4732</v>
      </c>
      <c r="M8" s="15">
        <f t="shared" si="0"/>
        <v>4732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0.41666666666666669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217</v>
      </c>
      <c r="E9" s="53" t="s">
        <v>267</v>
      </c>
      <c r="F9" s="30" t="s">
        <v>134</v>
      </c>
      <c r="G9" s="33">
        <v>1</v>
      </c>
      <c r="H9" s="35">
        <v>24</v>
      </c>
      <c r="I9" s="7">
        <v>11000</v>
      </c>
      <c r="J9" s="5">
        <v>4115</v>
      </c>
      <c r="K9" s="15">
        <f>L9+3775</f>
        <v>7890</v>
      </c>
      <c r="L9" s="15">
        <f>2566+1549</f>
        <v>4115</v>
      </c>
      <c r="M9" s="15">
        <f t="shared" si="0"/>
        <v>4115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>AC9*AB9*(1-O9)</f>
        <v>0.83333333333333337</v>
      </c>
      <c r="AE9" s="36">
        <f t="shared" si="7"/>
        <v>0.41666666666666669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169</v>
      </c>
      <c r="F10" s="30" t="s">
        <v>158</v>
      </c>
      <c r="G10" s="33">
        <v>1</v>
      </c>
      <c r="H10" s="35">
        <v>24</v>
      </c>
      <c r="I10" s="7">
        <v>50000</v>
      </c>
      <c r="J10" s="14">
        <v>6261</v>
      </c>
      <c r="K10" s="15">
        <f>L10+5240+6693+6634+6720+6621+2957+6280+6678</f>
        <v>54084</v>
      </c>
      <c r="L10" s="15">
        <f>2921+3340</f>
        <v>6261</v>
      </c>
      <c r="M10" s="15">
        <f t="shared" si="0"/>
        <v>6261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0.41666666666666669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0.41666666666666669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298</v>
      </c>
      <c r="F12" s="30" t="s">
        <v>160</v>
      </c>
      <c r="G12" s="12">
        <v>1</v>
      </c>
      <c r="H12" s="13">
        <v>20</v>
      </c>
      <c r="I12" s="31">
        <v>500</v>
      </c>
      <c r="J12" s="5">
        <v>500</v>
      </c>
      <c r="K12" s="15">
        <f>L12</f>
        <v>500</v>
      </c>
      <c r="L12" s="15">
        <v>500</v>
      </c>
      <c r="M12" s="15">
        <f t="shared" si="0"/>
        <v>500</v>
      </c>
      <c r="N12" s="15">
        <v>0</v>
      </c>
      <c r="O12" s="58">
        <f t="shared" si="1"/>
        <v>0</v>
      </c>
      <c r="P12" s="39">
        <f t="shared" si="2"/>
        <v>4</v>
      </c>
      <c r="Q12" s="40">
        <f t="shared" si="3"/>
        <v>20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20</v>
      </c>
      <c r="AB12" s="8">
        <f t="shared" si="4"/>
        <v>1</v>
      </c>
      <c r="AC12" s="9">
        <f t="shared" si="5"/>
        <v>0.16666666666666666</v>
      </c>
      <c r="AD12" s="10">
        <f t="shared" si="9"/>
        <v>0.16666666666666666</v>
      </c>
      <c r="AE12" s="36">
        <f t="shared" si="7"/>
        <v>0.41666666666666669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497</v>
      </c>
      <c r="K13" s="15">
        <f>L13</f>
        <v>0</v>
      </c>
      <c r="L13" s="15">
        <f>0</f>
        <v>0</v>
      </c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0.41666666666666669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0.41666666666666669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 t="s">
        <v>270</v>
      </c>
      <c r="E15" s="53" t="s">
        <v>279</v>
      </c>
      <c r="F15" s="12" t="s">
        <v>145</v>
      </c>
      <c r="G15" s="12" t="s">
        <v>280</v>
      </c>
      <c r="H15" s="13">
        <v>24</v>
      </c>
      <c r="I15" s="31">
        <v>1000</v>
      </c>
      <c r="J15" s="14">
        <v>2967</v>
      </c>
      <c r="K15" s="15">
        <f>L15+2967</f>
        <v>2967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0.41666666666666669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0.41666666666666669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0.41666666666666669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281</v>
      </c>
      <c r="E18" s="53" t="s">
        <v>282</v>
      </c>
      <c r="F18" s="30" t="s">
        <v>283</v>
      </c>
      <c r="G18" s="33">
        <v>1</v>
      </c>
      <c r="H18" s="35">
        <v>24</v>
      </c>
      <c r="I18" s="7">
        <v>4000</v>
      </c>
      <c r="J18" s="14">
        <v>3729</v>
      </c>
      <c r="K18" s="15">
        <f>L18+1972</f>
        <v>5701</v>
      </c>
      <c r="L18" s="15">
        <f>1993+1736</f>
        <v>3729</v>
      </c>
      <c r="M18" s="15">
        <f t="shared" si="0"/>
        <v>3729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>
        <v>3</v>
      </c>
      <c r="T18" s="16"/>
      <c r="U18" s="16"/>
      <c r="V18" s="17"/>
      <c r="W18" s="5">
        <v>4</v>
      </c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6">
        <f t="shared" si="7"/>
        <v>0.41666666666666669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159</v>
      </c>
      <c r="F19" s="30" t="s">
        <v>160</v>
      </c>
      <c r="G19" s="33">
        <v>1</v>
      </c>
      <c r="H19" s="35">
        <v>24</v>
      </c>
      <c r="I19" s="7">
        <v>37000</v>
      </c>
      <c r="J19" s="14">
        <v>5215</v>
      </c>
      <c r="K19" s="15">
        <f>L19+2899+5033</f>
        <v>13147</v>
      </c>
      <c r="L19" s="15">
        <f>2379+2836</f>
        <v>5215</v>
      </c>
      <c r="M19" s="15">
        <f t="shared" si="0"/>
        <v>5215</v>
      </c>
      <c r="N19" s="15">
        <v>0</v>
      </c>
      <c r="O19" s="58">
        <f t="shared" si="1"/>
        <v>0</v>
      </c>
      <c r="P19" s="39">
        <f t="shared" si="2"/>
        <v>22</v>
      </c>
      <c r="Q19" s="40">
        <f t="shared" si="3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6">
        <f t="shared" si="7"/>
        <v>0.41666666666666669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118</v>
      </c>
      <c r="D20" s="52" t="s">
        <v>115</v>
      </c>
      <c r="E20" s="53" t="s">
        <v>167</v>
      </c>
      <c r="F20" s="30" t="s">
        <v>160</v>
      </c>
      <c r="G20" s="12">
        <v>1</v>
      </c>
      <c r="H20" s="13">
        <v>28</v>
      </c>
      <c r="I20" s="31">
        <v>20000</v>
      </c>
      <c r="J20" s="5">
        <v>2333</v>
      </c>
      <c r="K20" s="15">
        <f>L20+2933+2588+4206+4685</f>
        <v>16745</v>
      </c>
      <c r="L20" s="15">
        <f>2333</f>
        <v>2333</v>
      </c>
      <c r="M20" s="15">
        <f t="shared" si="0"/>
        <v>2333</v>
      </c>
      <c r="N20" s="15">
        <v>0</v>
      </c>
      <c r="O20" s="58">
        <f t="shared" si="1"/>
        <v>0</v>
      </c>
      <c r="P20" s="39">
        <f t="shared" si="2"/>
        <v>13</v>
      </c>
      <c r="Q20" s="40">
        <f t="shared" si="3"/>
        <v>11</v>
      </c>
      <c r="R20" s="7"/>
      <c r="S20" s="6">
        <v>11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0.54166666666666663</v>
      </c>
      <c r="AD20" s="10">
        <f t="shared" si="6"/>
        <v>0.54166666666666663</v>
      </c>
      <c r="AE20" s="36">
        <f t="shared" si="7"/>
        <v>0.41666666666666669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35212</v>
      </c>
      <c r="K21" s="15">
        <f>30816+34860</f>
        <v>65676</v>
      </c>
      <c r="L21" s="15">
        <f>8803*4</f>
        <v>35212</v>
      </c>
      <c r="M21" s="15">
        <f t="shared" si="0"/>
        <v>35212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0.41666666666666669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769500</v>
      </c>
      <c r="J22" s="19">
        <f t="shared" si="10"/>
        <v>93056</v>
      </c>
      <c r="K22" s="20">
        <f t="shared" si="10"/>
        <v>323137</v>
      </c>
      <c r="L22" s="21">
        <f t="shared" si="10"/>
        <v>68125</v>
      </c>
      <c r="M22" s="20">
        <f t="shared" si="10"/>
        <v>68125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160</v>
      </c>
      <c r="Q22" s="43">
        <f t="shared" si="11"/>
        <v>224</v>
      </c>
      <c r="R22" s="23">
        <f t="shared" si="11"/>
        <v>24</v>
      </c>
      <c r="S22" s="24">
        <f t="shared" si="11"/>
        <v>68</v>
      </c>
      <c r="T22" s="24">
        <f t="shared" si="11"/>
        <v>0</v>
      </c>
      <c r="U22" s="24">
        <f t="shared" si="11"/>
        <v>0</v>
      </c>
      <c r="V22" s="25">
        <f t="shared" si="11"/>
        <v>12</v>
      </c>
      <c r="W22" s="26">
        <f t="shared" si="11"/>
        <v>100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20</v>
      </c>
      <c r="AB22" s="28">
        <f>AVERAGE(AB6:AB21)</f>
        <v>0.5625</v>
      </c>
      <c r="AC22" s="4">
        <f>AVERAGE(AC6:AC21)</f>
        <v>0.41666666666666669</v>
      </c>
      <c r="AD22" s="4">
        <f>AVERAGE(AD6:AD21)</f>
        <v>0.41666666666666669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300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303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226" t="s">
        <v>46</v>
      </c>
      <c r="D51" s="226" t="s">
        <v>47</v>
      </c>
      <c r="E51" s="226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226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112</v>
      </c>
      <c r="B52" s="513"/>
      <c r="C52" s="225" t="s">
        <v>155</v>
      </c>
      <c r="D52" s="225" t="s">
        <v>217</v>
      </c>
      <c r="E52" s="222" t="s">
        <v>267</v>
      </c>
      <c r="F52" s="500" t="s">
        <v>301</v>
      </c>
      <c r="G52" s="501"/>
      <c r="H52" s="501"/>
      <c r="I52" s="501"/>
      <c r="J52" s="501"/>
      <c r="K52" s="501"/>
      <c r="L52" s="501"/>
      <c r="M52" s="502"/>
      <c r="N52" s="221" t="s">
        <v>121</v>
      </c>
      <c r="O52" s="219" t="s">
        <v>152</v>
      </c>
      <c r="P52" s="514" t="s">
        <v>115</v>
      </c>
      <c r="Q52" s="515"/>
      <c r="R52" s="514" t="s">
        <v>288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112</v>
      </c>
      <c r="B53" s="513"/>
      <c r="C53" s="225" t="s">
        <v>142</v>
      </c>
      <c r="D53" s="225" t="s">
        <v>281</v>
      </c>
      <c r="E53" s="222" t="s">
        <v>282</v>
      </c>
      <c r="F53" s="500" t="s">
        <v>130</v>
      </c>
      <c r="G53" s="501"/>
      <c r="H53" s="501"/>
      <c r="I53" s="501"/>
      <c r="J53" s="501"/>
      <c r="K53" s="501"/>
      <c r="L53" s="501"/>
      <c r="M53" s="502"/>
      <c r="N53" s="221" t="s">
        <v>121</v>
      </c>
      <c r="O53" s="219" t="s">
        <v>142</v>
      </c>
      <c r="P53" s="514" t="s">
        <v>115</v>
      </c>
      <c r="Q53" s="515"/>
      <c r="R53" s="514" t="s">
        <v>304</v>
      </c>
      <c r="S53" s="516"/>
      <c r="T53" s="516"/>
      <c r="U53" s="515"/>
      <c r="V53" s="487" t="s">
        <v>141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118</v>
      </c>
      <c r="B54" s="513"/>
      <c r="C54" s="225" t="s">
        <v>151</v>
      </c>
      <c r="D54" s="225" t="s">
        <v>129</v>
      </c>
      <c r="E54" s="222" t="s">
        <v>159</v>
      </c>
      <c r="F54" s="500" t="s">
        <v>130</v>
      </c>
      <c r="G54" s="501"/>
      <c r="H54" s="501"/>
      <c r="I54" s="501"/>
      <c r="J54" s="501"/>
      <c r="K54" s="501"/>
      <c r="L54" s="501"/>
      <c r="M54" s="502"/>
      <c r="N54" s="221" t="s">
        <v>112</v>
      </c>
      <c r="O54" s="219" t="s">
        <v>306</v>
      </c>
      <c r="P54" s="514" t="s">
        <v>129</v>
      </c>
      <c r="Q54" s="515"/>
      <c r="R54" s="514" t="s">
        <v>305</v>
      </c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118</v>
      </c>
      <c r="B55" s="513"/>
      <c r="C55" s="225" t="s">
        <v>180</v>
      </c>
      <c r="D55" s="225" t="s">
        <v>115</v>
      </c>
      <c r="E55" s="222" t="s">
        <v>167</v>
      </c>
      <c r="F55" s="500" t="s">
        <v>130</v>
      </c>
      <c r="G55" s="501"/>
      <c r="H55" s="501"/>
      <c r="I55" s="501"/>
      <c r="J55" s="501"/>
      <c r="K55" s="501"/>
      <c r="L55" s="501"/>
      <c r="M55" s="502"/>
      <c r="N55" s="221"/>
      <c r="O55" s="219"/>
      <c r="P55" s="514"/>
      <c r="Q55" s="515"/>
      <c r="R55" s="514"/>
      <c r="S55" s="516"/>
      <c r="T55" s="516"/>
      <c r="U55" s="515"/>
      <c r="V55" s="487"/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121</v>
      </c>
      <c r="B56" s="513"/>
      <c r="C56" s="225" t="s">
        <v>152</v>
      </c>
      <c r="D56" s="225"/>
      <c r="E56" s="222" t="s">
        <v>288</v>
      </c>
      <c r="F56" s="500" t="s">
        <v>302</v>
      </c>
      <c r="G56" s="501"/>
      <c r="H56" s="501"/>
      <c r="I56" s="501"/>
      <c r="J56" s="501"/>
      <c r="K56" s="501"/>
      <c r="L56" s="501"/>
      <c r="M56" s="502"/>
      <c r="N56" s="221"/>
      <c r="O56" s="219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/>
      <c r="B57" s="513"/>
      <c r="C57" s="225"/>
      <c r="D57" s="225"/>
      <c r="E57" s="222"/>
      <c r="F57" s="500"/>
      <c r="G57" s="501"/>
      <c r="H57" s="501"/>
      <c r="I57" s="501"/>
      <c r="J57" s="501"/>
      <c r="K57" s="501"/>
      <c r="L57" s="501"/>
      <c r="M57" s="502"/>
      <c r="N57" s="221"/>
      <c r="O57" s="219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225"/>
      <c r="D58" s="225"/>
      <c r="E58" s="222"/>
      <c r="F58" s="500"/>
      <c r="G58" s="501"/>
      <c r="H58" s="501"/>
      <c r="I58" s="501"/>
      <c r="J58" s="501"/>
      <c r="K58" s="501"/>
      <c r="L58" s="501"/>
      <c r="M58" s="502"/>
      <c r="N58" s="221"/>
      <c r="O58" s="219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225"/>
      <c r="D59" s="225"/>
      <c r="E59" s="222"/>
      <c r="F59" s="500"/>
      <c r="G59" s="501"/>
      <c r="H59" s="501"/>
      <c r="I59" s="501"/>
      <c r="J59" s="501"/>
      <c r="K59" s="501"/>
      <c r="L59" s="501"/>
      <c r="M59" s="502"/>
      <c r="N59" s="221"/>
      <c r="O59" s="219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222"/>
      <c r="D60" s="222"/>
      <c r="E60" s="222"/>
      <c r="F60" s="500"/>
      <c r="G60" s="501"/>
      <c r="H60" s="501"/>
      <c r="I60" s="501"/>
      <c r="J60" s="501"/>
      <c r="K60" s="501"/>
      <c r="L60" s="501"/>
      <c r="M60" s="502"/>
      <c r="N60" s="221"/>
      <c r="O60" s="219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223"/>
      <c r="D61" s="224"/>
      <c r="E61" s="224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307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220" t="s">
        <v>2</v>
      </c>
      <c r="D63" s="220" t="s">
        <v>37</v>
      </c>
      <c r="E63" s="220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220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119</v>
      </c>
      <c r="D64" s="215"/>
      <c r="E64" s="218" t="s">
        <v>115</v>
      </c>
      <c r="F64" s="488" t="s">
        <v>308</v>
      </c>
      <c r="G64" s="489"/>
      <c r="H64" s="489"/>
      <c r="I64" s="489"/>
      <c r="J64" s="490"/>
      <c r="K64" s="476" t="s">
        <v>122</v>
      </c>
      <c r="L64" s="476"/>
      <c r="M64" s="51" t="s">
        <v>195</v>
      </c>
      <c r="N64" s="485" t="s">
        <v>190</v>
      </c>
      <c r="O64" s="485"/>
      <c r="P64" s="486"/>
      <c r="Q64" s="486"/>
      <c r="R64" s="487" t="s">
        <v>310</v>
      </c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118</v>
      </c>
      <c r="D65" s="215"/>
      <c r="E65" s="218" t="s">
        <v>115</v>
      </c>
      <c r="F65" s="488" t="s">
        <v>244</v>
      </c>
      <c r="G65" s="489"/>
      <c r="H65" s="489"/>
      <c r="I65" s="489"/>
      <c r="J65" s="490"/>
      <c r="K65" s="476" t="s">
        <v>160</v>
      </c>
      <c r="L65" s="476"/>
      <c r="M65" s="51" t="s">
        <v>247</v>
      </c>
      <c r="N65" s="485" t="s">
        <v>190</v>
      </c>
      <c r="O65" s="485"/>
      <c r="P65" s="486">
        <v>60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 t="s">
        <v>119</v>
      </c>
      <c r="D66" s="215"/>
      <c r="E66" s="218" t="s">
        <v>144</v>
      </c>
      <c r="F66" s="488" t="s">
        <v>309</v>
      </c>
      <c r="G66" s="489"/>
      <c r="H66" s="489"/>
      <c r="I66" s="489"/>
      <c r="J66" s="490"/>
      <c r="K66" s="476" t="s">
        <v>145</v>
      </c>
      <c r="L66" s="476"/>
      <c r="M66" s="51" t="s">
        <v>195</v>
      </c>
      <c r="N66" s="485" t="s">
        <v>269</v>
      </c>
      <c r="O66" s="485"/>
      <c r="P66" s="486"/>
      <c r="Q66" s="486"/>
      <c r="R66" s="487" t="s">
        <v>311</v>
      </c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215"/>
      <c r="E67" s="218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215"/>
      <c r="E68" s="218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215"/>
      <c r="E69" s="218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215"/>
      <c r="E70" s="218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215"/>
      <c r="E71" s="218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215"/>
      <c r="E72" s="218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215"/>
      <c r="E73" s="218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312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217" t="s">
        <v>2</v>
      </c>
      <c r="D75" s="217" t="s">
        <v>37</v>
      </c>
      <c r="E75" s="217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216" t="s">
        <v>112</v>
      </c>
      <c r="D76" s="216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215"/>
      <c r="D77" s="215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215"/>
      <c r="D78" s="215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215"/>
      <c r="D79" s="215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215"/>
      <c r="D80" s="215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215"/>
      <c r="D81" s="215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215"/>
      <c r="D82" s="215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313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1AFD-58D5-497A-AE40-4D60AC24553F}">
  <dimension ref="A1:AF87"/>
  <sheetViews>
    <sheetView view="pageBreakPreview" zoomScale="70" zoomScaleNormal="72" zoomScaleSheetLayoutView="70" workbookViewId="0">
      <selection activeCell="R68" sqref="R68:AA6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314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228" t="s">
        <v>17</v>
      </c>
      <c r="L5" s="228" t="s">
        <v>18</v>
      </c>
      <c r="M5" s="228" t="s">
        <v>19</v>
      </c>
      <c r="N5" s="22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212</v>
      </c>
      <c r="C6" s="34" t="s">
        <v>112</v>
      </c>
      <c r="D6" s="52" t="s">
        <v>213</v>
      </c>
      <c r="E6" s="53" t="s">
        <v>214</v>
      </c>
      <c r="F6" s="12" t="s">
        <v>126</v>
      </c>
      <c r="G6" s="12">
        <v>1</v>
      </c>
      <c r="H6" s="13">
        <v>24</v>
      </c>
      <c r="I6" s="31">
        <v>200</v>
      </c>
      <c r="J6" s="14">
        <v>690</v>
      </c>
      <c r="K6" s="15">
        <f>L6+690</f>
        <v>690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0.38020833333333337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2698</v>
      </c>
      <c r="K7" s="15">
        <f>L7+3683+2801+972+5614+6047+6028</f>
        <v>27843</v>
      </c>
      <c r="L7" s="15">
        <v>2698</v>
      </c>
      <c r="M7" s="15">
        <f t="shared" si="0"/>
        <v>2698</v>
      </c>
      <c r="N7" s="15">
        <v>0</v>
      </c>
      <c r="O7" s="58">
        <f t="shared" si="1"/>
        <v>0</v>
      </c>
      <c r="P7" s="39">
        <f t="shared" si="2"/>
        <v>13</v>
      </c>
      <c r="Q7" s="40">
        <f t="shared" si="3"/>
        <v>11</v>
      </c>
      <c r="R7" s="7"/>
      <c r="S7" s="6">
        <v>11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0.54166666666666663</v>
      </c>
      <c r="AD7" s="10">
        <f t="shared" si="6"/>
        <v>0.54166666666666663</v>
      </c>
      <c r="AE7" s="36">
        <f t="shared" si="7"/>
        <v>0.38020833333333337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28000</v>
      </c>
      <c r="J8" s="14">
        <v>4731</v>
      </c>
      <c r="K8" s="15">
        <f>L8+670+3737+4361+4739+3866+4536+4715+2163+4452+4746+4732</f>
        <v>47448</v>
      </c>
      <c r="L8" s="15">
        <f>2343+2388</f>
        <v>4731</v>
      </c>
      <c r="M8" s="15">
        <f t="shared" si="0"/>
        <v>4731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0.38020833333333337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217</v>
      </c>
      <c r="E9" s="53" t="s">
        <v>267</v>
      </c>
      <c r="F9" s="30" t="s">
        <v>134</v>
      </c>
      <c r="G9" s="33">
        <v>1</v>
      </c>
      <c r="H9" s="35">
        <v>24</v>
      </c>
      <c r="I9" s="7">
        <v>11000</v>
      </c>
      <c r="J9" s="5">
        <v>3562</v>
      </c>
      <c r="K9" s="15">
        <f>L9+3775+4115</f>
        <v>11452</v>
      </c>
      <c r="L9" s="15">
        <f>912+2650</f>
        <v>3562</v>
      </c>
      <c r="M9" s="15">
        <f t="shared" si="0"/>
        <v>3562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>AC9*AB9*(1-O9)</f>
        <v>0.75</v>
      </c>
      <c r="AE9" s="36">
        <f t="shared" si="7"/>
        <v>0.38020833333333337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129</v>
      </c>
      <c r="E10" s="53" t="s">
        <v>305</v>
      </c>
      <c r="F10" s="30" t="s">
        <v>128</v>
      </c>
      <c r="G10" s="33" t="s">
        <v>280</v>
      </c>
      <c r="H10" s="35">
        <v>24</v>
      </c>
      <c r="I10" s="7">
        <v>500</v>
      </c>
      <c r="J10" s="14">
        <v>1414</v>
      </c>
      <c r="K10" s="15">
        <f>L10</f>
        <v>1414</v>
      </c>
      <c r="L10" s="15">
        <v>1414</v>
      </c>
      <c r="M10" s="15">
        <f t="shared" si="0"/>
        <v>1414</v>
      </c>
      <c r="N10" s="15">
        <v>0</v>
      </c>
      <c r="O10" s="58">
        <f t="shared" si="1"/>
        <v>0</v>
      </c>
      <c r="P10" s="39">
        <f t="shared" si="2"/>
        <v>8</v>
      </c>
      <c r="Q10" s="40">
        <f t="shared" si="3"/>
        <v>16</v>
      </c>
      <c r="R10" s="7"/>
      <c r="S10" s="6"/>
      <c r="T10" s="16"/>
      <c r="U10" s="16"/>
      <c r="V10" s="17"/>
      <c r="W10" s="5">
        <v>16</v>
      </c>
      <c r="X10" s="16"/>
      <c r="Y10" s="16"/>
      <c r="Z10" s="16"/>
      <c r="AA10" s="18"/>
      <c r="AB10" s="8">
        <f t="shared" si="4"/>
        <v>1</v>
      </c>
      <c r="AC10" s="9">
        <f t="shared" si="5"/>
        <v>0.33333333333333331</v>
      </c>
      <c r="AD10" s="10">
        <f t="shared" ref="AD10:AD14" si="9">AC10*AB10*(1-O10)</f>
        <v>0.33333333333333331</v>
      </c>
      <c r="AE10" s="36">
        <f t="shared" si="7"/>
        <v>0.38020833333333337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0.38020833333333337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163</v>
      </c>
      <c r="F12" s="30" t="s">
        <v>164</v>
      </c>
      <c r="G12" s="12">
        <v>1</v>
      </c>
      <c r="H12" s="13">
        <v>20</v>
      </c>
      <c r="I12" s="31">
        <v>6000</v>
      </c>
      <c r="J12" s="5">
        <v>824</v>
      </c>
      <c r="K12" s="15">
        <f>L12</f>
        <v>824</v>
      </c>
      <c r="L12" s="15">
        <v>824</v>
      </c>
      <c r="M12" s="15">
        <f t="shared" si="0"/>
        <v>824</v>
      </c>
      <c r="N12" s="15">
        <v>0</v>
      </c>
      <c r="O12" s="58">
        <f t="shared" si="1"/>
        <v>0</v>
      </c>
      <c r="P12" s="39">
        <f t="shared" si="2"/>
        <v>5</v>
      </c>
      <c r="Q12" s="40">
        <f t="shared" si="3"/>
        <v>19</v>
      </c>
      <c r="R12" s="7"/>
      <c r="S12" s="6">
        <v>19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0.20833333333333334</v>
      </c>
      <c r="AD12" s="10">
        <f t="shared" si="9"/>
        <v>0.20833333333333334</v>
      </c>
      <c r="AE12" s="36">
        <f t="shared" si="7"/>
        <v>0.38020833333333337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3081</v>
      </c>
      <c r="K13" s="15">
        <f>L13</f>
        <v>3081</v>
      </c>
      <c r="L13" s="15">
        <f>2686+395</f>
        <v>3081</v>
      </c>
      <c r="M13" s="15">
        <f t="shared" si="0"/>
        <v>3081</v>
      </c>
      <c r="N13" s="15">
        <v>0</v>
      </c>
      <c r="O13" s="58">
        <f t="shared" si="1"/>
        <v>0</v>
      </c>
      <c r="P13" s="39">
        <f t="shared" si="2"/>
        <v>15</v>
      </c>
      <c r="Q13" s="40">
        <f t="shared" si="3"/>
        <v>9</v>
      </c>
      <c r="R13" s="7"/>
      <c r="S13" s="6">
        <v>9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0.625</v>
      </c>
      <c r="AD13" s="10">
        <f>AC13*AB13*(1-O13)</f>
        <v>0.625</v>
      </c>
      <c r="AE13" s="36">
        <f t="shared" si="7"/>
        <v>0.38020833333333337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0.38020833333333337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 t="s">
        <v>270</v>
      </c>
      <c r="E15" s="53" t="s">
        <v>279</v>
      </c>
      <c r="F15" s="12" t="s">
        <v>145</v>
      </c>
      <c r="G15" s="12" t="s">
        <v>280</v>
      </c>
      <c r="H15" s="13">
        <v>24</v>
      </c>
      <c r="I15" s="31">
        <v>1000</v>
      </c>
      <c r="J15" s="14">
        <v>2967</v>
      </c>
      <c r="K15" s="15">
        <f>L15+2967</f>
        <v>2967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0.38020833333333337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0.38020833333333337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0.38020833333333337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304</v>
      </c>
      <c r="F18" s="30" t="s">
        <v>200</v>
      </c>
      <c r="G18" s="33">
        <v>1</v>
      </c>
      <c r="H18" s="35">
        <v>24</v>
      </c>
      <c r="I18" s="7">
        <v>5000</v>
      </c>
      <c r="J18" s="14">
        <v>1600</v>
      </c>
      <c r="K18" s="15">
        <f>L18</f>
        <v>1600</v>
      </c>
      <c r="L18" s="15">
        <v>1600</v>
      </c>
      <c r="M18" s="15">
        <f t="shared" si="0"/>
        <v>1600</v>
      </c>
      <c r="N18" s="15">
        <v>0</v>
      </c>
      <c r="O18" s="58">
        <f t="shared" si="1"/>
        <v>0</v>
      </c>
      <c r="P18" s="39">
        <f t="shared" si="2"/>
        <v>9</v>
      </c>
      <c r="Q18" s="40">
        <f t="shared" si="3"/>
        <v>15</v>
      </c>
      <c r="R18" s="7"/>
      <c r="S18" s="6">
        <v>15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0.375</v>
      </c>
      <c r="AD18" s="10">
        <f t="shared" si="6"/>
        <v>0.375</v>
      </c>
      <c r="AE18" s="36">
        <f t="shared" si="7"/>
        <v>0.38020833333333337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159</v>
      </c>
      <c r="F19" s="30" t="s">
        <v>160</v>
      </c>
      <c r="G19" s="33">
        <v>1</v>
      </c>
      <c r="H19" s="35">
        <v>24</v>
      </c>
      <c r="I19" s="7">
        <v>37000</v>
      </c>
      <c r="J19" s="14">
        <v>3784</v>
      </c>
      <c r="K19" s="15">
        <f>L19+2899+5033+5215</f>
        <v>16931</v>
      </c>
      <c r="L19" s="15">
        <f>2204+1580</f>
        <v>3784</v>
      </c>
      <c r="M19" s="15">
        <f t="shared" si="0"/>
        <v>3784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6">
        <f t="shared" si="7"/>
        <v>0.38020833333333337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118</v>
      </c>
      <c r="D20" s="52" t="s">
        <v>115</v>
      </c>
      <c r="E20" s="53" t="s">
        <v>167</v>
      </c>
      <c r="F20" s="30" t="s">
        <v>160</v>
      </c>
      <c r="G20" s="12">
        <v>1</v>
      </c>
      <c r="H20" s="13">
        <v>28</v>
      </c>
      <c r="I20" s="31">
        <v>20000</v>
      </c>
      <c r="J20" s="5">
        <v>5742</v>
      </c>
      <c r="K20" s="15">
        <f>L20+2933+2588+4206+4685+2333</f>
        <v>22487</v>
      </c>
      <c r="L20" s="15">
        <f>2845+2897</f>
        <v>5742</v>
      </c>
      <c r="M20" s="15">
        <f t="shared" si="0"/>
        <v>5742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0.38020833333333337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34672</v>
      </c>
      <c r="K21" s="15">
        <f>30816+34860+35212</f>
        <v>100888</v>
      </c>
      <c r="L21" s="15">
        <f>8668*4</f>
        <v>34672</v>
      </c>
      <c r="M21" s="15">
        <f t="shared" si="0"/>
        <v>34672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0.38020833333333337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726500</v>
      </c>
      <c r="J22" s="19">
        <f t="shared" si="10"/>
        <v>86542</v>
      </c>
      <c r="K22" s="20">
        <f t="shared" si="10"/>
        <v>325500</v>
      </c>
      <c r="L22" s="21">
        <f t="shared" si="10"/>
        <v>62108</v>
      </c>
      <c r="M22" s="20">
        <f t="shared" si="10"/>
        <v>62108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146</v>
      </c>
      <c r="Q22" s="43">
        <f t="shared" si="11"/>
        <v>238</v>
      </c>
      <c r="R22" s="23">
        <f t="shared" si="11"/>
        <v>24</v>
      </c>
      <c r="S22" s="24">
        <f t="shared" si="11"/>
        <v>90</v>
      </c>
      <c r="T22" s="24">
        <f t="shared" si="11"/>
        <v>0</v>
      </c>
      <c r="U22" s="24">
        <f t="shared" si="11"/>
        <v>0</v>
      </c>
      <c r="V22" s="25">
        <f t="shared" si="11"/>
        <v>12</v>
      </c>
      <c r="W22" s="26">
        <f t="shared" si="11"/>
        <v>88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0.625</v>
      </c>
      <c r="AC22" s="4">
        <f>AVERAGE(AC6:AC21)</f>
        <v>0.38020833333333337</v>
      </c>
      <c r="AD22" s="4">
        <f>AVERAGE(AD6:AD21)</f>
        <v>0.38020833333333337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315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320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229" t="s">
        <v>46</v>
      </c>
      <c r="D51" s="229" t="s">
        <v>47</v>
      </c>
      <c r="E51" s="229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229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112</v>
      </c>
      <c r="B52" s="513"/>
      <c r="C52" s="230" t="s">
        <v>155</v>
      </c>
      <c r="D52" s="230" t="s">
        <v>217</v>
      </c>
      <c r="E52" s="231" t="s">
        <v>267</v>
      </c>
      <c r="F52" s="500" t="s">
        <v>316</v>
      </c>
      <c r="G52" s="501"/>
      <c r="H52" s="501"/>
      <c r="I52" s="501"/>
      <c r="J52" s="501"/>
      <c r="K52" s="501"/>
      <c r="L52" s="501"/>
      <c r="M52" s="502"/>
      <c r="N52" s="235" t="s">
        <v>119</v>
      </c>
      <c r="O52" s="237" t="s">
        <v>140</v>
      </c>
      <c r="P52" s="514" t="s">
        <v>144</v>
      </c>
      <c r="Q52" s="515"/>
      <c r="R52" s="514" t="s">
        <v>161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112</v>
      </c>
      <c r="B53" s="513"/>
      <c r="C53" s="230" t="s">
        <v>190</v>
      </c>
      <c r="D53" s="230" t="s">
        <v>115</v>
      </c>
      <c r="E53" s="231" t="s">
        <v>163</v>
      </c>
      <c r="F53" s="500" t="s">
        <v>317</v>
      </c>
      <c r="G53" s="501"/>
      <c r="H53" s="501"/>
      <c r="I53" s="501"/>
      <c r="J53" s="501"/>
      <c r="K53" s="501"/>
      <c r="L53" s="501"/>
      <c r="M53" s="502"/>
      <c r="N53" s="235" t="s">
        <v>121</v>
      </c>
      <c r="O53" s="237" t="s">
        <v>142</v>
      </c>
      <c r="P53" s="514" t="s">
        <v>115</v>
      </c>
      <c r="Q53" s="515"/>
      <c r="R53" s="514" t="s">
        <v>304</v>
      </c>
      <c r="S53" s="516"/>
      <c r="T53" s="516"/>
      <c r="U53" s="515"/>
      <c r="V53" s="487" t="s">
        <v>130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118</v>
      </c>
      <c r="B54" s="513"/>
      <c r="C54" s="230" t="s">
        <v>151</v>
      </c>
      <c r="D54" s="230" t="s">
        <v>129</v>
      </c>
      <c r="E54" s="231" t="s">
        <v>159</v>
      </c>
      <c r="F54" s="500" t="s">
        <v>318</v>
      </c>
      <c r="G54" s="501"/>
      <c r="H54" s="501"/>
      <c r="I54" s="501"/>
      <c r="J54" s="501"/>
      <c r="K54" s="501"/>
      <c r="L54" s="501"/>
      <c r="M54" s="502"/>
      <c r="N54" s="235" t="s">
        <v>112</v>
      </c>
      <c r="O54" s="237" t="s">
        <v>190</v>
      </c>
      <c r="P54" s="514" t="s">
        <v>115</v>
      </c>
      <c r="Q54" s="515"/>
      <c r="R54" s="514" t="s">
        <v>163</v>
      </c>
      <c r="S54" s="516"/>
      <c r="T54" s="516"/>
      <c r="U54" s="515"/>
      <c r="V54" s="487" t="s">
        <v>130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121</v>
      </c>
      <c r="B55" s="513"/>
      <c r="C55" s="230" t="s">
        <v>152</v>
      </c>
      <c r="D55" s="230"/>
      <c r="E55" s="231" t="s">
        <v>288</v>
      </c>
      <c r="F55" s="500" t="s">
        <v>319</v>
      </c>
      <c r="G55" s="501"/>
      <c r="H55" s="501"/>
      <c r="I55" s="501"/>
      <c r="J55" s="501"/>
      <c r="K55" s="501"/>
      <c r="L55" s="501"/>
      <c r="M55" s="502"/>
      <c r="N55" s="235" t="s">
        <v>119</v>
      </c>
      <c r="O55" s="237" t="s">
        <v>155</v>
      </c>
      <c r="P55" s="514" t="s">
        <v>322</v>
      </c>
      <c r="Q55" s="515"/>
      <c r="R55" s="514" t="s">
        <v>321</v>
      </c>
      <c r="S55" s="516"/>
      <c r="T55" s="516"/>
      <c r="U55" s="515"/>
      <c r="V55" s="487" t="s">
        <v>141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119</v>
      </c>
      <c r="B56" s="513"/>
      <c r="C56" s="230" t="s">
        <v>140</v>
      </c>
      <c r="D56" s="230" t="s">
        <v>144</v>
      </c>
      <c r="E56" s="231" t="s">
        <v>161</v>
      </c>
      <c r="F56" s="500" t="s">
        <v>202</v>
      </c>
      <c r="G56" s="501"/>
      <c r="H56" s="501"/>
      <c r="I56" s="501"/>
      <c r="J56" s="501"/>
      <c r="K56" s="501"/>
      <c r="L56" s="501"/>
      <c r="M56" s="502"/>
      <c r="N56" s="235" t="s">
        <v>119</v>
      </c>
      <c r="O56" s="237" t="s">
        <v>306</v>
      </c>
      <c r="P56" s="514" t="s">
        <v>323</v>
      </c>
      <c r="Q56" s="515"/>
      <c r="R56" s="514" t="s">
        <v>324</v>
      </c>
      <c r="S56" s="516"/>
      <c r="T56" s="516"/>
      <c r="U56" s="515"/>
      <c r="V56" s="487" t="s">
        <v>141</v>
      </c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121</v>
      </c>
      <c r="B57" s="513"/>
      <c r="C57" s="230" t="s">
        <v>142</v>
      </c>
      <c r="D57" s="230"/>
      <c r="E57" s="231" t="s">
        <v>304</v>
      </c>
      <c r="F57" s="500" t="s">
        <v>177</v>
      </c>
      <c r="G57" s="501"/>
      <c r="H57" s="501"/>
      <c r="I57" s="501"/>
      <c r="J57" s="501"/>
      <c r="K57" s="501"/>
      <c r="L57" s="501"/>
      <c r="M57" s="502"/>
      <c r="N57" s="235" t="s">
        <v>118</v>
      </c>
      <c r="O57" s="237" t="s">
        <v>151</v>
      </c>
      <c r="P57" s="514" t="s">
        <v>129</v>
      </c>
      <c r="Q57" s="515"/>
      <c r="R57" s="514" t="s">
        <v>159</v>
      </c>
      <c r="S57" s="516"/>
      <c r="T57" s="516"/>
      <c r="U57" s="515"/>
      <c r="V57" s="487" t="s">
        <v>130</v>
      </c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230"/>
      <c r="D58" s="230"/>
      <c r="E58" s="231"/>
      <c r="F58" s="500"/>
      <c r="G58" s="501"/>
      <c r="H58" s="501"/>
      <c r="I58" s="501"/>
      <c r="J58" s="501"/>
      <c r="K58" s="501"/>
      <c r="L58" s="501"/>
      <c r="M58" s="502"/>
      <c r="N58" s="235"/>
      <c r="O58" s="237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230"/>
      <c r="D59" s="230"/>
      <c r="E59" s="231"/>
      <c r="F59" s="500"/>
      <c r="G59" s="501"/>
      <c r="H59" s="501"/>
      <c r="I59" s="501"/>
      <c r="J59" s="501"/>
      <c r="K59" s="501"/>
      <c r="L59" s="501"/>
      <c r="M59" s="502"/>
      <c r="N59" s="235"/>
      <c r="O59" s="237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231"/>
      <c r="D60" s="231"/>
      <c r="E60" s="231"/>
      <c r="F60" s="500"/>
      <c r="G60" s="501"/>
      <c r="H60" s="501"/>
      <c r="I60" s="501"/>
      <c r="J60" s="501"/>
      <c r="K60" s="501"/>
      <c r="L60" s="501"/>
      <c r="M60" s="502"/>
      <c r="N60" s="235"/>
      <c r="O60" s="237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232"/>
      <c r="D61" s="233"/>
      <c r="E61" s="233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325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234" t="s">
        <v>2</v>
      </c>
      <c r="D63" s="234" t="s">
        <v>37</v>
      </c>
      <c r="E63" s="234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234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119</v>
      </c>
      <c r="D64" s="239"/>
      <c r="E64" s="236" t="s">
        <v>115</v>
      </c>
      <c r="F64" s="488" t="s">
        <v>308</v>
      </c>
      <c r="G64" s="489"/>
      <c r="H64" s="489"/>
      <c r="I64" s="489"/>
      <c r="J64" s="490"/>
      <c r="K64" s="476" t="s">
        <v>122</v>
      </c>
      <c r="L64" s="476"/>
      <c r="M64" s="51" t="s">
        <v>195</v>
      </c>
      <c r="N64" s="485" t="s">
        <v>190</v>
      </c>
      <c r="O64" s="485"/>
      <c r="P64" s="486">
        <v>200</v>
      </c>
      <c r="Q64" s="486"/>
      <c r="R64" s="487" t="s">
        <v>326</v>
      </c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118</v>
      </c>
      <c r="D65" s="239"/>
      <c r="E65" s="236" t="s">
        <v>115</v>
      </c>
      <c r="F65" s="488" t="s">
        <v>274</v>
      </c>
      <c r="G65" s="489"/>
      <c r="H65" s="489"/>
      <c r="I65" s="489"/>
      <c r="J65" s="490"/>
      <c r="K65" s="476" t="s">
        <v>145</v>
      </c>
      <c r="L65" s="476"/>
      <c r="M65" s="51" t="s">
        <v>195</v>
      </c>
      <c r="N65" s="485" t="s">
        <v>190</v>
      </c>
      <c r="O65" s="485"/>
      <c r="P65" s="486">
        <v>50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 t="s">
        <v>119</v>
      </c>
      <c r="D66" s="239"/>
      <c r="E66" s="236" t="s">
        <v>281</v>
      </c>
      <c r="F66" s="488" t="s">
        <v>327</v>
      </c>
      <c r="G66" s="489"/>
      <c r="H66" s="489"/>
      <c r="I66" s="489"/>
      <c r="J66" s="490"/>
      <c r="K66" s="476" t="s">
        <v>122</v>
      </c>
      <c r="L66" s="476"/>
      <c r="M66" s="51" t="s">
        <v>195</v>
      </c>
      <c r="N66" s="485" t="s">
        <v>306</v>
      </c>
      <c r="O66" s="485"/>
      <c r="P66" s="486">
        <v>200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 t="s">
        <v>121</v>
      </c>
      <c r="D67" s="239"/>
      <c r="E67" s="236"/>
      <c r="F67" s="488" t="s">
        <v>330</v>
      </c>
      <c r="G67" s="489"/>
      <c r="H67" s="489"/>
      <c r="I67" s="489"/>
      <c r="J67" s="490"/>
      <c r="K67" s="476" t="s">
        <v>146</v>
      </c>
      <c r="L67" s="476"/>
      <c r="M67" s="51" t="s">
        <v>331</v>
      </c>
      <c r="N67" s="485" t="s">
        <v>332</v>
      </c>
      <c r="O67" s="485"/>
      <c r="P67" s="486">
        <v>900</v>
      </c>
      <c r="Q67" s="486"/>
      <c r="R67" s="487" t="s">
        <v>333</v>
      </c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239"/>
      <c r="E68" s="236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239"/>
      <c r="E69" s="236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239"/>
      <c r="E70" s="236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239"/>
      <c r="E71" s="236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239"/>
      <c r="E72" s="236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239"/>
      <c r="E73" s="236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328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238" t="s">
        <v>2</v>
      </c>
      <c r="D75" s="238" t="s">
        <v>37</v>
      </c>
      <c r="E75" s="238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240" t="s">
        <v>112</v>
      </c>
      <c r="D76" s="240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239"/>
      <c r="D77" s="239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239"/>
      <c r="D78" s="239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239"/>
      <c r="D79" s="239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239"/>
      <c r="D80" s="239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239"/>
      <c r="D81" s="239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239"/>
      <c r="D82" s="239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329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F86D-0780-46E2-B721-4A11949DCEEE}">
  <dimension ref="A1:AF87"/>
  <sheetViews>
    <sheetView view="pageBreakPreview" zoomScale="70" zoomScaleNormal="72" zoomScaleSheetLayoutView="70" workbookViewId="0">
      <selection activeCell="F58" sqref="F58:M5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334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253" t="s">
        <v>17</v>
      </c>
      <c r="L5" s="253" t="s">
        <v>18</v>
      </c>
      <c r="M5" s="253" t="s">
        <v>19</v>
      </c>
      <c r="N5" s="25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212</v>
      </c>
      <c r="C6" s="34" t="s">
        <v>112</v>
      </c>
      <c r="D6" s="52" t="s">
        <v>213</v>
      </c>
      <c r="E6" s="53" t="s">
        <v>214</v>
      </c>
      <c r="F6" s="12" t="s">
        <v>126</v>
      </c>
      <c r="G6" s="12">
        <v>1</v>
      </c>
      <c r="H6" s="13">
        <v>24</v>
      </c>
      <c r="I6" s="31">
        <v>200</v>
      </c>
      <c r="J6" s="14">
        <v>690</v>
      </c>
      <c r="K6" s="15">
        <f>L6+690</f>
        <v>690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0.43750000000000006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2698</v>
      </c>
      <c r="K7" s="15">
        <f>L7+3683+2801+972+5614+6047+6028+2698</f>
        <v>27843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0.43750000000000006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45000</v>
      </c>
      <c r="J8" s="14">
        <v>1180</v>
      </c>
      <c r="K8" s="15">
        <f>L8+670+3737+4361+4739+3866+4536+4715+2163+4452+4746+4732+4731</f>
        <v>48628</v>
      </c>
      <c r="L8" s="15">
        <v>1180</v>
      </c>
      <c r="M8" s="15">
        <f t="shared" si="0"/>
        <v>1180</v>
      </c>
      <c r="N8" s="15">
        <v>0</v>
      </c>
      <c r="O8" s="58">
        <f t="shared" si="1"/>
        <v>0</v>
      </c>
      <c r="P8" s="39">
        <f t="shared" si="2"/>
        <v>6</v>
      </c>
      <c r="Q8" s="40">
        <f t="shared" si="3"/>
        <v>18</v>
      </c>
      <c r="R8" s="7"/>
      <c r="S8" s="6">
        <v>18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0.25</v>
      </c>
      <c r="AD8" s="10">
        <f t="shared" si="6"/>
        <v>0.25</v>
      </c>
      <c r="AE8" s="36">
        <f t="shared" si="7"/>
        <v>0.43750000000000006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335</v>
      </c>
      <c r="E9" s="53" t="s">
        <v>321</v>
      </c>
      <c r="F9" s="30" t="s">
        <v>122</v>
      </c>
      <c r="G9" s="33" t="s">
        <v>280</v>
      </c>
      <c r="H9" s="35">
        <v>24</v>
      </c>
      <c r="I9" s="7">
        <v>1500</v>
      </c>
      <c r="J9" s="5">
        <v>3813</v>
      </c>
      <c r="K9" s="15">
        <f>L9</f>
        <v>3813</v>
      </c>
      <c r="L9" s="15">
        <f>1758+2055</f>
        <v>3813</v>
      </c>
      <c r="M9" s="15">
        <f t="shared" si="0"/>
        <v>3813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/>
      <c r="T9" s="16"/>
      <c r="U9" s="16"/>
      <c r="V9" s="17"/>
      <c r="W9" s="5">
        <v>3</v>
      </c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>AC9*AB9*(1-O9)</f>
        <v>0.875</v>
      </c>
      <c r="AE9" s="36">
        <f t="shared" si="7"/>
        <v>0.43750000000000006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323</v>
      </c>
      <c r="E10" s="53" t="s">
        <v>324</v>
      </c>
      <c r="F10" s="30" t="s">
        <v>122</v>
      </c>
      <c r="G10" s="33">
        <v>1</v>
      </c>
      <c r="H10" s="35">
        <v>24</v>
      </c>
      <c r="I10" s="7">
        <v>1500</v>
      </c>
      <c r="J10" s="14">
        <v>2110</v>
      </c>
      <c r="K10" s="15">
        <f>L10</f>
        <v>2110</v>
      </c>
      <c r="L10" s="15">
        <f>2110</f>
        <v>2110</v>
      </c>
      <c r="M10" s="15">
        <f t="shared" si="0"/>
        <v>2110</v>
      </c>
      <c r="N10" s="15">
        <v>0</v>
      </c>
      <c r="O10" s="58">
        <f t="shared" si="1"/>
        <v>0</v>
      </c>
      <c r="P10" s="39">
        <f t="shared" si="2"/>
        <v>11</v>
      </c>
      <c r="Q10" s="40">
        <f t="shared" si="3"/>
        <v>13</v>
      </c>
      <c r="R10" s="7"/>
      <c r="S10" s="6"/>
      <c r="T10" s="16"/>
      <c r="U10" s="16"/>
      <c r="V10" s="17"/>
      <c r="W10" s="5">
        <v>13</v>
      </c>
      <c r="X10" s="16"/>
      <c r="Y10" s="16"/>
      <c r="Z10" s="16"/>
      <c r="AA10" s="18"/>
      <c r="AB10" s="8">
        <f t="shared" si="4"/>
        <v>1</v>
      </c>
      <c r="AC10" s="9">
        <f t="shared" si="5"/>
        <v>0.45833333333333331</v>
      </c>
      <c r="AD10" s="10">
        <f t="shared" ref="AD10:AD14" si="9">AC10*AB10*(1-O10)</f>
        <v>0.45833333333333331</v>
      </c>
      <c r="AE10" s="36">
        <f t="shared" si="7"/>
        <v>0.43750000000000006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0.43750000000000006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163</v>
      </c>
      <c r="F12" s="30" t="s">
        <v>164</v>
      </c>
      <c r="G12" s="12">
        <v>1</v>
      </c>
      <c r="H12" s="13">
        <v>20</v>
      </c>
      <c r="I12" s="31">
        <v>6000</v>
      </c>
      <c r="J12" s="5">
        <v>3064</v>
      </c>
      <c r="K12" s="15">
        <f>L12+824</f>
        <v>3888</v>
      </c>
      <c r="L12" s="15">
        <f>1924+1140</f>
        <v>3064</v>
      </c>
      <c r="M12" s="15">
        <f t="shared" si="0"/>
        <v>3064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9"/>
        <v>0.79166666666666663</v>
      </c>
      <c r="AE12" s="36">
        <f t="shared" si="7"/>
        <v>0.43750000000000006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4425</v>
      </c>
      <c r="K13" s="15">
        <f>L13+3081</f>
        <v>7506</v>
      </c>
      <c r="L13" s="15">
        <f>2720+1705</f>
        <v>4425</v>
      </c>
      <c r="M13" s="15">
        <f t="shared" si="0"/>
        <v>4425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7"/>
        <v>0.43750000000000006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0.43750000000000006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336</v>
      </c>
      <c r="D15" s="52" t="s">
        <v>337</v>
      </c>
      <c r="E15" s="53" t="s">
        <v>338</v>
      </c>
      <c r="F15" s="12" t="s">
        <v>339</v>
      </c>
      <c r="G15" s="12">
        <v>4</v>
      </c>
      <c r="H15" s="13">
        <v>24</v>
      </c>
      <c r="I15" s="31">
        <v>10000</v>
      </c>
      <c r="J15" s="14">
        <v>14216</v>
      </c>
      <c r="K15" s="15">
        <f>L15</f>
        <v>14216</v>
      </c>
      <c r="L15" s="15">
        <f>697*4+2857*4</f>
        <v>14216</v>
      </c>
      <c r="M15" s="15">
        <f t="shared" si="0"/>
        <v>14216</v>
      </c>
      <c r="N15" s="15">
        <v>0</v>
      </c>
      <c r="O15" s="58">
        <f t="shared" si="1"/>
        <v>0</v>
      </c>
      <c r="P15" s="39">
        <f t="shared" si="2"/>
        <v>17</v>
      </c>
      <c r="Q15" s="40">
        <f t="shared" si="3"/>
        <v>7</v>
      </c>
      <c r="R15" s="7"/>
      <c r="S15" s="6"/>
      <c r="T15" s="16">
        <v>7</v>
      </c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0.70833333333333337</v>
      </c>
      <c r="AD15" s="10">
        <f t="shared" si="6"/>
        <v>0.70833333333333337</v>
      </c>
      <c r="AE15" s="36">
        <f t="shared" si="7"/>
        <v>0.43750000000000006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0.43750000000000006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0.43750000000000006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304</v>
      </c>
      <c r="F18" s="30" t="s">
        <v>200</v>
      </c>
      <c r="G18" s="33">
        <v>1</v>
      </c>
      <c r="H18" s="35">
        <v>24</v>
      </c>
      <c r="I18" s="7">
        <v>5000</v>
      </c>
      <c r="J18" s="14">
        <v>3278</v>
      </c>
      <c r="K18" s="15">
        <f>L18+1600</f>
        <v>4878</v>
      </c>
      <c r="L18" s="15">
        <f>2724+554</f>
        <v>3278</v>
      </c>
      <c r="M18" s="15">
        <f t="shared" si="0"/>
        <v>3278</v>
      </c>
      <c r="N18" s="15">
        <v>0</v>
      </c>
      <c r="O18" s="58">
        <f t="shared" si="1"/>
        <v>0</v>
      </c>
      <c r="P18" s="39">
        <f t="shared" si="2"/>
        <v>15</v>
      </c>
      <c r="Q18" s="40">
        <f t="shared" si="3"/>
        <v>9</v>
      </c>
      <c r="R18" s="7"/>
      <c r="S18" s="6">
        <v>9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0.625</v>
      </c>
      <c r="AD18" s="10">
        <f t="shared" si="6"/>
        <v>0.625</v>
      </c>
      <c r="AE18" s="36">
        <f t="shared" si="7"/>
        <v>0.43750000000000006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159</v>
      </c>
      <c r="F19" s="30" t="s">
        <v>160</v>
      </c>
      <c r="G19" s="33">
        <v>1</v>
      </c>
      <c r="H19" s="35">
        <v>24</v>
      </c>
      <c r="I19" s="7">
        <v>37000</v>
      </c>
      <c r="J19" s="14">
        <v>4938</v>
      </c>
      <c r="K19" s="15">
        <f>L19+2899+5033+5215+3784</f>
        <v>21869</v>
      </c>
      <c r="L19" s="15">
        <f>2869+2069</f>
        <v>4938</v>
      </c>
      <c r="M19" s="15">
        <f t="shared" si="0"/>
        <v>4938</v>
      </c>
      <c r="N19" s="15">
        <v>0</v>
      </c>
      <c r="O19" s="58">
        <f t="shared" si="1"/>
        <v>0</v>
      </c>
      <c r="P19" s="39">
        <f t="shared" si="2"/>
        <v>22</v>
      </c>
      <c r="Q19" s="40">
        <f t="shared" si="3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6">
        <f t="shared" si="7"/>
        <v>0.43750000000000006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118</v>
      </c>
      <c r="D20" s="52" t="s">
        <v>115</v>
      </c>
      <c r="E20" s="53" t="s">
        <v>167</v>
      </c>
      <c r="F20" s="30" t="s">
        <v>160</v>
      </c>
      <c r="G20" s="12">
        <v>1</v>
      </c>
      <c r="H20" s="13">
        <v>28</v>
      </c>
      <c r="I20" s="31">
        <v>20000</v>
      </c>
      <c r="J20" s="5">
        <v>5759</v>
      </c>
      <c r="K20" s="15">
        <f>L20+2933+2588+4206+4685+2333+5742</f>
        <v>28246</v>
      </c>
      <c r="L20" s="15">
        <f>2890+2869</f>
        <v>5759</v>
      </c>
      <c r="M20" s="15">
        <f t="shared" si="0"/>
        <v>5759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0.43750000000000006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33032</v>
      </c>
      <c r="K21" s="15">
        <f>30816+34860+35212+34672</f>
        <v>135560</v>
      </c>
      <c r="L21" s="15">
        <f>8258*4</f>
        <v>33032</v>
      </c>
      <c r="M21" s="15">
        <f t="shared" si="0"/>
        <v>33032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0.43750000000000006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744000</v>
      </c>
      <c r="J22" s="19">
        <f t="shared" si="10"/>
        <v>99980</v>
      </c>
      <c r="K22" s="20">
        <f t="shared" si="10"/>
        <v>387122</v>
      </c>
      <c r="L22" s="21">
        <f t="shared" si="10"/>
        <v>75815</v>
      </c>
      <c r="M22" s="20">
        <f t="shared" si="10"/>
        <v>75815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168</v>
      </c>
      <c r="Q22" s="43">
        <f t="shared" si="11"/>
        <v>216</v>
      </c>
      <c r="R22" s="23">
        <f t="shared" si="11"/>
        <v>24</v>
      </c>
      <c r="S22" s="24">
        <f t="shared" si="11"/>
        <v>85</v>
      </c>
      <c r="T22" s="24">
        <f t="shared" si="11"/>
        <v>7</v>
      </c>
      <c r="U22" s="24">
        <f t="shared" si="11"/>
        <v>0</v>
      </c>
      <c r="V22" s="25">
        <f t="shared" si="11"/>
        <v>12</v>
      </c>
      <c r="W22" s="26">
        <f t="shared" si="11"/>
        <v>64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0.625</v>
      </c>
      <c r="AC22" s="4">
        <f>AVERAGE(AC6:AC21)</f>
        <v>0.43750000000000006</v>
      </c>
      <c r="AD22" s="4">
        <f>AVERAGE(AD6:AD21)</f>
        <v>0.43750000000000006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340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343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252" t="s">
        <v>46</v>
      </c>
      <c r="D51" s="252" t="s">
        <v>47</v>
      </c>
      <c r="E51" s="252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252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119</v>
      </c>
      <c r="B52" s="513"/>
      <c r="C52" s="251" t="s">
        <v>155</v>
      </c>
      <c r="D52" s="251" t="s">
        <v>322</v>
      </c>
      <c r="E52" s="248" t="s">
        <v>321</v>
      </c>
      <c r="F52" s="500" t="s">
        <v>141</v>
      </c>
      <c r="G52" s="501"/>
      <c r="H52" s="501"/>
      <c r="I52" s="501"/>
      <c r="J52" s="501"/>
      <c r="K52" s="501"/>
      <c r="L52" s="501"/>
      <c r="M52" s="502"/>
      <c r="N52" s="247" t="s">
        <v>121</v>
      </c>
      <c r="O52" s="245" t="s">
        <v>142</v>
      </c>
      <c r="P52" s="514" t="s">
        <v>115</v>
      </c>
      <c r="Q52" s="515"/>
      <c r="R52" s="514" t="s">
        <v>304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112</v>
      </c>
      <c r="B53" s="513"/>
      <c r="C53" s="251" t="s">
        <v>190</v>
      </c>
      <c r="D53" s="251" t="s">
        <v>115</v>
      </c>
      <c r="E53" s="248" t="s">
        <v>163</v>
      </c>
      <c r="F53" s="500" t="s">
        <v>130</v>
      </c>
      <c r="G53" s="501"/>
      <c r="H53" s="501"/>
      <c r="I53" s="501"/>
      <c r="J53" s="501"/>
      <c r="K53" s="501"/>
      <c r="L53" s="501"/>
      <c r="M53" s="502"/>
      <c r="N53" s="247" t="s">
        <v>118</v>
      </c>
      <c r="O53" s="245" t="s">
        <v>151</v>
      </c>
      <c r="P53" s="514" t="s">
        <v>129</v>
      </c>
      <c r="Q53" s="515"/>
      <c r="R53" s="514" t="s">
        <v>159</v>
      </c>
      <c r="S53" s="516"/>
      <c r="T53" s="516"/>
      <c r="U53" s="515"/>
      <c r="V53" s="487" t="s">
        <v>130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118</v>
      </c>
      <c r="B54" s="513"/>
      <c r="C54" s="251" t="s">
        <v>151</v>
      </c>
      <c r="D54" s="251" t="s">
        <v>129</v>
      </c>
      <c r="E54" s="248" t="s">
        <v>159</v>
      </c>
      <c r="F54" s="500" t="s">
        <v>341</v>
      </c>
      <c r="G54" s="501"/>
      <c r="H54" s="501"/>
      <c r="I54" s="501"/>
      <c r="J54" s="501"/>
      <c r="K54" s="501"/>
      <c r="L54" s="501"/>
      <c r="M54" s="502"/>
      <c r="N54" s="247"/>
      <c r="O54" s="245"/>
      <c r="P54" s="514"/>
      <c r="Q54" s="515"/>
      <c r="R54" s="514"/>
      <c r="S54" s="516"/>
      <c r="T54" s="516"/>
      <c r="U54" s="515"/>
      <c r="V54" s="487"/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121</v>
      </c>
      <c r="B55" s="513"/>
      <c r="C55" s="251" t="s">
        <v>152</v>
      </c>
      <c r="D55" s="251"/>
      <c r="E55" s="248" t="s">
        <v>288</v>
      </c>
      <c r="F55" s="500" t="s">
        <v>342</v>
      </c>
      <c r="G55" s="501"/>
      <c r="H55" s="501"/>
      <c r="I55" s="501"/>
      <c r="J55" s="501"/>
      <c r="K55" s="501"/>
      <c r="L55" s="501"/>
      <c r="M55" s="502"/>
      <c r="N55" s="247"/>
      <c r="O55" s="245"/>
      <c r="P55" s="514"/>
      <c r="Q55" s="515"/>
      <c r="R55" s="514"/>
      <c r="S55" s="516"/>
      <c r="T55" s="516"/>
      <c r="U55" s="515"/>
      <c r="V55" s="487"/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119</v>
      </c>
      <c r="B56" s="513"/>
      <c r="C56" s="251" t="s">
        <v>306</v>
      </c>
      <c r="D56" s="251" t="s">
        <v>323</v>
      </c>
      <c r="E56" s="248" t="s">
        <v>324</v>
      </c>
      <c r="F56" s="500" t="s">
        <v>141</v>
      </c>
      <c r="G56" s="501"/>
      <c r="H56" s="501"/>
      <c r="I56" s="501"/>
      <c r="J56" s="501"/>
      <c r="K56" s="501"/>
      <c r="L56" s="501"/>
      <c r="M56" s="502"/>
      <c r="N56" s="247"/>
      <c r="O56" s="245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121</v>
      </c>
      <c r="B57" s="513"/>
      <c r="C57" s="251" t="s">
        <v>142</v>
      </c>
      <c r="D57" s="251"/>
      <c r="E57" s="248" t="s">
        <v>304</v>
      </c>
      <c r="F57" s="500" t="s">
        <v>203</v>
      </c>
      <c r="G57" s="501"/>
      <c r="H57" s="501"/>
      <c r="I57" s="501"/>
      <c r="J57" s="501"/>
      <c r="K57" s="501"/>
      <c r="L57" s="501"/>
      <c r="M57" s="502"/>
      <c r="N57" s="247"/>
      <c r="O57" s="245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 t="s">
        <v>336</v>
      </c>
      <c r="B58" s="513"/>
      <c r="C58" s="251" t="s">
        <v>269</v>
      </c>
      <c r="D58" s="251" t="s">
        <v>337</v>
      </c>
      <c r="E58" s="248" t="s">
        <v>338</v>
      </c>
      <c r="F58" s="500" t="s">
        <v>141</v>
      </c>
      <c r="G58" s="501"/>
      <c r="H58" s="501"/>
      <c r="I58" s="501"/>
      <c r="J58" s="501"/>
      <c r="K58" s="501"/>
      <c r="L58" s="501"/>
      <c r="M58" s="502"/>
      <c r="N58" s="247"/>
      <c r="O58" s="245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251"/>
      <c r="D59" s="251"/>
      <c r="E59" s="248"/>
      <c r="F59" s="500"/>
      <c r="G59" s="501"/>
      <c r="H59" s="501"/>
      <c r="I59" s="501"/>
      <c r="J59" s="501"/>
      <c r="K59" s="501"/>
      <c r="L59" s="501"/>
      <c r="M59" s="502"/>
      <c r="N59" s="247"/>
      <c r="O59" s="245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248"/>
      <c r="D60" s="248"/>
      <c r="E60" s="248"/>
      <c r="F60" s="500"/>
      <c r="G60" s="501"/>
      <c r="H60" s="501"/>
      <c r="I60" s="501"/>
      <c r="J60" s="501"/>
      <c r="K60" s="501"/>
      <c r="L60" s="501"/>
      <c r="M60" s="502"/>
      <c r="N60" s="247"/>
      <c r="O60" s="245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249"/>
      <c r="D61" s="250"/>
      <c r="E61" s="250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344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246" t="s">
        <v>2</v>
      </c>
      <c r="D63" s="246" t="s">
        <v>37</v>
      </c>
      <c r="E63" s="246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246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119</v>
      </c>
      <c r="D64" s="241"/>
      <c r="E64" s="244" t="s">
        <v>144</v>
      </c>
      <c r="F64" s="488" t="s">
        <v>309</v>
      </c>
      <c r="G64" s="489"/>
      <c r="H64" s="489"/>
      <c r="I64" s="489"/>
      <c r="J64" s="490"/>
      <c r="K64" s="476" t="s">
        <v>145</v>
      </c>
      <c r="L64" s="476"/>
      <c r="M64" s="51" t="s">
        <v>195</v>
      </c>
      <c r="N64" s="485" t="s">
        <v>143</v>
      </c>
      <c r="O64" s="485"/>
      <c r="P64" s="486"/>
      <c r="Q64" s="486"/>
      <c r="R64" s="487" t="s">
        <v>311</v>
      </c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119</v>
      </c>
      <c r="D65" s="241"/>
      <c r="E65" s="244" t="s">
        <v>129</v>
      </c>
      <c r="F65" s="488" t="s">
        <v>345</v>
      </c>
      <c r="G65" s="489"/>
      <c r="H65" s="489"/>
      <c r="I65" s="489"/>
      <c r="J65" s="490"/>
      <c r="K65" s="476" t="s">
        <v>122</v>
      </c>
      <c r="L65" s="476"/>
      <c r="M65" s="51" t="s">
        <v>195</v>
      </c>
      <c r="N65" s="485" t="s">
        <v>306</v>
      </c>
      <c r="O65" s="485"/>
      <c r="P65" s="486"/>
      <c r="Q65" s="486"/>
      <c r="R65" s="487" t="s">
        <v>346</v>
      </c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241"/>
      <c r="E66" s="244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241"/>
      <c r="E67" s="244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241"/>
      <c r="E68" s="244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241"/>
      <c r="E69" s="244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241"/>
      <c r="E70" s="244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241"/>
      <c r="E71" s="244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241"/>
      <c r="E72" s="244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241"/>
      <c r="E73" s="244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347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243" t="s">
        <v>2</v>
      </c>
      <c r="D75" s="243" t="s">
        <v>37</v>
      </c>
      <c r="E75" s="243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242" t="s">
        <v>112</v>
      </c>
      <c r="D76" s="242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241"/>
      <c r="D77" s="241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241"/>
      <c r="D78" s="241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241"/>
      <c r="D79" s="241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241"/>
      <c r="D80" s="241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241"/>
      <c r="D81" s="241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241"/>
      <c r="D82" s="241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348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40BE-CE20-47CF-9586-70342904EB53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349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254" t="s">
        <v>17</v>
      </c>
      <c r="L5" s="254" t="s">
        <v>18</v>
      </c>
      <c r="M5" s="254" t="s">
        <v>19</v>
      </c>
      <c r="N5" s="25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212</v>
      </c>
      <c r="C6" s="34" t="s">
        <v>112</v>
      </c>
      <c r="D6" s="52" t="s">
        <v>213</v>
      </c>
      <c r="E6" s="53" t="s">
        <v>214</v>
      </c>
      <c r="F6" s="12" t="s">
        <v>126</v>
      </c>
      <c r="G6" s="12">
        <v>1</v>
      </c>
      <c r="H6" s="13">
        <v>24</v>
      </c>
      <c r="I6" s="31">
        <v>200</v>
      </c>
      <c r="J6" s="14">
        <v>690</v>
      </c>
      <c r="K6" s="15">
        <f>L6+690</f>
        <v>690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0.33072916666666669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2698</v>
      </c>
      <c r="K7" s="15">
        <f>L7+3683+2801+972+5614+6047+6028+2698</f>
        <v>27843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0.33072916666666669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45000</v>
      </c>
      <c r="J8" s="14">
        <v>1180</v>
      </c>
      <c r="K8" s="15">
        <f>L8+670+3737+4361+4739+3866+4536+4715+2163+4452+4746+4732+4731+1180</f>
        <v>48628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0.33072916666666669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335</v>
      </c>
      <c r="E9" s="53" t="s">
        <v>321</v>
      </c>
      <c r="F9" s="30" t="s">
        <v>122</v>
      </c>
      <c r="G9" s="33" t="s">
        <v>280</v>
      </c>
      <c r="H9" s="35">
        <v>24</v>
      </c>
      <c r="I9" s="7">
        <v>1500</v>
      </c>
      <c r="J9" s="5">
        <v>3813</v>
      </c>
      <c r="K9" s="15">
        <f>L9+3813</f>
        <v>3813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>AC9*AB9*(1-O9)</f>
        <v>0</v>
      </c>
      <c r="AE9" s="36">
        <f t="shared" si="7"/>
        <v>0.33072916666666669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323</v>
      </c>
      <c r="E10" s="53" t="s">
        <v>324</v>
      </c>
      <c r="F10" s="30" t="s">
        <v>122</v>
      </c>
      <c r="G10" s="33">
        <v>1</v>
      </c>
      <c r="H10" s="35">
        <v>24</v>
      </c>
      <c r="I10" s="7">
        <v>1500</v>
      </c>
      <c r="J10" s="14">
        <v>2110</v>
      </c>
      <c r="K10" s="15">
        <f>L10+2110</f>
        <v>2110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ref="AD10:AD14" si="9">AC10*AB10*(1-O10)</f>
        <v>0</v>
      </c>
      <c r="AE10" s="36">
        <f t="shared" si="7"/>
        <v>0.33072916666666669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0.33072916666666669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163</v>
      </c>
      <c r="F12" s="30" t="s">
        <v>164</v>
      </c>
      <c r="G12" s="12">
        <v>1</v>
      </c>
      <c r="H12" s="13">
        <v>20</v>
      </c>
      <c r="I12" s="31">
        <v>6000</v>
      </c>
      <c r="J12" s="5">
        <v>3570</v>
      </c>
      <c r="K12" s="15">
        <f>L12+824+3064</f>
        <v>7458</v>
      </c>
      <c r="L12" s="15">
        <f>1860+1710</f>
        <v>3570</v>
      </c>
      <c r="M12" s="15">
        <f t="shared" si="0"/>
        <v>3570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0.33072916666666669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5156</v>
      </c>
      <c r="K13" s="15">
        <f>L13+3081+4425</f>
        <v>12662</v>
      </c>
      <c r="L13" s="15">
        <f>2625+2531</f>
        <v>5156</v>
      </c>
      <c r="M13" s="15">
        <f t="shared" si="0"/>
        <v>5156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0.33072916666666669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0.33072916666666669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336</v>
      </c>
      <c r="D15" s="52" t="s">
        <v>337</v>
      </c>
      <c r="E15" s="53" t="s">
        <v>338</v>
      </c>
      <c r="F15" s="12" t="s">
        <v>339</v>
      </c>
      <c r="G15" s="12">
        <v>4</v>
      </c>
      <c r="H15" s="13">
        <v>24</v>
      </c>
      <c r="I15" s="31">
        <v>10000</v>
      </c>
      <c r="J15" s="14">
        <v>20236</v>
      </c>
      <c r="K15" s="15">
        <f>L15+14216</f>
        <v>34452</v>
      </c>
      <c r="L15" s="15">
        <f>2373*4+2686*4</f>
        <v>20236</v>
      </c>
      <c r="M15" s="15">
        <f t="shared" si="0"/>
        <v>20236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0.33072916666666669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0.33072916666666669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0.33072916666666669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304</v>
      </c>
      <c r="F18" s="30" t="s">
        <v>200</v>
      </c>
      <c r="G18" s="33">
        <v>1</v>
      </c>
      <c r="H18" s="35">
        <v>24</v>
      </c>
      <c r="I18" s="7">
        <v>5000</v>
      </c>
      <c r="J18" s="14">
        <v>3278</v>
      </c>
      <c r="K18" s="15">
        <f>L18+1600+3278</f>
        <v>4878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0.33072916666666669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159</v>
      </c>
      <c r="F19" s="30" t="s">
        <v>160</v>
      </c>
      <c r="G19" s="33">
        <v>1</v>
      </c>
      <c r="H19" s="35">
        <v>24</v>
      </c>
      <c r="I19" s="7">
        <v>37000</v>
      </c>
      <c r="J19" s="14">
        <v>5470</v>
      </c>
      <c r="K19" s="15">
        <f>L19+2899+5033+5215+3784+4938</f>
        <v>27339</v>
      </c>
      <c r="L19" s="15">
        <f>2787+2683</f>
        <v>5470</v>
      </c>
      <c r="M19" s="15">
        <f t="shared" si="0"/>
        <v>5470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0.33072916666666669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118</v>
      </c>
      <c r="D20" s="52" t="s">
        <v>115</v>
      </c>
      <c r="E20" s="53" t="s">
        <v>167</v>
      </c>
      <c r="F20" s="30" t="s">
        <v>160</v>
      </c>
      <c r="G20" s="12">
        <v>1</v>
      </c>
      <c r="H20" s="13">
        <v>28</v>
      </c>
      <c r="I20" s="31">
        <v>20000</v>
      </c>
      <c r="J20" s="5">
        <v>4429</v>
      </c>
      <c r="K20" s="15">
        <f>L20+2933+2588+4206+4685+2333+5742+5759</f>
        <v>32675</v>
      </c>
      <c r="L20" s="15">
        <f>2813+1616</f>
        <v>4429</v>
      </c>
      <c r="M20" s="15">
        <f t="shared" si="0"/>
        <v>4429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0.33072916666666669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29240</v>
      </c>
      <c r="K21" s="15">
        <f>30816+34860+35212+34672+33032</f>
        <v>168592</v>
      </c>
      <c r="L21" s="15">
        <f>7310*4</f>
        <v>29240</v>
      </c>
      <c r="M21" s="15">
        <f t="shared" si="0"/>
        <v>29240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0.33072916666666669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744000</v>
      </c>
      <c r="J22" s="19">
        <f t="shared" si="10"/>
        <v>102647</v>
      </c>
      <c r="K22" s="20">
        <f t="shared" si="10"/>
        <v>459015</v>
      </c>
      <c r="L22" s="21">
        <f t="shared" si="10"/>
        <v>68101</v>
      </c>
      <c r="M22" s="20">
        <f t="shared" si="10"/>
        <v>68101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127</v>
      </c>
      <c r="Q22" s="43">
        <f t="shared" si="11"/>
        <v>257</v>
      </c>
      <c r="R22" s="23">
        <f t="shared" si="11"/>
        <v>24</v>
      </c>
      <c r="S22" s="24">
        <f t="shared" si="11"/>
        <v>75</v>
      </c>
      <c r="T22" s="24">
        <f t="shared" si="11"/>
        <v>0</v>
      </c>
      <c r="U22" s="24">
        <f t="shared" si="11"/>
        <v>0</v>
      </c>
      <c r="V22" s="25">
        <f t="shared" si="11"/>
        <v>14</v>
      </c>
      <c r="W22" s="26">
        <f t="shared" si="11"/>
        <v>120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0.375</v>
      </c>
      <c r="AC22" s="4">
        <f>AVERAGE(AC6:AC21)</f>
        <v>0.33072916666666669</v>
      </c>
      <c r="AD22" s="4">
        <f>AVERAGE(AD6:AD21)</f>
        <v>0.33072916666666669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350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352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255" t="s">
        <v>46</v>
      </c>
      <c r="D51" s="255" t="s">
        <v>47</v>
      </c>
      <c r="E51" s="255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255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118</v>
      </c>
      <c r="B52" s="513"/>
      <c r="C52" s="256" t="s">
        <v>180</v>
      </c>
      <c r="D52" s="256" t="s">
        <v>115</v>
      </c>
      <c r="E52" s="257" t="s">
        <v>167</v>
      </c>
      <c r="F52" s="500" t="s">
        <v>202</v>
      </c>
      <c r="G52" s="501"/>
      <c r="H52" s="501"/>
      <c r="I52" s="501"/>
      <c r="J52" s="501"/>
      <c r="K52" s="501"/>
      <c r="L52" s="501"/>
      <c r="M52" s="502"/>
      <c r="N52" s="261" t="s">
        <v>121</v>
      </c>
      <c r="O52" s="263" t="s">
        <v>142</v>
      </c>
      <c r="P52" s="514" t="s">
        <v>115</v>
      </c>
      <c r="Q52" s="515"/>
      <c r="R52" s="514" t="s">
        <v>304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112</v>
      </c>
      <c r="B53" s="513"/>
      <c r="C53" s="256" t="s">
        <v>190</v>
      </c>
      <c r="D53" s="256" t="s">
        <v>115</v>
      </c>
      <c r="E53" s="257" t="s">
        <v>163</v>
      </c>
      <c r="F53" s="500" t="s">
        <v>351</v>
      </c>
      <c r="G53" s="501"/>
      <c r="H53" s="501"/>
      <c r="I53" s="501"/>
      <c r="J53" s="501"/>
      <c r="K53" s="501"/>
      <c r="L53" s="501"/>
      <c r="M53" s="502"/>
      <c r="N53" s="261" t="s">
        <v>118</v>
      </c>
      <c r="O53" s="263" t="s">
        <v>151</v>
      </c>
      <c r="P53" s="514" t="s">
        <v>129</v>
      </c>
      <c r="Q53" s="515"/>
      <c r="R53" s="514" t="s">
        <v>159</v>
      </c>
      <c r="S53" s="516"/>
      <c r="T53" s="516"/>
      <c r="U53" s="515"/>
      <c r="V53" s="487" t="s">
        <v>130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/>
      <c r="B54" s="513"/>
      <c r="C54" s="256"/>
      <c r="D54" s="256"/>
      <c r="E54" s="257"/>
      <c r="F54" s="500"/>
      <c r="G54" s="501"/>
      <c r="H54" s="501"/>
      <c r="I54" s="501"/>
      <c r="J54" s="501"/>
      <c r="K54" s="501"/>
      <c r="L54" s="501"/>
      <c r="M54" s="502"/>
      <c r="N54" s="261" t="s">
        <v>119</v>
      </c>
      <c r="O54" s="263" t="s">
        <v>143</v>
      </c>
      <c r="P54" s="514" t="s">
        <v>353</v>
      </c>
      <c r="Q54" s="515"/>
      <c r="R54" s="514"/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/>
      <c r="B55" s="513"/>
      <c r="C55" s="256"/>
      <c r="D55" s="256"/>
      <c r="E55" s="257"/>
      <c r="F55" s="500"/>
      <c r="G55" s="501"/>
      <c r="H55" s="501"/>
      <c r="I55" s="501"/>
      <c r="J55" s="501"/>
      <c r="K55" s="501"/>
      <c r="L55" s="501"/>
      <c r="M55" s="502"/>
      <c r="N55" s="261" t="s">
        <v>119</v>
      </c>
      <c r="O55" s="263" t="s">
        <v>140</v>
      </c>
      <c r="P55" s="514" t="s">
        <v>144</v>
      </c>
      <c r="Q55" s="515"/>
      <c r="R55" s="514" t="s">
        <v>161</v>
      </c>
      <c r="S55" s="516"/>
      <c r="T55" s="516"/>
      <c r="U55" s="515"/>
      <c r="V55" s="487" t="s">
        <v>130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/>
      <c r="B56" s="513"/>
      <c r="C56" s="256"/>
      <c r="D56" s="256"/>
      <c r="E56" s="257"/>
      <c r="F56" s="500"/>
      <c r="G56" s="501"/>
      <c r="H56" s="501"/>
      <c r="I56" s="501"/>
      <c r="J56" s="501"/>
      <c r="K56" s="501"/>
      <c r="L56" s="501"/>
      <c r="M56" s="502"/>
      <c r="N56" s="261" t="s">
        <v>336</v>
      </c>
      <c r="O56" s="263" t="s">
        <v>155</v>
      </c>
      <c r="P56" s="514" t="s">
        <v>355</v>
      </c>
      <c r="Q56" s="515"/>
      <c r="R56" s="514" t="s">
        <v>354</v>
      </c>
      <c r="S56" s="516"/>
      <c r="T56" s="516"/>
      <c r="U56" s="515"/>
      <c r="V56" s="487" t="s">
        <v>141</v>
      </c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/>
      <c r="B57" s="513"/>
      <c r="C57" s="256"/>
      <c r="D57" s="256"/>
      <c r="E57" s="257"/>
      <c r="F57" s="500"/>
      <c r="G57" s="501"/>
      <c r="H57" s="501"/>
      <c r="I57" s="501"/>
      <c r="J57" s="501"/>
      <c r="K57" s="501"/>
      <c r="L57" s="501"/>
      <c r="M57" s="502"/>
      <c r="N57" s="261" t="s">
        <v>119</v>
      </c>
      <c r="O57" s="263" t="s">
        <v>180</v>
      </c>
      <c r="P57" s="514" t="s">
        <v>115</v>
      </c>
      <c r="Q57" s="515"/>
      <c r="R57" s="514" t="s">
        <v>153</v>
      </c>
      <c r="S57" s="516"/>
      <c r="T57" s="516"/>
      <c r="U57" s="515"/>
      <c r="V57" s="487" t="s">
        <v>141</v>
      </c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256"/>
      <c r="D58" s="256"/>
      <c r="E58" s="257"/>
      <c r="F58" s="500"/>
      <c r="G58" s="501"/>
      <c r="H58" s="501"/>
      <c r="I58" s="501"/>
      <c r="J58" s="501"/>
      <c r="K58" s="501"/>
      <c r="L58" s="501"/>
      <c r="M58" s="502"/>
      <c r="N58" s="261"/>
      <c r="O58" s="263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256"/>
      <c r="D59" s="256"/>
      <c r="E59" s="257"/>
      <c r="F59" s="500"/>
      <c r="G59" s="501"/>
      <c r="H59" s="501"/>
      <c r="I59" s="501"/>
      <c r="J59" s="501"/>
      <c r="K59" s="501"/>
      <c r="L59" s="501"/>
      <c r="M59" s="502"/>
      <c r="N59" s="261"/>
      <c r="O59" s="263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257"/>
      <c r="D60" s="257"/>
      <c r="E60" s="257"/>
      <c r="F60" s="500"/>
      <c r="G60" s="501"/>
      <c r="H60" s="501"/>
      <c r="I60" s="501"/>
      <c r="J60" s="501"/>
      <c r="K60" s="501"/>
      <c r="L60" s="501"/>
      <c r="M60" s="502"/>
      <c r="N60" s="261"/>
      <c r="O60" s="263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258"/>
      <c r="D61" s="259"/>
      <c r="E61" s="259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356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260" t="s">
        <v>2</v>
      </c>
      <c r="D63" s="260" t="s">
        <v>37</v>
      </c>
      <c r="E63" s="260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260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/>
      <c r="D64" s="265"/>
      <c r="E64" s="262"/>
      <c r="F64" s="488"/>
      <c r="G64" s="489"/>
      <c r="H64" s="489"/>
      <c r="I64" s="489"/>
      <c r="J64" s="490"/>
      <c r="K64" s="476"/>
      <c r="L64" s="476"/>
      <c r="M64" s="51"/>
      <c r="N64" s="485"/>
      <c r="O64" s="48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/>
      <c r="D65" s="265"/>
      <c r="E65" s="262"/>
      <c r="F65" s="488"/>
      <c r="G65" s="489"/>
      <c r="H65" s="489"/>
      <c r="I65" s="489"/>
      <c r="J65" s="490"/>
      <c r="K65" s="476"/>
      <c r="L65" s="476"/>
      <c r="M65" s="51"/>
      <c r="N65" s="485"/>
      <c r="O65" s="48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265"/>
      <c r="E66" s="262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265"/>
      <c r="E67" s="262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265"/>
      <c r="E68" s="262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265"/>
      <c r="E69" s="262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265"/>
      <c r="E70" s="262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265"/>
      <c r="E71" s="262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265"/>
      <c r="E72" s="262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265"/>
      <c r="E73" s="262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357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264" t="s">
        <v>2</v>
      </c>
      <c r="D75" s="264" t="s">
        <v>37</v>
      </c>
      <c r="E75" s="264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266" t="s">
        <v>112</v>
      </c>
      <c r="D76" s="266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265"/>
      <c r="D77" s="265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265"/>
      <c r="D78" s="265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265"/>
      <c r="D79" s="265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265"/>
      <c r="D80" s="265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265"/>
      <c r="D81" s="265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265"/>
      <c r="D82" s="265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358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3B0-F442-4BA9-8BA1-370D6A408C90}">
  <dimension ref="A1:AF87"/>
  <sheetViews>
    <sheetView view="pageBreakPreview" zoomScale="70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359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279" t="s">
        <v>17</v>
      </c>
      <c r="L5" s="279" t="s">
        <v>18</v>
      </c>
      <c r="M5" s="279" t="s">
        <v>19</v>
      </c>
      <c r="N5" s="27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353</v>
      </c>
      <c r="E6" s="53" t="s">
        <v>360</v>
      </c>
      <c r="F6" s="12" t="s">
        <v>361</v>
      </c>
      <c r="G6" s="12">
        <v>5</v>
      </c>
      <c r="H6" s="13">
        <v>24</v>
      </c>
      <c r="I6" s="31">
        <v>100000</v>
      </c>
      <c r="J6" s="14">
        <v>31240</v>
      </c>
      <c r="K6" s="15">
        <f>L6</f>
        <v>31240</v>
      </c>
      <c r="L6" s="15">
        <f>3557*5+2691*5</f>
        <v>31240</v>
      </c>
      <c r="M6" s="15">
        <f t="shared" ref="M6:M21" si="0">L6-N6</f>
        <v>31240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0.44531249999999994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2698</v>
      </c>
      <c r="K7" s="15">
        <f>L7+3683+2801+972+5614+6047+6028+2698</f>
        <v>27843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0.44531249999999994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45000</v>
      </c>
      <c r="J8" s="14">
        <v>1180</v>
      </c>
      <c r="K8" s="15">
        <f>L8+670+3737+4361+4739+3866+4536+4715+2163+4452+4746+4732+4731+1180</f>
        <v>48628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0.44531249999999994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336</v>
      </c>
      <c r="D9" s="52" t="s">
        <v>132</v>
      </c>
      <c r="E9" s="53" t="s">
        <v>354</v>
      </c>
      <c r="F9" s="30" t="s">
        <v>362</v>
      </c>
      <c r="G9" s="33">
        <v>2</v>
      </c>
      <c r="H9" s="35">
        <v>24</v>
      </c>
      <c r="I9" s="7">
        <v>5000</v>
      </c>
      <c r="J9" s="5">
        <v>10116</v>
      </c>
      <c r="K9" s="15">
        <f>L9</f>
        <v>10116</v>
      </c>
      <c r="L9" s="15">
        <f>3134*2+1924*2</f>
        <v>10116</v>
      </c>
      <c r="M9" s="15">
        <f t="shared" si="0"/>
        <v>10116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/>
      <c r="T9" s="16">
        <v>2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>AC9*AB9*(1-O9)</f>
        <v>0.91666666666666663</v>
      </c>
      <c r="AE9" s="36">
        <f t="shared" si="7"/>
        <v>0.44531249999999994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129</v>
      </c>
      <c r="E10" s="53" t="s">
        <v>131</v>
      </c>
      <c r="F10" s="30" t="s">
        <v>122</v>
      </c>
      <c r="G10" s="33">
        <v>4</v>
      </c>
      <c r="H10" s="35">
        <v>24</v>
      </c>
      <c r="I10" s="7">
        <f>160000+200000</f>
        <v>360000</v>
      </c>
      <c r="J10" s="14">
        <v>14316</v>
      </c>
      <c r="K10" s="15">
        <f>L10</f>
        <v>14316</v>
      </c>
      <c r="L10" s="15">
        <f>3579*4</f>
        <v>14316</v>
      </c>
      <c r="M10" s="15">
        <f t="shared" si="0"/>
        <v>14316</v>
      </c>
      <c r="N10" s="15">
        <v>0</v>
      </c>
      <c r="O10" s="58">
        <f t="shared" si="1"/>
        <v>0</v>
      </c>
      <c r="P10" s="39">
        <f t="shared" si="2"/>
        <v>13</v>
      </c>
      <c r="Q10" s="40">
        <f t="shared" si="3"/>
        <v>11</v>
      </c>
      <c r="R10" s="7"/>
      <c r="S10" s="6">
        <v>11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0.54166666666666663</v>
      </c>
      <c r="AD10" s="10">
        <f t="shared" ref="AD10:AD14" si="9">AC10*AB10*(1-O10)</f>
        <v>0.54166666666666663</v>
      </c>
      <c r="AE10" s="36">
        <f t="shared" si="7"/>
        <v>0.44531249999999994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0.44531249999999994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163</v>
      </c>
      <c r="F12" s="30" t="s">
        <v>164</v>
      </c>
      <c r="G12" s="12">
        <v>1</v>
      </c>
      <c r="H12" s="13">
        <v>20</v>
      </c>
      <c r="I12" s="31">
        <v>6000</v>
      </c>
      <c r="J12" s="5">
        <v>846</v>
      </c>
      <c r="K12" s="15">
        <f>L12+824+3064+3570</f>
        <v>8304</v>
      </c>
      <c r="L12" s="15">
        <v>846</v>
      </c>
      <c r="M12" s="15">
        <f t="shared" si="0"/>
        <v>846</v>
      </c>
      <c r="N12" s="15">
        <v>0</v>
      </c>
      <c r="O12" s="58">
        <f t="shared" si="1"/>
        <v>0</v>
      </c>
      <c r="P12" s="39">
        <f t="shared" si="2"/>
        <v>5</v>
      </c>
      <c r="Q12" s="40">
        <f t="shared" si="3"/>
        <v>19</v>
      </c>
      <c r="R12" s="7"/>
      <c r="S12" s="6">
        <v>19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0.20833333333333334</v>
      </c>
      <c r="AD12" s="10">
        <f t="shared" si="9"/>
        <v>0.20833333333333334</v>
      </c>
      <c r="AE12" s="36">
        <f t="shared" si="7"/>
        <v>0.44531249999999994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4934</v>
      </c>
      <c r="K13" s="15">
        <f>L13+3081+4425+5156</f>
        <v>17596</v>
      </c>
      <c r="L13" s="15">
        <f>2098+2836</f>
        <v>4934</v>
      </c>
      <c r="M13" s="15">
        <f t="shared" si="0"/>
        <v>4934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0.44531249999999994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0.44531249999999994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336</v>
      </c>
      <c r="D15" s="52" t="s">
        <v>337</v>
      </c>
      <c r="E15" s="53" t="s">
        <v>338</v>
      </c>
      <c r="F15" s="12" t="s">
        <v>339</v>
      </c>
      <c r="G15" s="12">
        <v>4</v>
      </c>
      <c r="H15" s="13">
        <v>24</v>
      </c>
      <c r="I15" s="31">
        <v>10000</v>
      </c>
      <c r="J15" s="14">
        <v>19048</v>
      </c>
      <c r="K15" s="15">
        <f>L15+14216+20236</f>
        <v>53500</v>
      </c>
      <c r="L15" s="15">
        <f>1886*4+2876*4</f>
        <v>19048</v>
      </c>
      <c r="M15" s="15">
        <f t="shared" si="0"/>
        <v>19048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0.44531249999999994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0.44531249999999994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0.44531249999999994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304</v>
      </c>
      <c r="F18" s="30" t="s">
        <v>200</v>
      </c>
      <c r="G18" s="33">
        <v>1</v>
      </c>
      <c r="H18" s="35">
        <v>24</v>
      </c>
      <c r="I18" s="7">
        <v>5000</v>
      </c>
      <c r="J18" s="14">
        <v>601</v>
      </c>
      <c r="K18" s="15">
        <f>L18+1600+3278</f>
        <v>5479</v>
      </c>
      <c r="L18" s="15">
        <v>601</v>
      </c>
      <c r="M18" s="15">
        <f t="shared" si="0"/>
        <v>601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>
        <v>8</v>
      </c>
      <c r="T18" s="16"/>
      <c r="U18" s="16"/>
      <c r="V18" s="17"/>
      <c r="W18" s="5">
        <v>11</v>
      </c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6"/>
        <v>0.20833333333333334</v>
      </c>
      <c r="AE18" s="36">
        <f t="shared" si="7"/>
        <v>0.44531249999999994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159</v>
      </c>
      <c r="F19" s="30" t="s">
        <v>160</v>
      </c>
      <c r="G19" s="33">
        <v>1</v>
      </c>
      <c r="H19" s="35">
        <v>24</v>
      </c>
      <c r="I19" s="7">
        <v>37000</v>
      </c>
      <c r="J19" s="14">
        <v>3102</v>
      </c>
      <c r="K19" s="15">
        <f>L19+2899+5033+5215+3784+4938+5470</f>
        <v>30441</v>
      </c>
      <c r="L19" s="15">
        <f>1535+1567</f>
        <v>3102</v>
      </c>
      <c r="M19" s="15">
        <f t="shared" si="0"/>
        <v>3102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0.44531249999999994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153</v>
      </c>
      <c r="F20" s="30" t="s">
        <v>122</v>
      </c>
      <c r="G20" s="12">
        <v>4</v>
      </c>
      <c r="H20" s="13">
        <v>28</v>
      </c>
      <c r="I20" s="31">
        <v>200000</v>
      </c>
      <c r="J20" s="5">
        <v>23692</v>
      </c>
      <c r="K20" s="15">
        <f>L20</f>
        <v>23692</v>
      </c>
      <c r="L20" s="15">
        <f>3500*4+2423*4</f>
        <v>23692</v>
      </c>
      <c r="M20" s="15">
        <f t="shared" si="0"/>
        <v>23692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0.44531249999999994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28664</v>
      </c>
      <c r="K21" s="15">
        <f>30816+34860+35212+34672+33032+29240</f>
        <v>197832</v>
      </c>
      <c r="L21" s="15">
        <f>7166*4</f>
        <v>28664</v>
      </c>
      <c r="M21" s="15">
        <f t="shared" si="0"/>
        <v>28664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0.44531249999999994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1385800</v>
      </c>
      <c r="J22" s="19">
        <f t="shared" si="10"/>
        <v>161214</v>
      </c>
      <c r="K22" s="20">
        <f t="shared" si="10"/>
        <v>556862</v>
      </c>
      <c r="L22" s="21">
        <f t="shared" si="10"/>
        <v>136559</v>
      </c>
      <c r="M22" s="20">
        <f t="shared" si="10"/>
        <v>136559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171</v>
      </c>
      <c r="Q22" s="43">
        <f t="shared" si="11"/>
        <v>213</v>
      </c>
      <c r="R22" s="23">
        <f t="shared" si="11"/>
        <v>24</v>
      </c>
      <c r="S22" s="24">
        <f t="shared" si="11"/>
        <v>91</v>
      </c>
      <c r="T22" s="24">
        <f t="shared" si="11"/>
        <v>2</v>
      </c>
      <c r="U22" s="24">
        <f t="shared" si="11"/>
        <v>0</v>
      </c>
      <c r="V22" s="25">
        <f t="shared" si="11"/>
        <v>13</v>
      </c>
      <c r="W22" s="26">
        <f t="shared" si="11"/>
        <v>59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0.625</v>
      </c>
      <c r="AC22" s="4">
        <f>AVERAGE(AC6:AC21)</f>
        <v>0.44531249999999994</v>
      </c>
      <c r="AD22" s="4">
        <f>AVERAGE(AD6:AD21)</f>
        <v>0.44531249999999994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363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366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278" t="s">
        <v>46</v>
      </c>
      <c r="D51" s="278" t="s">
        <v>47</v>
      </c>
      <c r="E51" s="278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278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119</v>
      </c>
      <c r="B52" s="513"/>
      <c r="C52" s="277" t="s">
        <v>143</v>
      </c>
      <c r="D52" s="277" t="s">
        <v>353</v>
      </c>
      <c r="E52" s="274" t="s">
        <v>360</v>
      </c>
      <c r="F52" s="500" t="s">
        <v>141</v>
      </c>
      <c r="G52" s="501"/>
      <c r="H52" s="501"/>
      <c r="I52" s="501"/>
      <c r="J52" s="501"/>
      <c r="K52" s="501"/>
      <c r="L52" s="501"/>
      <c r="M52" s="502"/>
      <c r="N52" s="273" t="s">
        <v>118</v>
      </c>
      <c r="O52" s="271" t="s">
        <v>151</v>
      </c>
      <c r="P52" s="514" t="s">
        <v>129</v>
      </c>
      <c r="Q52" s="515"/>
      <c r="R52" s="514" t="s">
        <v>159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336</v>
      </c>
      <c r="B53" s="513"/>
      <c r="C53" s="277" t="s">
        <v>155</v>
      </c>
      <c r="D53" s="277" t="s">
        <v>355</v>
      </c>
      <c r="E53" s="274" t="s">
        <v>354</v>
      </c>
      <c r="F53" s="500" t="s">
        <v>141</v>
      </c>
      <c r="G53" s="501"/>
      <c r="H53" s="501"/>
      <c r="I53" s="501"/>
      <c r="J53" s="501"/>
      <c r="K53" s="501"/>
      <c r="L53" s="501"/>
      <c r="M53" s="502"/>
      <c r="N53" s="273" t="s">
        <v>119</v>
      </c>
      <c r="O53" s="271" t="s">
        <v>140</v>
      </c>
      <c r="P53" s="514" t="s">
        <v>144</v>
      </c>
      <c r="Q53" s="515"/>
      <c r="R53" s="514" t="s">
        <v>161</v>
      </c>
      <c r="S53" s="516"/>
      <c r="T53" s="516"/>
      <c r="U53" s="515"/>
      <c r="V53" s="487" t="s">
        <v>367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119</v>
      </c>
      <c r="B54" s="513"/>
      <c r="C54" s="277" t="s">
        <v>306</v>
      </c>
      <c r="D54" s="277" t="s">
        <v>129</v>
      </c>
      <c r="E54" s="274" t="s">
        <v>345</v>
      </c>
      <c r="F54" s="500" t="s">
        <v>364</v>
      </c>
      <c r="G54" s="501"/>
      <c r="H54" s="501"/>
      <c r="I54" s="501"/>
      <c r="J54" s="501"/>
      <c r="K54" s="501"/>
      <c r="L54" s="501"/>
      <c r="M54" s="502"/>
      <c r="N54" s="273" t="s">
        <v>118</v>
      </c>
      <c r="O54" s="271" t="s">
        <v>142</v>
      </c>
      <c r="P54" s="514" t="s">
        <v>115</v>
      </c>
      <c r="Q54" s="515"/>
      <c r="R54" s="514" t="s">
        <v>368</v>
      </c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121</v>
      </c>
      <c r="B55" s="513"/>
      <c r="C55" s="277" t="s">
        <v>142</v>
      </c>
      <c r="D55" s="277"/>
      <c r="E55" s="274" t="s">
        <v>304</v>
      </c>
      <c r="F55" s="500" t="s">
        <v>130</v>
      </c>
      <c r="G55" s="501"/>
      <c r="H55" s="501"/>
      <c r="I55" s="501"/>
      <c r="J55" s="501"/>
      <c r="K55" s="501"/>
      <c r="L55" s="501"/>
      <c r="M55" s="502"/>
      <c r="N55" s="273"/>
      <c r="O55" s="271"/>
      <c r="P55" s="514"/>
      <c r="Q55" s="515"/>
      <c r="R55" s="514"/>
      <c r="S55" s="516"/>
      <c r="T55" s="516"/>
      <c r="U55" s="515"/>
      <c r="V55" s="487"/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118</v>
      </c>
      <c r="B56" s="513"/>
      <c r="C56" s="277" t="s">
        <v>151</v>
      </c>
      <c r="D56" s="277" t="s">
        <v>129</v>
      </c>
      <c r="E56" s="274" t="s">
        <v>159</v>
      </c>
      <c r="F56" s="500" t="s">
        <v>365</v>
      </c>
      <c r="G56" s="501"/>
      <c r="H56" s="501"/>
      <c r="I56" s="501"/>
      <c r="J56" s="501"/>
      <c r="K56" s="501"/>
      <c r="L56" s="501"/>
      <c r="M56" s="502"/>
      <c r="N56" s="273"/>
      <c r="O56" s="271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119</v>
      </c>
      <c r="B57" s="513"/>
      <c r="C57" s="277" t="s">
        <v>180</v>
      </c>
      <c r="D57" s="277" t="s">
        <v>115</v>
      </c>
      <c r="E57" s="274" t="s">
        <v>153</v>
      </c>
      <c r="F57" s="500" t="s">
        <v>141</v>
      </c>
      <c r="G57" s="501"/>
      <c r="H57" s="501"/>
      <c r="I57" s="501"/>
      <c r="J57" s="501"/>
      <c r="K57" s="501"/>
      <c r="L57" s="501"/>
      <c r="M57" s="502"/>
      <c r="N57" s="273"/>
      <c r="O57" s="271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277"/>
      <c r="D58" s="277"/>
      <c r="E58" s="274"/>
      <c r="F58" s="500"/>
      <c r="G58" s="501"/>
      <c r="H58" s="501"/>
      <c r="I58" s="501"/>
      <c r="J58" s="501"/>
      <c r="K58" s="501"/>
      <c r="L58" s="501"/>
      <c r="M58" s="502"/>
      <c r="N58" s="273"/>
      <c r="O58" s="271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277"/>
      <c r="D59" s="277"/>
      <c r="E59" s="274"/>
      <c r="F59" s="500"/>
      <c r="G59" s="501"/>
      <c r="H59" s="501"/>
      <c r="I59" s="501"/>
      <c r="J59" s="501"/>
      <c r="K59" s="501"/>
      <c r="L59" s="501"/>
      <c r="M59" s="502"/>
      <c r="N59" s="273"/>
      <c r="O59" s="271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274"/>
      <c r="D60" s="274"/>
      <c r="E60" s="274"/>
      <c r="F60" s="500"/>
      <c r="G60" s="501"/>
      <c r="H60" s="501"/>
      <c r="I60" s="501"/>
      <c r="J60" s="501"/>
      <c r="K60" s="501"/>
      <c r="L60" s="501"/>
      <c r="M60" s="502"/>
      <c r="N60" s="273"/>
      <c r="O60" s="271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275"/>
      <c r="D61" s="276"/>
      <c r="E61" s="276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369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272" t="s">
        <v>2</v>
      </c>
      <c r="D63" s="272" t="s">
        <v>37</v>
      </c>
      <c r="E63" s="272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272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119</v>
      </c>
      <c r="D64" s="267"/>
      <c r="E64" s="270" t="s">
        <v>144</v>
      </c>
      <c r="F64" s="488" t="s">
        <v>370</v>
      </c>
      <c r="G64" s="489"/>
      <c r="H64" s="489"/>
      <c r="I64" s="489"/>
      <c r="J64" s="490"/>
      <c r="K64" s="476" t="s">
        <v>146</v>
      </c>
      <c r="L64" s="476"/>
      <c r="M64" s="51" t="s">
        <v>195</v>
      </c>
      <c r="N64" s="485" t="s">
        <v>140</v>
      </c>
      <c r="O64" s="485"/>
      <c r="P64" s="486">
        <v>100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119</v>
      </c>
      <c r="D65" s="267"/>
      <c r="E65" s="270" t="s">
        <v>144</v>
      </c>
      <c r="F65" s="488" t="s">
        <v>309</v>
      </c>
      <c r="G65" s="489"/>
      <c r="H65" s="489"/>
      <c r="I65" s="489"/>
      <c r="J65" s="490"/>
      <c r="K65" s="476" t="s">
        <v>145</v>
      </c>
      <c r="L65" s="476"/>
      <c r="M65" s="51" t="s">
        <v>195</v>
      </c>
      <c r="N65" s="485" t="s">
        <v>371</v>
      </c>
      <c r="O65" s="485"/>
      <c r="P65" s="486">
        <v>200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267"/>
      <c r="E66" s="270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267"/>
      <c r="E67" s="270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267"/>
      <c r="E68" s="270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267"/>
      <c r="E69" s="270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267"/>
      <c r="E70" s="270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267"/>
      <c r="E71" s="270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267"/>
      <c r="E72" s="270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267"/>
      <c r="E73" s="270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372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269" t="s">
        <v>2</v>
      </c>
      <c r="D75" s="269" t="s">
        <v>37</v>
      </c>
      <c r="E75" s="269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268" t="s">
        <v>112</v>
      </c>
      <c r="D76" s="268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267"/>
      <c r="D77" s="267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267"/>
      <c r="D78" s="267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267"/>
      <c r="D79" s="267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267"/>
      <c r="D80" s="267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267"/>
      <c r="D81" s="267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267"/>
      <c r="D82" s="267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373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37F1-C6B9-48CF-99B9-C9000342A49B}">
  <dimension ref="A1:AF87"/>
  <sheetViews>
    <sheetView view="pageBreakPreview" zoomScale="70" zoomScaleNormal="72" zoomScaleSheetLayoutView="70" workbookViewId="0">
      <selection activeCell="L17" sqref="L1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374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280" t="s">
        <v>17</v>
      </c>
      <c r="L5" s="280" t="s">
        <v>18</v>
      </c>
      <c r="M5" s="280" t="s">
        <v>19</v>
      </c>
      <c r="N5" s="28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353</v>
      </c>
      <c r="E6" s="53" t="s">
        <v>360</v>
      </c>
      <c r="F6" s="12" t="s">
        <v>361</v>
      </c>
      <c r="G6" s="12">
        <v>5</v>
      </c>
      <c r="H6" s="13">
        <v>24</v>
      </c>
      <c r="I6" s="31">
        <v>100000</v>
      </c>
      <c r="J6" s="14">
        <v>28840</v>
      </c>
      <c r="K6" s="15">
        <f>L6+31240</f>
        <v>60080</v>
      </c>
      <c r="L6" s="15">
        <f>2651*5+3117*5</f>
        <v>28840</v>
      </c>
      <c r="M6" s="15">
        <f t="shared" ref="M6:M21" si="0">L6-N6</f>
        <v>28840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0.50520833333333326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3397</v>
      </c>
      <c r="K7" s="15">
        <f>L7+3683+2801+972+5614+6047+6028+2698</f>
        <v>31240</v>
      </c>
      <c r="L7" s="15">
        <f>2815+582</f>
        <v>3397</v>
      </c>
      <c r="M7" s="15">
        <f t="shared" si="0"/>
        <v>3397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>
        <v>10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si="7"/>
        <v>0.50520833333333326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45000</v>
      </c>
      <c r="J8" s="14">
        <v>1180</v>
      </c>
      <c r="K8" s="15">
        <f>L8+670+3737+4361+4739+3866+4536+4715+2163+4452+4746+4732+4731+1180</f>
        <v>48628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0.50520833333333326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336</v>
      </c>
      <c r="D9" s="52" t="s">
        <v>132</v>
      </c>
      <c r="E9" s="53" t="s">
        <v>354</v>
      </c>
      <c r="F9" s="30" t="s">
        <v>362</v>
      </c>
      <c r="G9" s="33">
        <v>2</v>
      </c>
      <c r="H9" s="35">
        <v>24</v>
      </c>
      <c r="I9" s="7">
        <v>5000</v>
      </c>
      <c r="J9" s="5">
        <v>10218</v>
      </c>
      <c r="K9" s="15">
        <f>L9+10116</f>
        <v>20334</v>
      </c>
      <c r="L9" s="15">
        <f>2358*2+2751*2</f>
        <v>10218</v>
      </c>
      <c r="M9" s="15">
        <f t="shared" si="0"/>
        <v>10218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>AC9*AB9*(1-O9)</f>
        <v>1</v>
      </c>
      <c r="AE9" s="36">
        <f t="shared" si="7"/>
        <v>0.50520833333333326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129</v>
      </c>
      <c r="E10" s="53" t="s">
        <v>131</v>
      </c>
      <c r="F10" s="30" t="s">
        <v>122</v>
      </c>
      <c r="G10" s="33">
        <v>4</v>
      </c>
      <c r="H10" s="35">
        <v>24</v>
      </c>
      <c r="I10" s="7">
        <f>160000+200000</f>
        <v>360000</v>
      </c>
      <c r="J10" s="14">
        <v>24980</v>
      </c>
      <c r="K10" s="15">
        <f>L10+14316</f>
        <v>39296</v>
      </c>
      <c r="L10" s="15">
        <f>3205*4+3040*4</f>
        <v>24980</v>
      </c>
      <c r="M10" s="15">
        <f t="shared" si="0"/>
        <v>24980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0.50520833333333326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0.50520833333333326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217</v>
      </c>
      <c r="E12" s="53" t="s">
        <v>375</v>
      </c>
      <c r="F12" s="30" t="s">
        <v>122</v>
      </c>
      <c r="G12" s="12">
        <v>1</v>
      </c>
      <c r="H12" s="13">
        <v>20</v>
      </c>
      <c r="I12" s="31">
        <v>600</v>
      </c>
      <c r="J12" s="5">
        <v>600</v>
      </c>
      <c r="K12" s="15">
        <f>L12</f>
        <v>600</v>
      </c>
      <c r="L12" s="15">
        <v>600</v>
      </c>
      <c r="M12" s="15">
        <f t="shared" si="0"/>
        <v>600</v>
      </c>
      <c r="N12" s="15">
        <v>0</v>
      </c>
      <c r="O12" s="58">
        <f t="shared" si="1"/>
        <v>0</v>
      </c>
      <c r="P12" s="39">
        <f t="shared" si="2"/>
        <v>4</v>
      </c>
      <c r="Q12" s="40">
        <f t="shared" si="3"/>
        <v>20</v>
      </c>
      <c r="R12" s="7"/>
      <c r="S12" s="6">
        <v>20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0.16666666666666666</v>
      </c>
      <c r="AD12" s="10">
        <f t="shared" si="9"/>
        <v>0.16666666666666666</v>
      </c>
      <c r="AE12" s="36">
        <f t="shared" si="7"/>
        <v>0.50520833333333326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4706</v>
      </c>
      <c r="K13" s="15">
        <f>L13+3081+4425+5156+4934</f>
        <v>22302</v>
      </c>
      <c r="L13" s="15">
        <f>2506+2200</f>
        <v>4706</v>
      </c>
      <c r="M13" s="15">
        <f t="shared" si="0"/>
        <v>4706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0.50520833333333326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0.50520833333333326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2898</v>
      </c>
      <c r="K15" s="15">
        <f>L15</f>
        <v>2898</v>
      </c>
      <c r="L15" s="15">
        <f>331+2567</f>
        <v>2898</v>
      </c>
      <c r="M15" s="15">
        <f t="shared" si="0"/>
        <v>2898</v>
      </c>
      <c r="N15" s="15">
        <v>0</v>
      </c>
      <c r="O15" s="58">
        <f t="shared" si="1"/>
        <v>0</v>
      </c>
      <c r="P15" s="39">
        <f t="shared" si="2"/>
        <v>14</v>
      </c>
      <c r="Q15" s="40">
        <f t="shared" si="3"/>
        <v>10</v>
      </c>
      <c r="R15" s="7"/>
      <c r="S15" s="6">
        <v>10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0.58333333333333337</v>
      </c>
      <c r="AD15" s="10">
        <f t="shared" si="6"/>
        <v>0.58333333333333337</v>
      </c>
      <c r="AE15" s="36">
        <f t="shared" si="7"/>
        <v>0.50520833333333326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0.50520833333333326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0.50520833333333326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368</v>
      </c>
      <c r="F18" s="30" t="s">
        <v>160</v>
      </c>
      <c r="G18" s="33">
        <v>1</v>
      </c>
      <c r="H18" s="35">
        <v>24</v>
      </c>
      <c r="I18" s="7">
        <v>2000</v>
      </c>
      <c r="J18" s="14">
        <v>2547</v>
      </c>
      <c r="K18" s="15">
        <f>L18</f>
        <v>2547</v>
      </c>
      <c r="L18" s="15">
        <f>853+1694</f>
        <v>2547</v>
      </c>
      <c r="M18" s="15">
        <f t="shared" si="0"/>
        <v>2547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7</v>
      </c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6">
        <f t="shared" si="7"/>
        <v>0.50520833333333326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159</v>
      </c>
      <c r="F19" s="30" t="s">
        <v>160</v>
      </c>
      <c r="G19" s="33">
        <v>1</v>
      </c>
      <c r="H19" s="35">
        <v>24</v>
      </c>
      <c r="I19" s="7">
        <v>37000</v>
      </c>
      <c r="J19" s="14">
        <v>2265</v>
      </c>
      <c r="K19" s="15">
        <f>L19+2899+5033+5215+3784+4938+5470+3102</f>
        <v>32706</v>
      </c>
      <c r="L19" s="15">
        <f>2265</f>
        <v>2265</v>
      </c>
      <c r="M19" s="15">
        <f t="shared" si="0"/>
        <v>2265</v>
      </c>
      <c r="N19" s="15">
        <v>0</v>
      </c>
      <c r="O19" s="58">
        <f t="shared" si="1"/>
        <v>0</v>
      </c>
      <c r="P19" s="39">
        <f t="shared" si="2"/>
        <v>12</v>
      </c>
      <c r="Q19" s="40">
        <f t="shared" si="3"/>
        <v>12</v>
      </c>
      <c r="R19" s="7"/>
      <c r="S19" s="6">
        <v>12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6">
        <f t="shared" si="7"/>
        <v>0.50520833333333326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153</v>
      </c>
      <c r="F20" s="30" t="s">
        <v>122</v>
      </c>
      <c r="G20" s="12">
        <v>4</v>
      </c>
      <c r="H20" s="13">
        <v>28</v>
      </c>
      <c r="I20" s="31">
        <v>200000</v>
      </c>
      <c r="J20" s="5">
        <v>25036</v>
      </c>
      <c r="K20" s="15">
        <f>L20+23692</f>
        <v>48728</v>
      </c>
      <c r="L20" s="15">
        <f>3208*4+3051*4</f>
        <v>25036</v>
      </c>
      <c r="M20" s="15">
        <f t="shared" si="0"/>
        <v>25036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0.50520833333333326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35888</v>
      </c>
      <c r="K21" s="15">
        <f>30816+34860+35212+34672+33032+29240+28664</f>
        <v>226496</v>
      </c>
      <c r="L21" s="15">
        <f>8972*4</f>
        <v>35888</v>
      </c>
      <c r="M21" s="15">
        <f t="shared" si="0"/>
        <v>35888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0.50520833333333326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1386400</v>
      </c>
      <c r="J22" s="19">
        <f t="shared" si="10"/>
        <v>163332</v>
      </c>
      <c r="K22" s="20">
        <f t="shared" si="10"/>
        <v>623730</v>
      </c>
      <c r="L22" s="21">
        <f t="shared" si="10"/>
        <v>141375</v>
      </c>
      <c r="M22" s="20">
        <f t="shared" si="10"/>
        <v>141375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194</v>
      </c>
      <c r="Q22" s="43">
        <f t="shared" si="11"/>
        <v>190</v>
      </c>
      <c r="R22" s="23">
        <f t="shared" si="11"/>
        <v>24</v>
      </c>
      <c r="S22" s="24">
        <f t="shared" si="11"/>
        <v>76</v>
      </c>
      <c r="T22" s="24">
        <f t="shared" si="11"/>
        <v>0</v>
      </c>
      <c r="U22" s="24">
        <f t="shared" si="11"/>
        <v>0</v>
      </c>
      <c r="V22" s="25">
        <f t="shared" si="11"/>
        <v>11</v>
      </c>
      <c r="W22" s="26">
        <f t="shared" si="11"/>
        <v>48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31</v>
      </c>
      <c r="AB22" s="28">
        <f>AVERAGE(AB6:AB21)</f>
        <v>0.6875</v>
      </c>
      <c r="AC22" s="4">
        <f>AVERAGE(AC6:AC21)</f>
        <v>0.50520833333333326</v>
      </c>
      <c r="AD22" s="4">
        <f>AVERAGE(AD6:AD21)</f>
        <v>0.50520833333333326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376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379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281" t="s">
        <v>46</v>
      </c>
      <c r="D51" s="281" t="s">
        <v>47</v>
      </c>
      <c r="E51" s="281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281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119</v>
      </c>
      <c r="B52" s="513"/>
      <c r="C52" s="282" t="s">
        <v>140</v>
      </c>
      <c r="D52" s="282" t="s">
        <v>144</v>
      </c>
      <c r="E52" s="283" t="s">
        <v>161</v>
      </c>
      <c r="F52" s="500" t="s">
        <v>377</v>
      </c>
      <c r="G52" s="501"/>
      <c r="H52" s="501"/>
      <c r="I52" s="501"/>
      <c r="J52" s="501"/>
      <c r="K52" s="501"/>
      <c r="L52" s="501"/>
      <c r="M52" s="502"/>
      <c r="N52" s="287" t="s">
        <v>118</v>
      </c>
      <c r="O52" s="289" t="s">
        <v>155</v>
      </c>
      <c r="P52" s="514" t="s">
        <v>127</v>
      </c>
      <c r="Q52" s="515"/>
      <c r="R52" s="514" t="s">
        <v>380</v>
      </c>
      <c r="S52" s="516"/>
      <c r="T52" s="516"/>
      <c r="U52" s="515"/>
      <c r="V52" s="487" t="s">
        <v>141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112</v>
      </c>
      <c r="B53" s="513"/>
      <c r="C53" s="282" t="s">
        <v>190</v>
      </c>
      <c r="D53" s="282" t="s">
        <v>217</v>
      </c>
      <c r="E53" s="283" t="s">
        <v>375</v>
      </c>
      <c r="F53" s="500" t="s">
        <v>378</v>
      </c>
      <c r="G53" s="501"/>
      <c r="H53" s="501"/>
      <c r="I53" s="501"/>
      <c r="J53" s="501"/>
      <c r="K53" s="501"/>
      <c r="L53" s="501"/>
      <c r="M53" s="502"/>
      <c r="N53" s="287" t="s">
        <v>119</v>
      </c>
      <c r="O53" s="289" t="s">
        <v>140</v>
      </c>
      <c r="P53" s="514" t="s">
        <v>144</v>
      </c>
      <c r="Q53" s="515"/>
      <c r="R53" s="514" t="s">
        <v>161</v>
      </c>
      <c r="S53" s="516"/>
      <c r="T53" s="516"/>
      <c r="U53" s="515"/>
      <c r="V53" s="487" t="s">
        <v>367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118</v>
      </c>
      <c r="B54" s="513"/>
      <c r="C54" s="282" t="s">
        <v>151</v>
      </c>
      <c r="D54" s="282" t="s">
        <v>129</v>
      </c>
      <c r="E54" s="283" t="s">
        <v>159</v>
      </c>
      <c r="F54" s="500" t="s">
        <v>130</v>
      </c>
      <c r="G54" s="501"/>
      <c r="H54" s="501"/>
      <c r="I54" s="501"/>
      <c r="J54" s="501"/>
      <c r="K54" s="501"/>
      <c r="L54" s="501"/>
      <c r="M54" s="502"/>
      <c r="N54" s="287" t="s">
        <v>121</v>
      </c>
      <c r="O54" s="289" t="s">
        <v>190</v>
      </c>
      <c r="P54" s="514" t="s">
        <v>115</v>
      </c>
      <c r="Q54" s="515"/>
      <c r="R54" s="514" t="s">
        <v>381</v>
      </c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118</v>
      </c>
      <c r="B55" s="513"/>
      <c r="C55" s="282" t="s">
        <v>142</v>
      </c>
      <c r="D55" s="282" t="s">
        <v>115</v>
      </c>
      <c r="E55" s="283" t="s">
        <v>368</v>
      </c>
      <c r="F55" s="500" t="s">
        <v>141</v>
      </c>
      <c r="G55" s="501"/>
      <c r="H55" s="501"/>
      <c r="I55" s="501"/>
      <c r="J55" s="501"/>
      <c r="K55" s="501"/>
      <c r="L55" s="501"/>
      <c r="M55" s="502"/>
      <c r="N55" s="287" t="s">
        <v>118</v>
      </c>
      <c r="O55" s="289" t="s">
        <v>142</v>
      </c>
      <c r="P55" s="514" t="s">
        <v>132</v>
      </c>
      <c r="Q55" s="515"/>
      <c r="R55" s="514" t="s">
        <v>382</v>
      </c>
      <c r="S55" s="516"/>
      <c r="T55" s="516"/>
      <c r="U55" s="515"/>
      <c r="V55" s="487" t="s">
        <v>141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121</v>
      </c>
      <c r="B56" s="513"/>
      <c r="C56" s="282" t="s">
        <v>269</v>
      </c>
      <c r="D56" s="282"/>
      <c r="E56" s="283" t="s">
        <v>154</v>
      </c>
      <c r="F56" s="500" t="s">
        <v>141</v>
      </c>
      <c r="G56" s="501"/>
      <c r="H56" s="501"/>
      <c r="I56" s="501"/>
      <c r="J56" s="501"/>
      <c r="K56" s="501"/>
      <c r="L56" s="501"/>
      <c r="M56" s="502"/>
      <c r="N56" s="287"/>
      <c r="O56" s="289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/>
      <c r="B57" s="513"/>
      <c r="C57" s="282"/>
      <c r="D57" s="282"/>
      <c r="E57" s="283"/>
      <c r="F57" s="500"/>
      <c r="G57" s="501"/>
      <c r="H57" s="501"/>
      <c r="I57" s="501"/>
      <c r="J57" s="501"/>
      <c r="K57" s="501"/>
      <c r="L57" s="501"/>
      <c r="M57" s="502"/>
      <c r="N57" s="287"/>
      <c r="O57" s="289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282"/>
      <c r="D58" s="282"/>
      <c r="E58" s="283"/>
      <c r="F58" s="500"/>
      <c r="G58" s="501"/>
      <c r="H58" s="501"/>
      <c r="I58" s="501"/>
      <c r="J58" s="501"/>
      <c r="K58" s="501"/>
      <c r="L58" s="501"/>
      <c r="M58" s="502"/>
      <c r="N58" s="287"/>
      <c r="O58" s="289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282"/>
      <c r="D59" s="282"/>
      <c r="E59" s="283"/>
      <c r="F59" s="500"/>
      <c r="G59" s="501"/>
      <c r="H59" s="501"/>
      <c r="I59" s="501"/>
      <c r="J59" s="501"/>
      <c r="K59" s="501"/>
      <c r="L59" s="501"/>
      <c r="M59" s="502"/>
      <c r="N59" s="287"/>
      <c r="O59" s="289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283"/>
      <c r="D60" s="283"/>
      <c r="E60" s="283"/>
      <c r="F60" s="500"/>
      <c r="G60" s="501"/>
      <c r="H60" s="501"/>
      <c r="I60" s="501"/>
      <c r="J60" s="501"/>
      <c r="K60" s="501"/>
      <c r="L60" s="501"/>
      <c r="M60" s="502"/>
      <c r="N60" s="287"/>
      <c r="O60" s="289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284"/>
      <c r="D61" s="285"/>
      <c r="E61" s="285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383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286" t="s">
        <v>2</v>
      </c>
      <c r="D63" s="286" t="s">
        <v>37</v>
      </c>
      <c r="E63" s="286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286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112</v>
      </c>
      <c r="D64" s="291"/>
      <c r="E64" s="288" t="s">
        <v>217</v>
      </c>
      <c r="F64" s="488" t="s">
        <v>375</v>
      </c>
      <c r="G64" s="489"/>
      <c r="H64" s="489"/>
      <c r="I64" s="489"/>
      <c r="J64" s="490"/>
      <c r="K64" s="476" t="s">
        <v>122</v>
      </c>
      <c r="L64" s="476"/>
      <c r="M64" s="51" t="s">
        <v>225</v>
      </c>
      <c r="N64" s="485" t="s">
        <v>190</v>
      </c>
      <c r="O64" s="485"/>
      <c r="P64" s="486">
        <v>50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118</v>
      </c>
      <c r="D65" s="291"/>
      <c r="E65" s="288" t="s">
        <v>127</v>
      </c>
      <c r="F65" s="488" t="s">
        <v>384</v>
      </c>
      <c r="G65" s="489"/>
      <c r="H65" s="489"/>
      <c r="I65" s="489"/>
      <c r="J65" s="490"/>
      <c r="K65" s="476" t="s">
        <v>385</v>
      </c>
      <c r="L65" s="476"/>
      <c r="M65" s="51" t="s">
        <v>195</v>
      </c>
      <c r="N65" s="485" t="s">
        <v>371</v>
      </c>
      <c r="O65" s="485"/>
      <c r="P65" s="486">
        <v>50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 t="s">
        <v>118</v>
      </c>
      <c r="D66" s="291"/>
      <c r="E66" s="288" t="s">
        <v>115</v>
      </c>
      <c r="F66" s="488" t="s">
        <v>386</v>
      </c>
      <c r="G66" s="489"/>
      <c r="H66" s="489"/>
      <c r="I66" s="489"/>
      <c r="J66" s="490"/>
      <c r="K66" s="476">
        <v>7301</v>
      </c>
      <c r="L66" s="476"/>
      <c r="M66" s="51" t="s">
        <v>387</v>
      </c>
      <c r="N66" s="485" t="s">
        <v>142</v>
      </c>
      <c r="O66" s="485"/>
      <c r="P66" s="486">
        <v>50</v>
      </c>
      <c r="Q66" s="486"/>
      <c r="R66" s="487" t="s">
        <v>388</v>
      </c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 t="s">
        <v>118</v>
      </c>
      <c r="D67" s="291"/>
      <c r="E67" s="288" t="s">
        <v>129</v>
      </c>
      <c r="F67" s="488" t="s">
        <v>389</v>
      </c>
      <c r="G67" s="489"/>
      <c r="H67" s="489"/>
      <c r="I67" s="489"/>
      <c r="J67" s="490"/>
      <c r="K67" s="476">
        <v>7301</v>
      </c>
      <c r="L67" s="476"/>
      <c r="M67" s="51" t="s">
        <v>387</v>
      </c>
      <c r="N67" s="485" t="s">
        <v>142</v>
      </c>
      <c r="O67" s="485"/>
      <c r="P67" s="486">
        <v>50</v>
      </c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291"/>
      <c r="E68" s="288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291"/>
      <c r="E69" s="288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291"/>
      <c r="E70" s="288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291"/>
      <c r="E71" s="288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291"/>
      <c r="E72" s="288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291"/>
      <c r="E73" s="288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390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290" t="s">
        <v>2</v>
      </c>
      <c r="D75" s="290" t="s">
        <v>37</v>
      </c>
      <c r="E75" s="290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292" t="s">
        <v>112</v>
      </c>
      <c r="D76" s="292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291"/>
      <c r="D77" s="291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291"/>
      <c r="D78" s="291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291"/>
      <c r="D79" s="291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291"/>
      <c r="D80" s="291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291"/>
      <c r="D81" s="291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291"/>
      <c r="D82" s="291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391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7970-0905-454C-999B-0966741A548D}">
  <dimension ref="A1:AF87"/>
  <sheetViews>
    <sheetView view="pageBreakPreview" zoomScale="70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392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305" t="s">
        <v>17</v>
      </c>
      <c r="L5" s="305" t="s">
        <v>18</v>
      </c>
      <c r="M5" s="305" t="s">
        <v>19</v>
      </c>
      <c r="N5" s="30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353</v>
      </c>
      <c r="E6" s="53" t="s">
        <v>360</v>
      </c>
      <c r="F6" s="12" t="s">
        <v>361</v>
      </c>
      <c r="G6" s="12">
        <v>5</v>
      </c>
      <c r="H6" s="13">
        <v>24</v>
      </c>
      <c r="I6" s="31">
        <v>100000</v>
      </c>
      <c r="J6" s="14">
        <v>29235</v>
      </c>
      <c r="K6" s="15">
        <f>L6+31240+28840</f>
        <v>89315</v>
      </c>
      <c r="L6" s="15">
        <f>3266*5+2581*5</f>
        <v>29235</v>
      </c>
      <c r="M6" s="15">
        <f t="shared" ref="M6:M21" si="0">L6-N6</f>
        <v>29235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23</v>
      </c>
      <c r="Q6" s="40">
        <f t="shared" ref="Q6:Q21" si="3">SUM(R6:AA6)</f>
        <v>1</v>
      </c>
      <c r="R6" s="7"/>
      <c r="S6" s="6">
        <v>1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0.95833333333333337</v>
      </c>
      <c r="AD6" s="10">
        <f t="shared" ref="AD6:AD21" si="6">AC6*AB6*(1-O6)</f>
        <v>0.95833333333333337</v>
      </c>
      <c r="AE6" s="36">
        <f t="shared" ref="AE6:AE21" si="7">$AD$22</f>
        <v>0.4609375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3300</v>
      </c>
      <c r="K7" s="15">
        <f>L7+3683+2801+972+5614+6047+6028+2698+3397</f>
        <v>34540</v>
      </c>
      <c r="L7" s="15">
        <f>3300</f>
        <v>3300</v>
      </c>
      <c r="M7" s="15">
        <f t="shared" si="0"/>
        <v>3300</v>
      </c>
      <c r="N7" s="15">
        <v>0</v>
      </c>
      <c r="O7" s="58">
        <f t="shared" si="1"/>
        <v>0</v>
      </c>
      <c r="P7" s="39">
        <f t="shared" si="2"/>
        <v>13</v>
      </c>
      <c r="Q7" s="40">
        <f t="shared" si="3"/>
        <v>11</v>
      </c>
      <c r="R7" s="7"/>
      <c r="S7" s="6">
        <v>11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0.54166666666666663</v>
      </c>
      <c r="AD7" s="10">
        <f t="shared" si="6"/>
        <v>0.54166666666666663</v>
      </c>
      <c r="AE7" s="36">
        <f t="shared" si="7"/>
        <v>0.4609375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118</v>
      </c>
      <c r="D8" s="52" t="s">
        <v>132</v>
      </c>
      <c r="E8" s="53" t="s">
        <v>166</v>
      </c>
      <c r="F8" s="30" t="s">
        <v>134</v>
      </c>
      <c r="G8" s="33">
        <v>1</v>
      </c>
      <c r="H8" s="35">
        <v>24</v>
      </c>
      <c r="I8" s="7">
        <v>45000</v>
      </c>
      <c r="J8" s="14">
        <v>1180</v>
      </c>
      <c r="K8" s="15">
        <f>L8+670+3737+4361+4739+3866+4536+4715+2163+4452+4746+4732+4731+1180</f>
        <v>48628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0.4609375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127</v>
      </c>
      <c r="E9" s="53" t="s">
        <v>380</v>
      </c>
      <c r="F9" s="30" t="s">
        <v>393</v>
      </c>
      <c r="G9" s="33">
        <v>1</v>
      </c>
      <c r="H9" s="35">
        <v>24</v>
      </c>
      <c r="I9" s="7">
        <v>2000</v>
      </c>
      <c r="J9" s="5">
        <v>3188</v>
      </c>
      <c r="K9" s="15">
        <f>L9</f>
        <v>3188</v>
      </c>
      <c r="L9" s="15">
        <f>1586+1602</f>
        <v>3188</v>
      </c>
      <c r="M9" s="15">
        <f t="shared" si="0"/>
        <v>3188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/>
      <c r="T9" s="16"/>
      <c r="U9" s="16"/>
      <c r="V9" s="17"/>
      <c r="W9" s="5">
        <v>6</v>
      </c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>AC9*AB9*(1-O9)</f>
        <v>0.75</v>
      </c>
      <c r="AE9" s="36">
        <f t="shared" si="7"/>
        <v>0.4609375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129</v>
      </c>
      <c r="E10" s="53" t="s">
        <v>131</v>
      </c>
      <c r="F10" s="30" t="s">
        <v>122</v>
      </c>
      <c r="G10" s="33">
        <v>4</v>
      </c>
      <c r="H10" s="35">
        <v>24</v>
      </c>
      <c r="I10" s="7">
        <f>160000+200000</f>
        <v>360000</v>
      </c>
      <c r="J10" s="14">
        <v>26456</v>
      </c>
      <c r="K10" s="15">
        <f>L10+14316+24980</f>
        <v>65752</v>
      </c>
      <c r="L10" s="15">
        <f>3262*4+3352*4</f>
        <v>26456</v>
      </c>
      <c r="M10" s="15">
        <f t="shared" si="0"/>
        <v>26456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0.4609375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0.4609375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/>
      <c r="E12" s="53" t="s">
        <v>381</v>
      </c>
      <c r="F12" s="30" t="s">
        <v>394</v>
      </c>
      <c r="G12" s="12">
        <v>1</v>
      </c>
      <c r="H12" s="13">
        <v>20</v>
      </c>
      <c r="I12" s="31">
        <f>7500+11500</f>
        <v>19000</v>
      </c>
      <c r="J12" s="5">
        <v>3747</v>
      </c>
      <c r="K12" s="15">
        <f>L12</f>
        <v>3747</v>
      </c>
      <c r="L12" s="15">
        <f>1351+2396</f>
        <v>3747</v>
      </c>
      <c r="M12" s="15">
        <f t="shared" si="0"/>
        <v>3747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/>
      <c r="T12" s="16">
        <v>4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9"/>
        <v>0.83333333333333337</v>
      </c>
      <c r="AE12" s="36">
        <f t="shared" si="7"/>
        <v>0.4609375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4706</v>
      </c>
      <c r="K13" s="15">
        <f>L13+3081+4425+5156+4934+4706</f>
        <v>22302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>
        <v>24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0.4609375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0.4609375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5234</v>
      </c>
      <c r="K15" s="15">
        <f>L15+2898</f>
        <v>8132</v>
      </c>
      <c r="L15" s="15">
        <f>2671+2563</f>
        <v>5234</v>
      </c>
      <c r="M15" s="15">
        <f t="shared" si="0"/>
        <v>5234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0.4609375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132</v>
      </c>
      <c r="E16" s="53" t="s">
        <v>133</v>
      </c>
      <c r="F16" s="30" t="s">
        <v>134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0.4609375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147</v>
      </c>
      <c r="F17" s="30" t="s">
        <v>145</v>
      </c>
      <c r="G17" s="12">
        <v>1</v>
      </c>
      <c r="H17" s="13">
        <v>24</v>
      </c>
      <c r="I17" s="7">
        <v>41000</v>
      </c>
      <c r="J17" s="14">
        <v>5947</v>
      </c>
      <c r="K17" s="15">
        <f>L17+5525+6064+6153+5650+5997+6224+6237+5947</f>
        <v>47797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0.4609375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395</v>
      </c>
      <c r="F18" s="30" t="s">
        <v>200</v>
      </c>
      <c r="G18" s="33">
        <v>1</v>
      </c>
      <c r="H18" s="35">
        <v>24</v>
      </c>
      <c r="I18" s="7">
        <v>4100</v>
      </c>
      <c r="J18" s="14">
        <v>780</v>
      </c>
      <c r="K18" s="15">
        <f>L18</f>
        <v>780</v>
      </c>
      <c r="L18" s="15">
        <f>780</f>
        <v>780</v>
      </c>
      <c r="M18" s="15">
        <f t="shared" si="0"/>
        <v>780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>
        <v>20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0.4609375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159</v>
      </c>
      <c r="F19" s="30" t="s">
        <v>160</v>
      </c>
      <c r="G19" s="33">
        <v>1</v>
      </c>
      <c r="H19" s="35">
        <v>24</v>
      </c>
      <c r="I19" s="7">
        <v>37000</v>
      </c>
      <c r="J19" s="14">
        <v>5614</v>
      </c>
      <c r="K19" s="15">
        <f>L19+2899+5033+5215+3784+4938+5470+3102+2265</f>
        <v>38320</v>
      </c>
      <c r="L19" s="15">
        <f>2746+2868</f>
        <v>5614</v>
      </c>
      <c r="M19" s="15">
        <f t="shared" si="0"/>
        <v>5614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0.4609375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153</v>
      </c>
      <c r="F20" s="30" t="s">
        <v>122</v>
      </c>
      <c r="G20" s="12">
        <v>4</v>
      </c>
      <c r="H20" s="13">
        <v>28</v>
      </c>
      <c r="I20" s="31">
        <v>200000</v>
      </c>
      <c r="J20" s="5">
        <v>22166</v>
      </c>
      <c r="K20" s="15">
        <f>L20+23692+25036</f>
        <v>70894</v>
      </c>
      <c r="L20" s="15">
        <f>2890*3+3374*4</f>
        <v>22166</v>
      </c>
      <c r="M20" s="15">
        <f t="shared" si="0"/>
        <v>22166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>
        <v>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6">
        <f t="shared" si="7"/>
        <v>0.4609375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</f>
        <v>262384</v>
      </c>
      <c r="L21" s="15">
        <f>1001*4</f>
        <v>4004</v>
      </c>
      <c r="M21" s="15">
        <f t="shared" si="0"/>
        <v>4004</v>
      </c>
      <c r="N21" s="15">
        <v>0</v>
      </c>
      <c r="O21" s="58">
        <f t="shared" si="1"/>
        <v>0</v>
      </c>
      <c r="P21" s="39">
        <f t="shared" si="2"/>
        <v>4</v>
      </c>
      <c r="Q21" s="40">
        <f t="shared" si="3"/>
        <v>20</v>
      </c>
      <c r="R21" s="7"/>
      <c r="S21" s="6"/>
      <c r="T21" s="16"/>
      <c r="U21" s="16"/>
      <c r="V21" s="17">
        <v>20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0.16666666666666666</v>
      </c>
      <c r="AD21" s="10">
        <f t="shared" si="6"/>
        <v>0.16666666666666666</v>
      </c>
      <c r="AE21" s="36">
        <f t="shared" si="7"/>
        <v>0.4609375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1403900</v>
      </c>
      <c r="J22" s="19">
        <f t="shared" si="10"/>
        <v>130387</v>
      </c>
      <c r="K22" s="20">
        <f t="shared" si="10"/>
        <v>735857</v>
      </c>
      <c r="L22" s="21">
        <f t="shared" si="10"/>
        <v>103724</v>
      </c>
      <c r="M22" s="20">
        <f t="shared" si="10"/>
        <v>103724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177</v>
      </c>
      <c r="Q22" s="43">
        <f t="shared" si="11"/>
        <v>207</v>
      </c>
      <c r="R22" s="23">
        <f t="shared" si="11"/>
        <v>48</v>
      </c>
      <c r="S22" s="24">
        <f t="shared" si="11"/>
        <v>37</v>
      </c>
      <c r="T22" s="24">
        <f t="shared" si="11"/>
        <v>24</v>
      </c>
      <c r="U22" s="24">
        <f t="shared" si="11"/>
        <v>0</v>
      </c>
      <c r="V22" s="25">
        <f t="shared" si="11"/>
        <v>20</v>
      </c>
      <c r="W22" s="26">
        <f t="shared" si="11"/>
        <v>54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0.625</v>
      </c>
      <c r="AC22" s="4">
        <f>AVERAGE(AC6:AC21)</f>
        <v>0.4609375</v>
      </c>
      <c r="AD22" s="4">
        <f>AVERAGE(AD6:AD21)</f>
        <v>0.4609375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396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400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304" t="s">
        <v>46</v>
      </c>
      <c r="D51" s="304" t="s">
        <v>47</v>
      </c>
      <c r="E51" s="304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304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119</v>
      </c>
      <c r="B52" s="513"/>
      <c r="C52" s="303" t="s">
        <v>140</v>
      </c>
      <c r="D52" s="303" t="s">
        <v>144</v>
      </c>
      <c r="E52" s="300" t="s">
        <v>161</v>
      </c>
      <c r="F52" s="500" t="s">
        <v>130</v>
      </c>
      <c r="G52" s="501"/>
      <c r="H52" s="501"/>
      <c r="I52" s="501"/>
      <c r="J52" s="501"/>
      <c r="K52" s="501"/>
      <c r="L52" s="501"/>
      <c r="M52" s="502"/>
      <c r="N52" s="299" t="s">
        <v>119</v>
      </c>
      <c r="O52" s="297" t="s">
        <v>140</v>
      </c>
      <c r="P52" s="514" t="s">
        <v>115</v>
      </c>
      <c r="Q52" s="515"/>
      <c r="R52" s="514" t="s">
        <v>168</v>
      </c>
      <c r="S52" s="516"/>
      <c r="T52" s="516"/>
      <c r="U52" s="515"/>
      <c r="V52" s="487" t="s">
        <v>401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119</v>
      </c>
      <c r="B53" s="513"/>
      <c r="C53" s="303" t="s">
        <v>143</v>
      </c>
      <c r="D53" s="303" t="s">
        <v>353</v>
      </c>
      <c r="E53" s="300" t="s">
        <v>360</v>
      </c>
      <c r="F53" s="500" t="s">
        <v>397</v>
      </c>
      <c r="G53" s="501"/>
      <c r="H53" s="501"/>
      <c r="I53" s="501"/>
      <c r="J53" s="501"/>
      <c r="K53" s="501"/>
      <c r="L53" s="501"/>
      <c r="M53" s="502"/>
      <c r="N53" s="299" t="s">
        <v>118</v>
      </c>
      <c r="O53" s="297" t="s">
        <v>155</v>
      </c>
      <c r="P53" s="514" t="s">
        <v>132</v>
      </c>
      <c r="Q53" s="515"/>
      <c r="R53" s="514" t="s">
        <v>382</v>
      </c>
      <c r="S53" s="516"/>
      <c r="T53" s="516"/>
      <c r="U53" s="515"/>
      <c r="V53" s="487" t="s">
        <v>141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118</v>
      </c>
      <c r="B54" s="513"/>
      <c r="C54" s="303" t="s">
        <v>155</v>
      </c>
      <c r="D54" s="303" t="s">
        <v>127</v>
      </c>
      <c r="E54" s="300" t="s">
        <v>380</v>
      </c>
      <c r="F54" s="500" t="s">
        <v>141</v>
      </c>
      <c r="G54" s="501"/>
      <c r="H54" s="501"/>
      <c r="I54" s="501"/>
      <c r="J54" s="501"/>
      <c r="K54" s="501"/>
      <c r="L54" s="501"/>
      <c r="M54" s="502"/>
      <c r="N54" s="299" t="s">
        <v>118</v>
      </c>
      <c r="O54" s="297" t="s">
        <v>403</v>
      </c>
      <c r="P54" s="514" t="s">
        <v>144</v>
      </c>
      <c r="Q54" s="515"/>
      <c r="R54" s="514" t="s">
        <v>402</v>
      </c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121</v>
      </c>
      <c r="B55" s="513"/>
      <c r="C55" s="303" t="s">
        <v>190</v>
      </c>
      <c r="D55" s="303"/>
      <c r="E55" s="300" t="s">
        <v>381</v>
      </c>
      <c r="F55" s="500" t="s">
        <v>141</v>
      </c>
      <c r="G55" s="501"/>
      <c r="H55" s="501"/>
      <c r="I55" s="501"/>
      <c r="J55" s="501"/>
      <c r="K55" s="501"/>
      <c r="L55" s="501"/>
      <c r="M55" s="502"/>
      <c r="N55" s="299" t="s">
        <v>118</v>
      </c>
      <c r="O55" s="297" t="s">
        <v>142</v>
      </c>
      <c r="P55" s="514" t="s">
        <v>115</v>
      </c>
      <c r="Q55" s="515"/>
      <c r="R55" s="514" t="s">
        <v>395</v>
      </c>
      <c r="S55" s="516"/>
      <c r="T55" s="516"/>
      <c r="U55" s="515"/>
      <c r="V55" s="487" t="s">
        <v>130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118</v>
      </c>
      <c r="B56" s="513"/>
      <c r="C56" s="303" t="s">
        <v>142</v>
      </c>
      <c r="D56" s="303" t="s">
        <v>115</v>
      </c>
      <c r="E56" s="300" t="s">
        <v>395</v>
      </c>
      <c r="F56" s="500" t="s">
        <v>398</v>
      </c>
      <c r="G56" s="501"/>
      <c r="H56" s="501"/>
      <c r="I56" s="501"/>
      <c r="J56" s="501"/>
      <c r="K56" s="501"/>
      <c r="L56" s="501"/>
      <c r="M56" s="502"/>
      <c r="N56" s="299"/>
      <c r="O56" s="297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119</v>
      </c>
      <c r="B57" s="513"/>
      <c r="C57" s="303" t="s">
        <v>180</v>
      </c>
      <c r="D57" s="303" t="s">
        <v>115</v>
      </c>
      <c r="E57" s="300" t="s">
        <v>153</v>
      </c>
      <c r="F57" s="500" t="s">
        <v>399</v>
      </c>
      <c r="G57" s="501"/>
      <c r="H57" s="501"/>
      <c r="I57" s="501"/>
      <c r="J57" s="501"/>
      <c r="K57" s="501"/>
      <c r="L57" s="501"/>
      <c r="M57" s="502"/>
      <c r="N57" s="299"/>
      <c r="O57" s="297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303"/>
      <c r="D58" s="303"/>
      <c r="E58" s="300"/>
      <c r="F58" s="500"/>
      <c r="G58" s="501"/>
      <c r="H58" s="501"/>
      <c r="I58" s="501"/>
      <c r="J58" s="501"/>
      <c r="K58" s="501"/>
      <c r="L58" s="501"/>
      <c r="M58" s="502"/>
      <c r="N58" s="299"/>
      <c r="O58" s="297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303"/>
      <c r="D59" s="303"/>
      <c r="E59" s="300"/>
      <c r="F59" s="500"/>
      <c r="G59" s="501"/>
      <c r="H59" s="501"/>
      <c r="I59" s="501"/>
      <c r="J59" s="501"/>
      <c r="K59" s="501"/>
      <c r="L59" s="501"/>
      <c r="M59" s="502"/>
      <c r="N59" s="299"/>
      <c r="O59" s="297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300"/>
      <c r="D60" s="300"/>
      <c r="E60" s="300"/>
      <c r="F60" s="500"/>
      <c r="G60" s="501"/>
      <c r="H60" s="501"/>
      <c r="I60" s="501"/>
      <c r="J60" s="501"/>
      <c r="K60" s="501"/>
      <c r="L60" s="501"/>
      <c r="M60" s="502"/>
      <c r="N60" s="299"/>
      <c r="O60" s="297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301"/>
      <c r="D61" s="302"/>
      <c r="E61" s="302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404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298" t="s">
        <v>2</v>
      </c>
      <c r="D63" s="298" t="s">
        <v>37</v>
      </c>
      <c r="E63" s="298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298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118</v>
      </c>
      <c r="D64" s="293"/>
      <c r="E64" s="296" t="s">
        <v>217</v>
      </c>
      <c r="F64" s="488" t="s">
        <v>405</v>
      </c>
      <c r="G64" s="489"/>
      <c r="H64" s="489"/>
      <c r="I64" s="489"/>
      <c r="J64" s="490"/>
      <c r="K64" s="476" t="s">
        <v>134</v>
      </c>
      <c r="L64" s="476"/>
      <c r="M64" s="51" t="s">
        <v>225</v>
      </c>
      <c r="N64" s="485" t="s">
        <v>155</v>
      </c>
      <c r="O64" s="485"/>
      <c r="P64" s="486">
        <v>50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/>
      <c r="D65" s="293"/>
      <c r="E65" s="296"/>
      <c r="F65" s="488"/>
      <c r="G65" s="489"/>
      <c r="H65" s="489"/>
      <c r="I65" s="489"/>
      <c r="J65" s="490"/>
      <c r="K65" s="476"/>
      <c r="L65" s="476"/>
      <c r="M65" s="51"/>
      <c r="N65" s="485"/>
      <c r="O65" s="48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293"/>
      <c r="E66" s="296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293"/>
      <c r="E67" s="296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293"/>
      <c r="E68" s="296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293"/>
      <c r="E69" s="296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293"/>
      <c r="E70" s="296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293"/>
      <c r="E71" s="296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293"/>
      <c r="E72" s="296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293"/>
      <c r="E73" s="296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406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295" t="s">
        <v>2</v>
      </c>
      <c r="D75" s="295" t="s">
        <v>37</v>
      </c>
      <c r="E75" s="295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294" t="s">
        <v>112</v>
      </c>
      <c r="D76" s="294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293"/>
      <c r="D77" s="293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293"/>
      <c r="D78" s="293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293"/>
      <c r="D79" s="293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293"/>
      <c r="D80" s="293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293"/>
      <c r="D81" s="293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293"/>
      <c r="D82" s="293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407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59A5-A7FB-4D76-A61F-396CF4C1762C}">
  <dimension ref="A1:AF87"/>
  <sheetViews>
    <sheetView view="pageBreakPreview" zoomScale="70" zoomScaleNormal="72" zoomScaleSheetLayoutView="70" workbookViewId="0">
      <selection activeCell="F78" sqref="F78:J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408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306" t="s">
        <v>17</v>
      </c>
      <c r="L5" s="306" t="s">
        <v>18</v>
      </c>
      <c r="M5" s="306" t="s">
        <v>19</v>
      </c>
      <c r="N5" s="30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119</v>
      </c>
      <c r="D6" s="52" t="s">
        <v>353</v>
      </c>
      <c r="E6" s="53" t="s">
        <v>360</v>
      </c>
      <c r="F6" s="12" t="s">
        <v>361</v>
      </c>
      <c r="G6" s="12">
        <v>5</v>
      </c>
      <c r="H6" s="13">
        <v>24</v>
      </c>
      <c r="I6" s="31">
        <v>100000</v>
      </c>
      <c r="J6" s="14">
        <v>14215</v>
      </c>
      <c r="K6" s="15">
        <f>L6+31240+28840+29235</f>
        <v>103530</v>
      </c>
      <c r="L6" s="15">
        <f>2843*5</f>
        <v>14215</v>
      </c>
      <c r="M6" s="15">
        <f t="shared" ref="M6:M21" si="0">L6-N6</f>
        <v>14215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14</v>
      </c>
      <c r="Q6" s="40">
        <f t="shared" ref="Q6:Q21" si="3">SUM(R6:AA6)</f>
        <v>10</v>
      </c>
      <c r="R6" s="7"/>
      <c r="S6" s="6">
        <v>10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0.58333333333333337</v>
      </c>
      <c r="AD6" s="10">
        <f t="shared" ref="AD6:AD21" si="6">AC6*AB6*(1-O6)</f>
        <v>0.58333333333333337</v>
      </c>
      <c r="AE6" s="36">
        <f t="shared" ref="AE6:AE21" si="7">$AD$22</f>
        <v>0.49479166666666674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6010</v>
      </c>
      <c r="K7" s="15">
        <f>L7+3683+2801+972+5614+6047+6028+2698+3397+3300</f>
        <v>40550</v>
      </c>
      <c r="L7" s="15">
        <f>2981+3029</f>
        <v>6010</v>
      </c>
      <c r="M7" s="15">
        <f t="shared" si="0"/>
        <v>6010</v>
      </c>
      <c r="N7" s="15">
        <v>0</v>
      </c>
      <c r="O7" s="58">
        <f t="shared" si="1"/>
        <v>0</v>
      </c>
      <c r="P7" s="39">
        <f t="shared" si="2"/>
        <v>13</v>
      </c>
      <c r="Q7" s="40">
        <f t="shared" si="3"/>
        <v>11</v>
      </c>
      <c r="R7" s="7"/>
      <c r="S7" s="6">
        <v>11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0.54166666666666663</v>
      </c>
      <c r="AD7" s="10">
        <f t="shared" si="6"/>
        <v>0.54166666666666663</v>
      </c>
      <c r="AE7" s="36">
        <f t="shared" si="7"/>
        <v>0.49479166666666674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119</v>
      </c>
      <c r="D8" s="52" t="s">
        <v>115</v>
      </c>
      <c r="E8" s="53" t="s">
        <v>168</v>
      </c>
      <c r="F8" s="30" t="s">
        <v>122</v>
      </c>
      <c r="G8" s="33">
        <v>1</v>
      </c>
      <c r="H8" s="35">
        <v>24</v>
      </c>
      <c r="I8" s="7">
        <v>25000</v>
      </c>
      <c r="J8" s="14">
        <v>1180</v>
      </c>
      <c r="K8" s="15">
        <f>L8</f>
        <v>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0.49479166666666674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127</v>
      </c>
      <c r="E9" s="53" t="s">
        <v>382</v>
      </c>
      <c r="F9" s="30" t="s">
        <v>134</v>
      </c>
      <c r="G9" s="33">
        <v>1</v>
      </c>
      <c r="H9" s="35">
        <v>24</v>
      </c>
      <c r="I9" s="7">
        <v>2000</v>
      </c>
      <c r="J9" s="5">
        <v>4207</v>
      </c>
      <c r="K9" s="15">
        <f>L9</f>
        <v>4207</v>
      </c>
      <c r="L9" s="15">
        <f>2140+2067</f>
        <v>4207</v>
      </c>
      <c r="M9" s="15">
        <f t="shared" si="0"/>
        <v>4207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/>
      <c r="T9" s="16">
        <v>1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>AC9*AB9*(1-O9)</f>
        <v>0.95833333333333337</v>
      </c>
      <c r="AE9" s="36">
        <f t="shared" si="7"/>
        <v>0.49479166666666674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129</v>
      </c>
      <c r="E10" s="53" t="s">
        <v>131</v>
      </c>
      <c r="F10" s="30" t="s">
        <v>122</v>
      </c>
      <c r="G10" s="33">
        <v>4</v>
      </c>
      <c r="H10" s="35">
        <v>24</v>
      </c>
      <c r="I10" s="7">
        <f>160000+200000</f>
        <v>360000</v>
      </c>
      <c r="J10" s="14">
        <v>26372</v>
      </c>
      <c r="K10" s="15">
        <f>L10+14316+24980+26456</f>
        <v>92124</v>
      </c>
      <c r="L10" s="15">
        <f>3263*4+3330*4</f>
        <v>26372</v>
      </c>
      <c r="M10" s="15">
        <f t="shared" si="0"/>
        <v>26372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0.49479166666666674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0.49479166666666674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/>
      <c r="E12" s="53" t="s">
        <v>381</v>
      </c>
      <c r="F12" s="30" t="s">
        <v>394</v>
      </c>
      <c r="G12" s="12">
        <v>1</v>
      </c>
      <c r="H12" s="13">
        <v>20</v>
      </c>
      <c r="I12" s="31">
        <f>7500+11500</f>
        <v>19000</v>
      </c>
      <c r="J12" s="5">
        <v>4924</v>
      </c>
      <c r="K12" s="15">
        <f>L12+3747</f>
        <v>8671</v>
      </c>
      <c r="L12" s="15">
        <f>2447+2477</f>
        <v>4924</v>
      </c>
      <c r="M12" s="15">
        <f t="shared" si="0"/>
        <v>4924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0.49479166666666674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4706</v>
      </c>
      <c r="K13" s="15">
        <f>L13+3081+4425+5156+4934+4706</f>
        <v>22302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>
        <v>24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0.49479166666666674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0.49479166666666674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1444</v>
      </c>
      <c r="K15" s="15">
        <f>L15+2898+5234</f>
        <v>9576</v>
      </c>
      <c r="L15" s="15">
        <v>1444</v>
      </c>
      <c r="M15" s="15">
        <f t="shared" si="0"/>
        <v>1444</v>
      </c>
      <c r="N15" s="15">
        <v>0</v>
      </c>
      <c r="O15" s="58">
        <f t="shared" si="1"/>
        <v>0</v>
      </c>
      <c r="P15" s="39">
        <f t="shared" si="2"/>
        <v>8</v>
      </c>
      <c r="Q15" s="40">
        <f t="shared" si="3"/>
        <v>16</v>
      </c>
      <c r="R15" s="7"/>
      <c r="S15" s="6">
        <v>16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0.33333333333333331</v>
      </c>
      <c r="AD15" s="10">
        <f t="shared" si="6"/>
        <v>0.33333333333333331</v>
      </c>
      <c r="AE15" s="36">
        <f t="shared" si="7"/>
        <v>0.49479166666666674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144</v>
      </c>
      <c r="E16" s="53" t="s">
        <v>402</v>
      </c>
      <c r="F16" s="30" t="s">
        <v>409</v>
      </c>
      <c r="G16" s="12">
        <v>1</v>
      </c>
      <c r="H16" s="13">
        <v>24</v>
      </c>
      <c r="I16" s="7">
        <v>33000</v>
      </c>
      <c r="J16" s="14">
        <v>3599</v>
      </c>
      <c r="K16" s="15">
        <f>L16</f>
        <v>3599</v>
      </c>
      <c r="L16" s="15">
        <f>746+2853</f>
        <v>3599</v>
      </c>
      <c r="M16" s="15">
        <f t="shared" si="0"/>
        <v>3599</v>
      </c>
      <c r="N16" s="15">
        <v>0</v>
      </c>
      <c r="O16" s="58">
        <f t="shared" si="1"/>
        <v>0</v>
      </c>
      <c r="P16" s="39">
        <f t="shared" si="2"/>
        <v>18</v>
      </c>
      <c r="Q16" s="40">
        <f t="shared" si="3"/>
        <v>6</v>
      </c>
      <c r="R16" s="7"/>
      <c r="S16" s="6">
        <v>6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0.75</v>
      </c>
      <c r="AD16" s="10">
        <f t="shared" si="6"/>
        <v>0.75</v>
      </c>
      <c r="AE16" s="36">
        <f t="shared" si="7"/>
        <v>0.49479166666666674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384</v>
      </c>
      <c r="F17" s="30" t="s">
        <v>385</v>
      </c>
      <c r="G17" s="12">
        <v>1</v>
      </c>
      <c r="H17" s="13">
        <v>24</v>
      </c>
      <c r="I17" s="7">
        <v>420</v>
      </c>
      <c r="J17" s="14">
        <v>653</v>
      </c>
      <c r="K17" s="15">
        <f>L17</f>
        <v>653</v>
      </c>
      <c r="L17" s="15">
        <f>140+513</f>
        <v>653</v>
      </c>
      <c r="M17" s="15">
        <f t="shared" si="0"/>
        <v>653</v>
      </c>
      <c r="N17" s="15">
        <v>0</v>
      </c>
      <c r="O17" s="58">
        <f t="shared" si="1"/>
        <v>0</v>
      </c>
      <c r="P17" s="39">
        <f t="shared" si="2"/>
        <v>4</v>
      </c>
      <c r="Q17" s="40">
        <f t="shared" si="3"/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6">
        <f t="shared" si="7"/>
        <v>0.49479166666666674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395</v>
      </c>
      <c r="F18" s="30" t="s">
        <v>200</v>
      </c>
      <c r="G18" s="33">
        <v>1</v>
      </c>
      <c r="H18" s="35">
        <v>24</v>
      </c>
      <c r="I18" s="7">
        <v>4100</v>
      </c>
      <c r="J18" s="14">
        <v>4188</v>
      </c>
      <c r="K18" s="15">
        <f>L18+780</f>
        <v>4968</v>
      </c>
      <c r="L18" s="15">
        <f>1783+2405</f>
        <v>4188</v>
      </c>
      <c r="M18" s="15">
        <f t="shared" si="0"/>
        <v>4188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>
        <v>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6">
        <f t="shared" si="7"/>
        <v>0.49479166666666674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159</v>
      </c>
      <c r="F19" s="30" t="s">
        <v>160</v>
      </c>
      <c r="G19" s="33">
        <v>1</v>
      </c>
      <c r="H19" s="35">
        <v>24</v>
      </c>
      <c r="I19" s="7">
        <v>37000</v>
      </c>
      <c r="J19" s="14">
        <v>3309</v>
      </c>
      <c r="K19" s="15">
        <f>L19+2899+5033+5215+3784+4938+5470+3102+2265+5614</f>
        <v>41629</v>
      </c>
      <c r="L19" s="15">
        <f>2841+468</f>
        <v>3309</v>
      </c>
      <c r="M19" s="15">
        <f t="shared" si="0"/>
        <v>3309</v>
      </c>
      <c r="N19" s="15">
        <v>0</v>
      </c>
      <c r="O19" s="58">
        <f t="shared" si="1"/>
        <v>0</v>
      </c>
      <c r="P19" s="39">
        <f t="shared" si="2"/>
        <v>16</v>
      </c>
      <c r="Q19" s="40">
        <f t="shared" si="3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0.66666666666666663</v>
      </c>
      <c r="AD19" s="10">
        <f t="shared" si="6"/>
        <v>0.66666666666666663</v>
      </c>
      <c r="AE19" s="36">
        <f t="shared" si="7"/>
        <v>0.49479166666666674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119</v>
      </c>
      <c r="D20" s="52" t="s">
        <v>115</v>
      </c>
      <c r="E20" s="53" t="s">
        <v>153</v>
      </c>
      <c r="F20" s="30" t="s">
        <v>122</v>
      </c>
      <c r="G20" s="12">
        <v>4</v>
      </c>
      <c r="H20" s="13">
        <v>28</v>
      </c>
      <c r="I20" s="31">
        <v>200000</v>
      </c>
      <c r="J20" s="5">
        <v>19449</v>
      </c>
      <c r="K20" s="15">
        <f>L20+23692+25036+22166</f>
        <v>90343</v>
      </c>
      <c r="L20" s="15">
        <f>3298*3+3185*3</f>
        <v>19449</v>
      </c>
      <c r="M20" s="15">
        <f t="shared" si="0"/>
        <v>19449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0.49479166666666674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0.49479166666666674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1375820</v>
      </c>
      <c r="J22" s="19">
        <f t="shared" si="10"/>
        <v>112595</v>
      </c>
      <c r="K22" s="20">
        <f t="shared" si="10"/>
        <v>728123</v>
      </c>
      <c r="L22" s="21">
        <f t="shared" si="10"/>
        <v>88370</v>
      </c>
      <c r="M22" s="20">
        <f t="shared" si="10"/>
        <v>88370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190</v>
      </c>
      <c r="Q22" s="43">
        <f t="shared" si="11"/>
        <v>194</v>
      </c>
      <c r="R22" s="23">
        <f t="shared" si="11"/>
        <v>24</v>
      </c>
      <c r="S22" s="24">
        <f t="shared" si="11"/>
        <v>101</v>
      </c>
      <c r="T22" s="24">
        <f t="shared" si="11"/>
        <v>1</v>
      </c>
      <c r="U22" s="24">
        <f t="shared" si="11"/>
        <v>0</v>
      </c>
      <c r="V22" s="25">
        <f t="shared" si="11"/>
        <v>24</v>
      </c>
      <c r="W22" s="26">
        <f t="shared" si="11"/>
        <v>20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0.6875</v>
      </c>
      <c r="AC22" s="4">
        <f>AVERAGE(AC6:AC21)</f>
        <v>0.49479166666666674</v>
      </c>
      <c r="AD22" s="4">
        <f>AVERAGE(AD6:AD21)</f>
        <v>0.49479166666666674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410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420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307" t="s">
        <v>46</v>
      </c>
      <c r="D51" s="307" t="s">
        <v>47</v>
      </c>
      <c r="E51" s="307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307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119</v>
      </c>
      <c r="B52" s="513"/>
      <c r="C52" s="308" t="s">
        <v>411</v>
      </c>
      <c r="D52" s="308" t="s">
        <v>115</v>
      </c>
      <c r="E52" s="309" t="s">
        <v>157</v>
      </c>
      <c r="F52" s="500" t="s">
        <v>412</v>
      </c>
      <c r="G52" s="501"/>
      <c r="H52" s="501"/>
      <c r="I52" s="501"/>
      <c r="J52" s="501"/>
      <c r="K52" s="501"/>
      <c r="L52" s="501"/>
      <c r="M52" s="502"/>
      <c r="N52" s="313" t="s">
        <v>119</v>
      </c>
      <c r="O52" s="315" t="s">
        <v>140</v>
      </c>
      <c r="P52" s="514" t="s">
        <v>115</v>
      </c>
      <c r="Q52" s="515"/>
      <c r="R52" s="514" t="s">
        <v>168</v>
      </c>
      <c r="S52" s="516"/>
      <c r="T52" s="516"/>
      <c r="U52" s="515"/>
      <c r="V52" s="487" t="s">
        <v>401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118</v>
      </c>
      <c r="B53" s="513"/>
      <c r="C53" s="308" t="s">
        <v>155</v>
      </c>
      <c r="D53" s="308" t="s">
        <v>132</v>
      </c>
      <c r="E53" s="309" t="s">
        <v>382</v>
      </c>
      <c r="F53" s="500" t="s">
        <v>141</v>
      </c>
      <c r="G53" s="501"/>
      <c r="H53" s="501"/>
      <c r="I53" s="501"/>
      <c r="J53" s="501"/>
      <c r="K53" s="501"/>
      <c r="L53" s="501"/>
      <c r="M53" s="502"/>
      <c r="N53" s="313" t="s">
        <v>121</v>
      </c>
      <c r="O53" s="315" t="s">
        <v>143</v>
      </c>
      <c r="P53" s="514"/>
      <c r="Q53" s="515"/>
      <c r="R53" s="514" t="s">
        <v>414</v>
      </c>
      <c r="S53" s="516"/>
      <c r="T53" s="516"/>
      <c r="U53" s="515"/>
      <c r="V53" s="487" t="s">
        <v>141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121</v>
      </c>
      <c r="B54" s="513"/>
      <c r="C54" s="308" t="s">
        <v>190</v>
      </c>
      <c r="D54" s="308"/>
      <c r="E54" s="309" t="s">
        <v>154</v>
      </c>
      <c r="F54" s="500" t="s">
        <v>333</v>
      </c>
      <c r="G54" s="501"/>
      <c r="H54" s="501"/>
      <c r="I54" s="501"/>
      <c r="J54" s="501"/>
      <c r="K54" s="501"/>
      <c r="L54" s="501"/>
      <c r="M54" s="502"/>
      <c r="N54" s="313" t="s">
        <v>121</v>
      </c>
      <c r="O54" s="315" t="s">
        <v>155</v>
      </c>
      <c r="P54" s="514"/>
      <c r="Q54" s="515"/>
      <c r="R54" s="514" t="s">
        <v>415</v>
      </c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118</v>
      </c>
      <c r="B55" s="513"/>
      <c r="C55" s="308" t="s">
        <v>142</v>
      </c>
      <c r="D55" s="308" t="s">
        <v>115</v>
      </c>
      <c r="E55" s="309" t="s">
        <v>395</v>
      </c>
      <c r="F55" s="500" t="s">
        <v>130</v>
      </c>
      <c r="G55" s="501"/>
      <c r="H55" s="501"/>
      <c r="I55" s="501"/>
      <c r="J55" s="501"/>
      <c r="K55" s="501"/>
      <c r="L55" s="501"/>
      <c r="M55" s="502"/>
      <c r="N55" s="313" t="s">
        <v>118</v>
      </c>
      <c r="O55" s="315" t="s">
        <v>142</v>
      </c>
      <c r="P55" s="514" t="s">
        <v>115</v>
      </c>
      <c r="Q55" s="515"/>
      <c r="R55" s="514" t="s">
        <v>416</v>
      </c>
      <c r="S55" s="516"/>
      <c r="T55" s="516"/>
      <c r="U55" s="515"/>
      <c r="V55" s="487" t="s">
        <v>141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118</v>
      </c>
      <c r="B56" s="513"/>
      <c r="C56" s="308" t="s">
        <v>403</v>
      </c>
      <c r="D56" s="308" t="s">
        <v>144</v>
      </c>
      <c r="E56" s="309" t="s">
        <v>402</v>
      </c>
      <c r="F56" s="500" t="s">
        <v>413</v>
      </c>
      <c r="G56" s="501"/>
      <c r="H56" s="501"/>
      <c r="I56" s="501"/>
      <c r="J56" s="501"/>
      <c r="K56" s="501"/>
      <c r="L56" s="501"/>
      <c r="M56" s="502"/>
      <c r="N56" s="313" t="s">
        <v>112</v>
      </c>
      <c r="O56" s="315" t="s">
        <v>151</v>
      </c>
      <c r="P56" s="514" t="s">
        <v>217</v>
      </c>
      <c r="Q56" s="515"/>
      <c r="R56" s="514" t="s">
        <v>218</v>
      </c>
      <c r="S56" s="516"/>
      <c r="T56" s="516"/>
      <c r="U56" s="515"/>
      <c r="V56" s="487" t="s">
        <v>141</v>
      </c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118</v>
      </c>
      <c r="B57" s="513"/>
      <c r="C57" s="308" t="s">
        <v>371</v>
      </c>
      <c r="D57" s="308" t="s">
        <v>127</v>
      </c>
      <c r="E57" s="309" t="s">
        <v>384</v>
      </c>
      <c r="F57" s="500" t="s">
        <v>367</v>
      </c>
      <c r="G57" s="501"/>
      <c r="H57" s="501"/>
      <c r="I57" s="501"/>
      <c r="J57" s="501"/>
      <c r="K57" s="501"/>
      <c r="L57" s="501"/>
      <c r="M57" s="502"/>
      <c r="N57" s="313" t="s">
        <v>118</v>
      </c>
      <c r="O57" s="315"/>
      <c r="P57" s="514"/>
      <c r="Q57" s="515"/>
      <c r="R57" s="514" t="s">
        <v>288</v>
      </c>
      <c r="S57" s="516"/>
      <c r="T57" s="516"/>
      <c r="U57" s="515"/>
      <c r="V57" s="487" t="s">
        <v>130</v>
      </c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308"/>
      <c r="D58" s="308"/>
      <c r="E58" s="309"/>
      <c r="F58" s="500"/>
      <c r="G58" s="501"/>
      <c r="H58" s="501"/>
      <c r="I58" s="501"/>
      <c r="J58" s="501"/>
      <c r="K58" s="501"/>
      <c r="L58" s="501"/>
      <c r="M58" s="502"/>
      <c r="N58" s="313"/>
      <c r="O58" s="315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308"/>
      <c r="D59" s="308"/>
      <c r="E59" s="309"/>
      <c r="F59" s="500"/>
      <c r="G59" s="501"/>
      <c r="H59" s="501"/>
      <c r="I59" s="501"/>
      <c r="J59" s="501"/>
      <c r="K59" s="501"/>
      <c r="L59" s="501"/>
      <c r="M59" s="502"/>
      <c r="N59" s="313"/>
      <c r="O59" s="315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309"/>
      <c r="D60" s="309"/>
      <c r="E60" s="309"/>
      <c r="F60" s="500"/>
      <c r="G60" s="501"/>
      <c r="H60" s="501"/>
      <c r="I60" s="501"/>
      <c r="J60" s="501"/>
      <c r="K60" s="501"/>
      <c r="L60" s="501"/>
      <c r="M60" s="502"/>
      <c r="N60" s="313"/>
      <c r="O60" s="315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310"/>
      <c r="D61" s="311"/>
      <c r="E61" s="311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419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312" t="s">
        <v>2</v>
      </c>
      <c r="D63" s="312" t="s">
        <v>37</v>
      </c>
      <c r="E63" s="312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312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118</v>
      </c>
      <c r="D64" s="317"/>
      <c r="E64" s="314" t="s">
        <v>127</v>
      </c>
      <c r="F64" s="488" t="s">
        <v>417</v>
      </c>
      <c r="G64" s="489"/>
      <c r="H64" s="489"/>
      <c r="I64" s="489"/>
      <c r="J64" s="490"/>
      <c r="K64" s="476">
        <v>8301</v>
      </c>
      <c r="L64" s="476"/>
      <c r="M64" s="51" t="s">
        <v>195</v>
      </c>
      <c r="N64" s="485" t="s">
        <v>143</v>
      </c>
      <c r="O64" s="485"/>
      <c r="P64" s="486">
        <v>100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/>
      <c r="D65" s="317"/>
      <c r="E65" s="314"/>
      <c r="F65" s="488"/>
      <c r="G65" s="489"/>
      <c r="H65" s="489"/>
      <c r="I65" s="489"/>
      <c r="J65" s="490"/>
      <c r="K65" s="476"/>
      <c r="L65" s="476"/>
      <c r="M65" s="51"/>
      <c r="N65" s="485"/>
      <c r="O65" s="48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317"/>
      <c r="E66" s="314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317"/>
      <c r="E67" s="314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317"/>
      <c r="E68" s="314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317"/>
      <c r="E69" s="314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317"/>
      <c r="E70" s="314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317"/>
      <c r="E71" s="314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317"/>
      <c r="E72" s="314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317"/>
      <c r="E73" s="314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418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316" t="s">
        <v>2</v>
      </c>
      <c r="D75" s="316" t="s">
        <v>37</v>
      </c>
      <c r="E75" s="316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318" t="s">
        <v>112</v>
      </c>
      <c r="D76" s="318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317"/>
      <c r="D77" s="317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317"/>
      <c r="D78" s="317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317"/>
      <c r="D79" s="317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317"/>
      <c r="D80" s="317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317"/>
      <c r="D81" s="317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317"/>
      <c r="D82" s="317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421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11</v>
      </c>
      <c r="D85" s="452"/>
      <c r="E85" s="452" t="s">
        <v>136</v>
      </c>
      <c r="F85" s="452"/>
      <c r="G85" s="452"/>
      <c r="H85" s="452"/>
      <c r="I85" s="452"/>
      <c r="J85" s="452"/>
      <c r="K85" s="452" t="s">
        <v>138</v>
      </c>
      <c r="L85" s="452"/>
      <c r="M85" s="452"/>
      <c r="N85" s="452"/>
      <c r="O85" s="452"/>
      <c r="P85" s="452"/>
      <c r="Q85" s="452"/>
      <c r="R85" s="452"/>
      <c r="S85" s="452"/>
      <c r="T85" s="452" t="s">
        <v>137</v>
      </c>
      <c r="U85" s="452"/>
      <c r="V85" s="453"/>
      <c r="W85" s="453"/>
      <c r="X85" s="453"/>
      <c r="Y85" s="454" t="s">
        <v>139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AB46-8B71-4A22-B0B7-510034D98675}">
  <dimension ref="A1:AF87"/>
  <sheetViews>
    <sheetView view="pageBreakPreview" zoomScale="70" zoomScaleNormal="72" zoomScaleSheetLayoutView="70" workbookViewId="0">
      <selection activeCell="L17" sqref="L1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422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331" t="s">
        <v>17</v>
      </c>
      <c r="L5" s="331" t="s">
        <v>18</v>
      </c>
      <c r="M5" s="331" t="s">
        <v>19</v>
      </c>
      <c r="N5" s="33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/>
      <c r="E6" s="53" t="s">
        <v>414</v>
      </c>
      <c r="F6" s="12" t="s">
        <v>156</v>
      </c>
      <c r="G6" s="12">
        <v>2</v>
      </c>
      <c r="H6" s="13">
        <v>24</v>
      </c>
      <c r="I6" s="31">
        <v>23500</v>
      </c>
      <c r="J6" s="14">
        <v>9388</v>
      </c>
      <c r="K6" s="15">
        <f>L6</f>
        <v>9388</v>
      </c>
      <c r="L6" s="15">
        <f>1534*2+3160*2</f>
        <v>9388</v>
      </c>
      <c r="M6" s="15">
        <f t="shared" ref="M6:M21" si="0">L6-N6</f>
        <v>9388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22</v>
      </c>
      <c r="Q6" s="40">
        <f t="shared" ref="Q6:Q21" si="3">SUM(R6:AA6)</f>
        <v>2</v>
      </c>
      <c r="R6" s="7"/>
      <c r="S6" s="6"/>
      <c r="T6" s="16">
        <v>2</v>
      </c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0.91666666666666663</v>
      </c>
      <c r="AD6" s="10">
        <f t="shared" ref="AD6:AD21" si="6">AC6*AB6*(1-O6)</f>
        <v>0.91666666666666663</v>
      </c>
      <c r="AE6" s="36">
        <f t="shared" ref="AE6:AE21" si="7">$AD$22</f>
        <v>0.57552083333333326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4686</v>
      </c>
      <c r="K7" s="15">
        <f>L7+3683+2801+972+5614+6047+6028+2698+3397+3300+6010</f>
        <v>45236</v>
      </c>
      <c r="L7" s="15">
        <f>1635+3051</f>
        <v>4686</v>
      </c>
      <c r="M7" s="15">
        <f t="shared" si="0"/>
        <v>4686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>
        <v>3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0.57552083333333326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119</v>
      </c>
      <c r="D8" s="52" t="s">
        <v>115</v>
      </c>
      <c r="E8" s="53" t="s">
        <v>168</v>
      </c>
      <c r="F8" s="30" t="s">
        <v>122</v>
      </c>
      <c r="G8" s="33">
        <v>1</v>
      </c>
      <c r="H8" s="35">
        <v>24</v>
      </c>
      <c r="I8" s="7">
        <v>25000</v>
      </c>
      <c r="J8" s="14">
        <v>2936</v>
      </c>
      <c r="K8" s="15">
        <f>L8</f>
        <v>2936</v>
      </c>
      <c r="L8" s="15">
        <f>2936</f>
        <v>2936</v>
      </c>
      <c r="M8" s="15">
        <f t="shared" si="0"/>
        <v>2936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11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6"/>
        <v>0.54166666666666663</v>
      </c>
      <c r="AE8" s="36">
        <f t="shared" si="7"/>
        <v>0.57552083333333326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121</v>
      </c>
      <c r="D9" s="52"/>
      <c r="E9" s="53" t="s">
        <v>415</v>
      </c>
      <c r="F9" s="30" t="s">
        <v>122</v>
      </c>
      <c r="G9" s="33">
        <v>2</v>
      </c>
      <c r="H9" s="35">
        <v>24</v>
      </c>
      <c r="I9" s="7">
        <v>23500</v>
      </c>
      <c r="J9" s="5">
        <v>9384</v>
      </c>
      <c r="K9" s="15">
        <f>L9</f>
        <v>9384</v>
      </c>
      <c r="L9" s="15">
        <f>2036*2+2656*2</f>
        <v>9384</v>
      </c>
      <c r="M9" s="15">
        <f t="shared" si="0"/>
        <v>9384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/>
      <c r="T9" s="16">
        <v>1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>AC9*AB9*(1-O9)</f>
        <v>0.95833333333333337</v>
      </c>
      <c r="AE9" s="36">
        <f t="shared" si="7"/>
        <v>0.57552083333333326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129</v>
      </c>
      <c r="E10" s="53" t="s">
        <v>131</v>
      </c>
      <c r="F10" s="30" t="s">
        <v>122</v>
      </c>
      <c r="G10" s="33">
        <v>4</v>
      </c>
      <c r="H10" s="35">
        <v>24</v>
      </c>
      <c r="I10" s="7">
        <f>160000+200000</f>
        <v>360000</v>
      </c>
      <c r="J10" s="14">
        <v>26832</v>
      </c>
      <c r="K10" s="15">
        <f>L10+14316+24980+26456+26372</f>
        <v>118956</v>
      </c>
      <c r="L10" s="15">
        <f>3506*4+3202*4</f>
        <v>26832</v>
      </c>
      <c r="M10" s="15">
        <f t="shared" si="0"/>
        <v>26832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0.57552083333333326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0.57552083333333326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/>
      <c r="E12" s="53" t="s">
        <v>381</v>
      </c>
      <c r="F12" s="30" t="s">
        <v>394</v>
      </c>
      <c r="G12" s="12">
        <v>1</v>
      </c>
      <c r="H12" s="13">
        <v>20</v>
      </c>
      <c r="I12" s="31">
        <f>7500+11500</f>
        <v>19000</v>
      </c>
      <c r="J12" s="5">
        <v>4838</v>
      </c>
      <c r="K12" s="15">
        <f>L12+3747+4924</f>
        <v>13509</v>
      </c>
      <c r="L12" s="15">
        <f>2436+2402</f>
        <v>4838</v>
      </c>
      <c r="M12" s="15">
        <f t="shared" si="0"/>
        <v>4838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0.57552083333333326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4706</v>
      </c>
      <c r="K13" s="15">
        <f>L13+3081+4425+5156+4934+4706</f>
        <v>22302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>
        <v>24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0.57552083333333326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165</v>
      </c>
      <c r="F14" s="30" t="s">
        <v>128</v>
      </c>
      <c r="G14" s="33">
        <v>1</v>
      </c>
      <c r="H14" s="35">
        <v>60</v>
      </c>
      <c r="I14" s="7">
        <v>300</v>
      </c>
      <c r="J14" s="5">
        <v>112</v>
      </c>
      <c r="K14" s="15">
        <f>L14+112</f>
        <v>112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0.57552083333333326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1444</v>
      </c>
      <c r="K15" s="15">
        <f>L15+2898+5234+1444</f>
        <v>9576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0.57552083333333326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144</v>
      </c>
      <c r="E16" s="53" t="s">
        <v>402</v>
      </c>
      <c r="F16" s="30" t="s">
        <v>409</v>
      </c>
      <c r="G16" s="12">
        <v>1</v>
      </c>
      <c r="H16" s="13">
        <v>24</v>
      </c>
      <c r="I16" s="7">
        <v>33000</v>
      </c>
      <c r="J16" s="14">
        <v>5250</v>
      </c>
      <c r="K16" s="15">
        <f>L16+3599</f>
        <v>8849</v>
      </c>
      <c r="L16" s="15">
        <f>2739+2511</f>
        <v>5250</v>
      </c>
      <c r="M16" s="15">
        <f t="shared" si="0"/>
        <v>5250</v>
      </c>
      <c r="N16" s="15">
        <v>0</v>
      </c>
      <c r="O16" s="58">
        <f t="shared" si="1"/>
        <v>0</v>
      </c>
      <c r="P16" s="39">
        <f t="shared" si="2"/>
        <v>23</v>
      </c>
      <c r="Q16" s="40">
        <f t="shared" si="3"/>
        <v>1</v>
      </c>
      <c r="R16" s="7"/>
      <c r="S16" s="6">
        <v>1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0.95833333333333337</v>
      </c>
      <c r="AD16" s="10">
        <f t="shared" si="6"/>
        <v>0.95833333333333337</v>
      </c>
      <c r="AE16" s="36">
        <f t="shared" si="7"/>
        <v>0.57552083333333326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423</v>
      </c>
      <c r="F17" s="30" t="s">
        <v>145</v>
      </c>
      <c r="G17" s="12">
        <v>1</v>
      </c>
      <c r="H17" s="13">
        <v>24</v>
      </c>
      <c r="I17" s="7">
        <v>1000</v>
      </c>
      <c r="J17" s="14">
        <v>1204</v>
      </c>
      <c r="K17" s="15">
        <f>L17</f>
        <v>1204</v>
      </c>
      <c r="L17" s="15">
        <f>1204</f>
        <v>1204</v>
      </c>
      <c r="M17" s="15">
        <f t="shared" si="0"/>
        <v>1204</v>
      </c>
      <c r="N17" s="15">
        <v>0</v>
      </c>
      <c r="O17" s="58">
        <f t="shared" si="1"/>
        <v>0</v>
      </c>
      <c r="P17" s="39">
        <f t="shared" si="2"/>
        <v>7</v>
      </c>
      <c r="Q17" s="40">
        <f t="shared" si="3"/>
        <v>17</v>
      </c>
      <c r="R17" s="7"/>
      <c r="S17" s="6"/>
      <c r="T17" s="16"/>
      <c r="U17" s="16"/>
      <c r="V17" s="17"/>
      <c r="W17" s="5">
        <v>17</v>
      </c>
      <c r="X17" s="16"/>
      <c r="Y17" s="16"/>
      <c r="Z17" s="16"/>
      <c r="AA17" s="18"/>
      <c r="AB17" s="8">
        <f t="shared" si="4"/>
        <v>1</v>
      </c>
      <c r="AC17" s="9">
        <f t="shared" si="5"/>
        <v>0.29166666666666669</v>
      </c>
      <c r="AD17" s="10">
        <f t="shared" si="6"/>
        <v>0.29166666666666669</v>
      </c>
      <c r="AE17" s="36">
        <f t="shared" si="7"/>
        <v>0.57552083333333326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416</v>
      </c>
      <c r="F18" s="30" t="s">
        <v>128</v>
      </c>
      <c r="G18" s="33">
        <v>1</v>
      </c>
      <c r="H18" s="35">
        <v>24</v>
      </c>
      <c r="I18" s="7">
        <v>30000</v>
      </c>
      <c r="J18" s="14">
        <v>5205</v>
      </c>
      <c r="K18" s="15">
        <f>L18</f>
        <v>5205</v>
      </c>
      <c r="L18" s="15">
        <f>2226+2979</f>
        <v>5205</v>
      </c>
      <c r="M18" s="15">
        <f t="shared" si="0"/>
        <v>5205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/>
      <c r="T18" s="16">
        <v>1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6">
        <f t="shared" si="7"/>
        <v>0.57552083333333326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217</v>
      </c>
      <c r="E19" s="53" t="s">
        <v>218</v>
      </c>
      <c r="F19" s="30" t="s">
        <v>424</v>
      </c>
      <c r="G19" s="33">
        <v>1</v>
      </c>
      <c r="H19" s="35">
        <v>24</v>
      </c>
      <c r="I19" s="7">
        <v>10000</v>
      </c>
      <c r="J19" s="14">
        <v>3855</v>
      </c>
      <c r="K19" s="15">
        <f>L19</f>
        <v>3855</v>
      </c>
      <c r="L19" s="15">
        <f>1127+2728</f>
        <v>3855</v>
      </c>
      <c r="M19" s="15">
        <f t="shared" si="0"/>
        <v>3855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0.57552083333333326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121</v>
      </c>
      <c r="D20" s="52" t="s">
        <v>115</v>
      </c>
      <c r="E20" s="53" t="s">
        <v>288</v>
      </c>
      <c r="F20" s="30" t="s">
        <v>299</v>
      </c>
      <c r="G20" s="12">
        <v>1</v>
      </c>
      <c r="H20" s="13">
        <v>28</v>
      </c>
      <c r="I20" s="31">
        <v>26000</v>
      </c>
      <c r="J20" s="5">
        <v>4316</v>
      </c>
      <c r="K20" s="15">
        <f>L20+3081+4425+5156+4934+4706</f>
        <v>26618</v>
      </c>
      <c r="L20" s="15">
        <f>2081+2235</f>
        <v>4316</v>
      </c>
      <c r="M20" s="15">
        <f t="shared" ref="M20" si="10">L20-N20</f>
        <v>4316</v>
      </c>
      <c r="N20" s="15">
        <v>0</v>
      </c>
      <c r="O20" s="58">
        <f t="shared" ref="O20" si="11">IF(L20=0,"0",N20/L20)</f>
        <v>0</v>
      </c>
      <c r="P20" s="39">
        <f t="shared" ref="P20" si="12">IF(L20=0,"0",(24-Q20))</f>
        <v>22</v>
      </c>
      <c r="Q20" s="40">
        <f t="shared" ref="Q20" si="13">SUM(R20:AA20)</f>
        <v>2</v>
      </c>
      <c r="R20" s="7"/>
      <c r="S20" s="6"/>
      <c r="T20" s="16">
        <v>2</v>
      </c>
      <c r="U20" s="16"/>
      <c r="V20" s="17"/>
      <c r="W20" s="5"/>
      <c r="X20" s="16"/>
      <c r="Y20" s="16"/>
      <c r="Z20" s="16"/>
      <c r="AA20" s="18"/>
      <c r="AB20" s="8">
        <f t="shared" ref="AB20" si="14">IF(J20=0,"0",(L20/J20))</f>
        <v>1</v>
      </c>
      <c r="AC20" s="9">
        <f t="shared" ref="AC20" si="15">IF(P20=0,"0",(P20/24))</f>
        <v>0.91666666666666663</v>
      </c>
      <c r="AD20" s="10">
        <f>AC20*AB20*(1-O20)</f>
        <v>0.91666666666666663</v>
      </c>
      <c r="AE20" s="36">
        <f t="shared" si="7"/>
        <v>0.57552083333333326</v>
      </c>
      <c r="AF20" s="84">
        <f t="shared" ref="AF20" si="16">A20</f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0.57552083333333326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7">SUM(I6:I21)</f>
        <v>1146300</v>
      </c>
      <c r="J22" s="19">
        <f t="shared" si="17"/>
        <v>102383</v>
      </c>
      <c r="K22" s="20">
        <f t="shared" si="17"/>
        <v>582989</v>
      </c>
      <c r="L22" s="21">
        <f t="shared" si="17"/>
        <v>77894</v>
      </c>
      <c r="M22" s="20">
        <f t="shared" si="17"/>
        <v>77894</v>
      </c>
      <c r="N22" s="21">
        <f t="shared" si="17"/>
        <v>0</v>
      </c>
      <c r="O22" s="41">
        <f t="shared" si="1"/>
        <v>0</v>
      </c>
      <c r="P22" s="42">
        <f t="shared" ref="P22:AA22" si="18">SUM(P6:P21)</f>
        <v>221</v>
      </c>
      <c r="Q22" s="43">
        <f t="shared" si="18"/>
        <v>163</v>
      </c>
      <c r="R22" s="23">
        <f t="shared" si="18"/>
        <v>24</v>
      </c>
      <c r="S22" s="24">
        <f t="shared" si="18"/>
        <v>68</v>
      </c>
      <c r="T22" s="24">
        <f t="shared" si="18"/>
        <v>6</v>
      </c>
      <c r="U22" s="24">
        <f t="shared" si="18"/>
        <v>0</v>
      </c>
      <c r="V22" s="25">
        <f t="shared" si="18"/>
        <v>24</v>
      </c>
      <c r="W22" s="26">
        <f t="shared" si="18"/>
        <v>17</v>
      </c>
      <c r="X22" s="27">
        <f t="shared" si="18"/>
        <v>0</v>
      </c>
      <c r="Y22" s="27">
        <f t="shared" si="18"/>
        <v>0</v>
      </c>
      <c r="Z22" s="27">
        <f t="shared" si="18"/>
        <v>0</v>
      </c>
      <c r="AA22" s="27">
        <f t="shared" si="18"/>
        <v>24</v>
      </c>
      <c r="AB22" s="28">
        <f>AVERAGE(AB6:AB21)</f>
        <v>0.6875</v>
      </c>
      <c r="AC22" s="4">
        <f>AVERAGE(AC6:AC21)</f>
        <v>0.57552083333333326</v>
      </c>
      <c r="AD22" s="4">
        <f>AVERAGE(AD6:AD21)</f>
        <v>0.57552083333333326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425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431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330" t="s">
        <v>46</v>
      </c>
      <c r="D51" s="330" t="s">
        <v>47</v>
      </c>
      <c r="E51" s="330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330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121</v>
      </c>
      <c r="B52" s="513"/>
      <c r="C52" s="329" t="s">
        <v>143</v>
      </c>
      <c r="D52" s="329"/>
      <c r="E52" s="326" t="s">
        <v>414</v>
      </c>
      <c r="F52" s="500" t="s">
        <v>141</v>
      </c>
      <c r="G52" s="501"/>
      <c r="H52" s="501"/>
      <c r="I52" s="501"/>
      <c r="J52" s="501"/>
      <c r="K52" s="501"/>
      <c r="L52" s="501"/>
      <c r="M52" s="502"/>
      <c r="N52" s="325" t="s">
        <v>119</v>
      </c>
      <c r="O52" s="323" t="s">
        <v>140</v>
      </c>
      <c r="P52" s="514" t="s">
        <v>115</v>
      </c>
      <c r="Q52" s="515"/>
      <c r="R52" s="514" t="s">
        <v>168</v>
      </c>
      <c r="S52" s="516"/>
      <c r="T52" s="516"/>
      <c r="U52" s="515"/>
      <c r="V52" s="487" t="s">
        <v>429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119</v>
      </c>
      <c r="B53" s="513"/>
      <c r="C53" s="329" t="s">
        <v>140</v>
      </c>
      <c r="D53" s="329" t="s">
        <v>144</v>
      </c>
      <c r="E53" s="326" t="s">
        <v>174</v>
      </c>
      <c r="F53" s="500" t="s">
        <v>256</v>
      </c>
      <c r="G53" s="501"/>
      <c r="H53" s="501"/>
      <c r="I53" s="501"/>
      <c r="J53" s="501"/>
      <c r="K53" s="501"/>
      <c r="L53" s="501"/>
      <c r="M53" s="502"/>
      <c r="N53" s="325" t="s">
        <v>432</v>
      </c>
      <c r="O53" s="323" t="s">
        <v>242</v>
      </c>
      <c r="P53" s="514" t="s">
        <v>115</v>
      </c>
      <c r="Q53" s="515"/>
      <c r="R53" s="514" t="s">
        <v>430</v>
      </c>
      <c r="S53" s="516"/>
      <c r="T53" s="516"/>
      <c r="U53" s="515"/>
      <c r="V53" s="487" t="s">
        <v>141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119</v>
      </c>
      <c r="B54" s="513"/>
      <c r="C54" s="329" t="s">
        <v>411</v>
      </c>
      <c r="D54" s="329" t="s">
        <v>115</v>
      </c>
      <c r="E54" s="326" t="s">
        <v>168</v>
      </c>
      <c r="F54" s="500" t="s">
        <v>426</v>
      </c>
      <c r="G54" s="501"/>
      <c r="H54" s="501"/>
      <c r="I54" s="501"/>
      <c r="J54" s="501"/>
      <c r="K54" s="501"/>
      <c r="L54" s="501"/>
      <c r="M54" s="502"/>
      <c r="N54" s="325" t="s">
        <v>121</v>
      </c>
      <c r="O54" s="323" t="s">
        <v>269</v>
      </c>
      <c r="P54" s="514"/>
      <c r="Q54" s="515"/>
      <c r="R54" s="514" t="s">
        <v>154</v>
      </c>
      <c r="S54" s="516"/>
      <c r="T54" s="516"/>
      <c r="U54" s="515"/>
      <c r="V54" s="487" t="s">
        <v>130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121</v>
      </c>
      <c r="B55" s="513"/>
      <c r="C55" s="329" t="s">
        <v>155</v>
      </c>
      <c r="D55" s="329"/>
      <c r="E55" s="326" t="s">
        <v>415</v>
      </c>
      <c r="F55" s="500" t="s">
        <v>141</v>
      </c>
      <c r="G55" s="501"/>
      <c r="H55" s="501"/>
      <c r="I55" s="501"/>
      <c r="J55" s="501"/>
      <c r="K55" s="501"/>
      <c r="L55" s="501"/>
      <c r="M55" s="502"/>
      <c r="N55" s="325" t="s">
        <v>118</v>
      </c>
      <c r="O55" s="323" t="s">
        <v>371</v>
      </c>
      <c r="P55" s="514" t="s">
        <v>127</v>
      </c>
      <c r="Q55" s="515"/>
      <c r="R55" s="514" t="s">
        <v>434</v>
      </c>
      <c r="S55" s="516"/>
      <c r="T55" s="516"/>
      <c r="U55" s="515"/>
      <c r="V55" s="487" t="s">
        <v>141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118</v>
      </c>
      <c r="B56" s="513"/>
      <c r="C56" s="329" t="s">
        <v>403</v>
      </c>
      <c r="D56" s="329" t="s">
        <v>144</v>
      </c>
      <c r="E56" s="326" t="s">
        <v>402</v>
      </c>
      <c r="F56" s="500" t="s">
        <v>427</v>
      </c>
      <c r="G56" s="501"/>
      <c r="H56" s="501"/>
      <c r="I56" s="501"/>
      <c r="J56" s="501"/>
      <c r="K56" s="501"/>
      <c r="L56" s="501"/>
      <c r="M56" s="502"/>
      <c r="N56" s="325" t="s">
        <v>118</v>
      </c>
      <c r="O56" s="323" t="s">
        <v>180</v>
      </c>
      <c r="P56" s="514" t="s">
        <v>132</v>
      </c>
      <c r="Q56" s="515"/>
      <c r="R56" s="514" t="s">
        <v>435</v>
      </c>
      <c r="S56" s="516"/>
      <c r="T56" s="516"/>
      <c r="U56" s="515"/>
      <c r="V56" s="487" t="s">
        <v>141</v>
      </c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118</v>
      </c>
      <c r="B57" s="513"/>
      <c r="C57" s="329" t="s">
        <v>371</v>
      </c>
      <c r="D57" s="329" t="s">
        <v>127</v>
      </c>
      <c r="E57" s="326" t="s">
        <v>423</v>
      </c>
      <c r="F57" s="500" t="s">
        <v>141</v>
      </c>
      <c r="G57" s="501"/>
      <c r="H57" s="501"/>
      <c r="I57" s="501"/>
      <c r="J57" s="501"/>
      <c r="K57" s="501"/>
      <c r="L57" s="501"/>
      <c r="M57" s="502"/>
      <c r="N57" s="325" t="s">
        <v>118</v>
      </c>
      <c r="O57" s="323" t="s">
        <v>180</v>
      </c>
      <c r="P57" s="514" t="s">
        <v>281</v>
      </c>
      <c r="Q57" s="515"/>
      <c r="R57" s="514" t="s">
        <v>436</v>
      </c>
      <c r="S57" s="516"/>
      <c r="T57" s="516"/>
      <c r="U57" s="515"/>
      <c r="V57" s="487" t="s">
        <v>141</v>
      </c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 t="s">
        <v>118</v>
      </c>
      <c r="B58" s="513"/>
      <c r="C58" s="329" t="s">
        <v>142</v>
      </c>
      <c r="D58" s="329" t="s">
        <v>115</v>
      </c>
      <c r="E58" s="326" t="s">
        <v>416</v>
      </c>
      <c r="F58" s="500" t="s">
        <v>141</v>
      </c>
      <c r="G58" s="501"/>
      <c r="H58" s="501"/>
      <c r="I58" s="501"/>
      <c r="J58" s="501"/>
      <c r="K58" s="501"/>
      <c r="L58" s="501"/>
      <c r="M58" s="502"/>
      <c r="N58" s="325"/>
      <c r="O58" s="323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 t="s">
        <v>112</v>
      </c>
      <c r="B59" s="513"/>
      <c r="C59" s="329" t="s">
        <v>151</v>
      </c>
      <c r="D59" s="329" t="s">
        <v>217</v>
      </c>
      <c r="E59" s="326" t="s">
        <v>218</v>
      </c>
      <c r="F59" s="500" t="s">
        <v>428</v>
      </c>
      <c r="G59" s="501"/>
      <c r="H59" s="501"/>
      <c r="I59" s="501"/>
      <c r="J59" s="501"/>
      <c r="K59" s="501"/>
      <c r="L59" s="501"/>
      <c r="M59" s="502"/>
      <c r="N59" s="325"/>
      <c r="O59" s="323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 t="s">
        <v>121</v>
      </c>
      <c r="B60" s="499"/>
      <c r="C60" s="326" t="s">
        <v>180</v>
      </c>
      <c r="D60" s="326"/>
      <c r="E60" s="326" t="s">
        <v>288</v>
      </c>
      <c r="F60" s="500" t="s">
        <v>256</v>
      </c>
      <c r="G60" s="501"/>
      <c r="H60" s="501"/>
      <c r="I60" s="501"/>
      <c r="J60" s="501"/>
      <c r="K60" s="501"/>
      <c r="L60" s="501"/>
      <c r="M60" s="502"/>
      <c r="N60" s="325"/>
      <c r="O60" s="323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 t="s">
        <v>121</v>
      </c>
      <c r="B61" s="505"/>
      <c r="C61" s="327" t="s">
        <v>269</v>
      </c>
      <c r="D61" s="328"/>
      <c r="E61" s="328" t="s">
        <v>154</v>
      </c>
      <c r="F61" s="506" t="s">
        <v>433</v>
      </c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437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324" t="s">
        <v>2</v>
      </c>
      <c r="D63" s="324" t="s">
        <v>37</v>
      </c>
      <c r="E63" s="324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324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119</v>
      </c>
      <c r="D64" s="319"/>
      <c r="E64" s="322" t="s">
        <v>115</v>
      </c>
      <c r="F64" s="488" t="s">
        <v>168</v>
      </c>
      <c r="G64" s="489"/>
      <c r="H64" s="489"/>
      <c r="I64" s="489"/>
      <c r="J64" s="490"/>
      <c r="K64" s="476" t="s">
        <v>122</v>
      </c>
      <c r="L64" s="476"/>
      <c r="M64" s="51" t="s">
        <v>195</v>
      </c>
      <c r="N64" s="485" t="s">
        <v>411</v>
      </c>
      <c r="O64" s="485"/>
      <c r="P64" s="486">
        <v>100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118</v>
      </c>
      <c r="D65" s="319"/>
      <c r="E65" s="322" t="s">
        <v>127</v>
      </c>
      <c r="F65" s="488" t="s">
        <v>423</v>
      </c>
      <c r="G65" s="489"/>
      <c r="H65" s="489"/>
      <c r="I65" s="489"/>
      <c r="J65" s="490"/>
      <c r="K65" s="476" t="s">
        <v>145</v>
      </c>
      <c r="L65" s="476"/>
      <c r="M65" s="51" t="s">
        <v>195</v>
      </c>
      <c r="N65" s="485" t="s">
        <v>371</v>
      </c>
      <c r="O65" s="485"/>
      <c r="P65" s="486">
        <v>50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319"/>
      <c r="E66" s="322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319"/>
      <c r="E67" s="322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319"/>
      <c r="E68" s="322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319"/>
      <c r="E69" s="322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319"/>
      <c r="E70" s="322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319"/>
      <c r="E71" s="322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319"/>
      <c r="E72" s="322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319"/>
      <c r="E73" s="322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438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321" t="s">
        <v>2</v>
      </c>
      <c r="D75" s="321" t="s">
        <v>37</v>
      </c>
      <c r="E75" s="321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320" t="s">
        <v>112</v>
      </c>
      <c r="D76" s="320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319"/>
      <c r="D77" s="319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9">A77+1</f>
        <v>3</v>
      </c>
      <c r="B78" s="444"/>
      <c r="C78" s="319"/>
      <c r="D78" s="319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9"/>
        <v>4</v>
      </c>
      <c r="B79" s="444"/>
      <c r="C79" s="319"/>
      <c r="D79" s="319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9"/>
        <v>5</v>
      </c>
      <c r="B80" s="444"/>
      <c r="C80" s="319"/>
      <c r="D80" s="319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9"/>
        <v>6</v>
      </c>
      <c r="B81" s="444"/>
      <c r="C81" s="319"/>
      <c r="D81" s="319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9"/>
        <v>7</v>
      </c>
      <c r="B82" s="444"/>
      <c r="C82" s="319"/>
      <c r="D82" s="319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439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8</v>
      </c>
      <c r="D85" s="452"/>
      <c r="E85" s="452" t="s">
        <v>440</v>
      </c>
      <c r="F85" s="452"/>
      <c r="G85" s="452"/>
      <c r="H85" s="452"/>
      <c r="I85" s="452"/>
      <c r="J85" s="452"/>
      <c r="K85" s="452" t="s">
        <v>441</v>
      </c>
      <c r="L85" s="452"/>
      <c r="M85" s="452"/>
      <c r="N85" s="452"/>
      <c r="O85" s="452"/>
      <c r="P85" s="452"/>
      <c r="Q85" s="452"/>
      <c r="R85" s="452"/>
      <c r="S85" s="452"/>
      <c r="T85" s="452" t="s">
        <v>442</v>
      </c>
      <c r="U85" s="452"/>
      <c r="V85" s="453"/>
      <c r="W85" s="453"/>
      <c r="X85" s="453"/>
      <c r="Y85" s="454" t="s">
        <v>443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9D47-D9D1-4703-8F9E-CE623E68057B}">
  <dimension ref="A1:AF88"/>
  <sheetViews>
    <sheetView view="pageBreakPreview" zoomScale="70" zoomScaleNormal="72" zoomScaleSheetLayoutView="70" workbookViewId="0">
      <selection activeCell="K16" sqref="K1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444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332" t="s">
        <v>17</v>
      </c>
      <c r="L5" s="332" t="s">
        <v>18</v>
      </c>
      <c r="M5" s="332" t="s">
        <v>19</v>
      </c>
      <c r="N5" s="33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/>
      <c r="E6" s="53" t="s">
        <v>414</v>
      </c>
      <c r="F6" s="12" t="s">
        <v>156</v>
      </c>
      <c r="G6" s="12">
        <v>2</v>
      </c>
      <c r="H6" s="13">
        <v>24</v>
      </c>
      <c r="I6" s="31">
        <v>23500</v>
      </c>
      <c r="J6" s="14">
        <v>9240</v>
      </c>
      <c r="K6" s="15">
        <f>L6+9388</f>
        <v>18628</v>
      </c>
      <c r="L6" s="15">
        <f>2645*2+1975*2</f>
        <v>9240</v>
      </c>
      <c r="M6" s="15">
        <f t="shared" ref="M6:M22" si="0">L6-N6</f>
        <v>9240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21</v>
      </c>
      <c r="Q6" s="40">
        <f t="shared" ref="Q6:Q22" si="3">SUM(R6:AA6)</f>
        <v>3</v>
      </c>
      <c r="R6" s="7"/>
      <c r="S6" s="6">
        <v>3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0.875</v>
      </c>
      <c r="AD6" s="10">
        <f t="shared" ref="AD6:AD22" si="6">AC6*AB6*(1-O6)</f>
        <v>0.875</v>
      </c>
      <c r="AE6" s="36">
        <f t="shared" ref="AE6:AE22" si="7">$AD$23</f>
        <v>0.57843137254901966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5374</v>
      </c>
      <c r="K7" s="15">
        <f>L7+3683+2801+972+5614+6047+6028+2698+3397+3300+6010+4686</f>
        <v>50610</v>
      </c>
      <c r="L7" s="15">
        <f>3029+2345</f>
        <v>5374</v>
      </c>
      <c r="M7" s="15">
        <f t="shared" si="0"/>
        <v>5374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0.57843137254901966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119</v>
      </c>
      <c r="D8" s="52" t="s">
        <v>115</v>
      </c>
      <c r="E8" s="53" t="s">
        <v>168</v>
      </c>
      <c r="F8" s="30" t="s">
        <v>122</v>
      </c>
      <c r="G8" s="33">
        <v>1</v>
      </c>
      <c r="H8" s="35">
        <v>24</v>
      </c>
      <c r="I8" s="7">
        <v>25000</v>
      </c>
      <c r="J8" s="14">
        <v>8824</v>
      </c>
      <c r="K8" s="15">
        <f>L8+2936</f>
        <v>11760</v>
      </c>
      <c r="L8" s="15">
        <f>2845*2+1567*2</f>
        <v>8824</v>
      </c>
      <c r="M8" s="15">
        <f t="shared" si="0"/>
        <v>8824</v>
      </c>
      <c r="N8" s="15">
        <v>0</v>
      </c>
      <c r="O8" s="58">
        <f t="shared" si="1"/>
        <v>0</v>
      </c>
      <c r="P8" s="39">
        <f t="shared" si="2"/>
        <v>20</v>
      </c>
      <c r="Q8" s="40">
        <f t="shared" si="3"/>
        <v>4</v>
      </c>
      <c r="R8" s="7"/>
      <c r="S8" s="6">
        <v>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0.83333333333333337</v>
      </c>
      <c r="AD8" s="10">
        <f t="shared" si="6"/>
        <v>0.83333333333333337</v>
      </c>
      <c r="AE8" s="36">
        <f t="shared" si="7"/>
        <v>0.57843137254901966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121</v>
      </c>
      <c r="D9" s="52"/>
      <c r="E9" s="53" t="s">
        <v>415</v>
      </c>
      <c r="F9" s="30" t="s">
        <v>122</v>
      </c>
      <c r="G9" s="33">
        <v>2</v>
      </c>
      <c r="H9" s="35">
        <v>24</v>
      </c>
      <c r="I9" s="7">
        <v>23500</v>
      </c>
      <c r="J9" s="5">
        <v>9944</v>
      </c>
      <c r="K9" s="15">
        <f>L9+9384</f>
        <v>19328</v>
      </c>
      <c r="L9" s="15">
        <f>2659*2+2313*2</f>
        <v>9944</v>
      </c>
      <c r="M9" s="15">
        <f t="shared" si="0"/>
        <v>9944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>AC9*AB9*(1-O9)</f>
        <v>1</v>
      </c>
      <c r="AE9" s="36">
        <f t="shared" si="7"/>
        <v>0.57843137254901966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129</v>
      </c>
      <c r="E10" s="53" t="s">
        <v>131</v>
      </c>
      <c r="F10" s="30" t="s">
        <v>122</v>
      </c>
      <c r="G10" s="33">
        <v>4</v>
      </c>
      <c r="H10" s="35">
        <v>24</v>
      </c>
      <c r="I10" s="7">
        <f>160000+200000</f>
        <v>360000</v>
      </c>
      <c r="J10" s="14">
        <v>5300</v>
      </c>
      <c r="K10" s="15">
        <f>L10+14316+24980+26456+26372+26832</f>
        <v>124256</v>
      </c>
      <c r="L10" s="15">
        <f>1325*4</f>
        <v>5300</v>
      </c>
      <c r="M10" s="15">
        <f t="shared" si="0"/>
        <v>5300</v>
      </c>
      <c r="N10" s="15">
        <v>0</v>
      </c>
      <c r="O10" s="58">
        <f t="shared" si="1"/>
        <v>0</v>
      </c>
      <c r="P10" s="39">
        <f t="shared" si="2"/>
        <v>7</v>
      </c>
      <c r="Q10" s="40">
        <f t="shared" si="3"/>
        <v>17</v>
      </c>
      <c r="R10" s="7"/>
      <c r="S10" s="6">
        <v>17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0.29166666666666669</v>
      </c>
      <c r="AD10" s="10">
        <f t="shared" ref="AD10:AD14" si="9">AC10*AB10*(1-O10)</f>
        <v>0.29166666666666669</v>
      </c>
      <c r="AE10" s="36">
        <f t="shared" si="7"/>
        <v>0.57843137254901966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0.57843137254901966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/>
      <c r="E12" s="53" t="s">
        <v>381</v>
      </c>
      <c r="F12" s="30" t="s">
        <v>394</v>
      </c>
      <c r="G12" s="12">
        <v>1</v>
      </c>
      <c r="H12" s="13">
        <v>20</v>
      </c>
      <c r="I12" s="31">
        <f>7500+11500</f>
        <v>19000</v>
      </c>
      <c r="J12" s="5">
        <v>4627</v>
      </c>
      <c r="K12" s="15">
        <f>L12+3747+4924+4838</f>
        <v>18136</v>
      </c>
      <c r="L12" s="15">
        <f>2499+2128</f>
        <v>4627</v>
      </c>
      <c r="M12" s="15">
        <f t="shared" si="0"/>
        <v>4627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0.57843137254901966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4706</v>
      </c>
      <c r="K13" s="15">
        <f>L13+3081+4425+5156+4934+4706</f>
        <v>22302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>
        <v>24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0.57843137254901966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432</v>
      </c>
      <c r="D14" s="52" t="s">
        <v>115</v>
      </c>
      <c r="E14" s="53" t="s">
        <v>430</v>
      </c>
      <c r="F14" s="30" t="s">
        <v>385</v>
      </c>
      <c r="G14" s="33">
        <v>1</v>
      </c>
      <c r="H14" s="35">
        <v>60</v>
      </c>
      <c r="I14" s="7">
        <v>100</v>
      </c>
      <c r="J14" s="5">
        <v>211</v>
      </c>
      <c r="K14" s="15">
        <f>L14</f>
        <v>211</v>
      </c>
      <c r="L14" s="15">
        <v>211</v>
      </c>
      <c r="M14" s="15">
        <f t="shared" si="0"/>
        <v>211</v>
      </c>
      <c r="N14" s="15">
        <v>0</v>
      </c>
      <c r="O14" s="58">
        <f t="shared" si="1"/>
        <v>0</v>
      </c>
      <c r="P14" s="39">
        <f t="shared" si="2"/>
        <v>5</v>
      </c>
      <c r="Q14" s="40">
        <f t="shared" si="3"/>
        <v>19</v>
      </c>
      <c r="R14" s="7"/>
      <c r="S14" s="6">
        <v>3</v>
      </c>
      <c r="T14" s="16"/>
      <c r="U14" s="16"/>
      <c r="V14" s="17"/>
      <c r="W14" s="5">
        <v>16</v>
      </c>
      <c r="X14" s="16"/>
      <c r="Y14" s="16"/>
      <c r="Z14" s="16"/>
      <c r="AA14" s="18"/>
      <c r="AB14" s="8">
        <f t="shared" si="4"/>
        <v>1</v>
      </c>
      <c r="AC14" s="9">
        <f t="shared" si="5"/>
        <v>0.20833333333333334</v>
      </c>
      <c r="AD14" s="10">
        <f t="shared" si="9"/>
        <v>0.20833333333333334</v>
      </c>
      <c r="AE14" s="36">
        <f t="shared" si="7"/>
        <v>0.57843137254901966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2583</v>
      </c>
      <c r="K15" s="15">
        <f>L15+2898+5234+1444</f>
        <v>12159</v>
      </c>
      <c r="L15" s="15">
        <f>2583</f>
        <v>2583</v>
      </c>
      <c r="M15" s="15">
        <f t="shared" si="0"/>
        <v>2583</v>
      </c>
      <c r="N15" s="15">
        <v>0</v>
      </c>
      <c r="O15" s="58">
        <f t="shared" si="1"/>
        <v>0</v>
      </c>
      <c r="P15" s="39">
        <f t="shared" si="2"/>
        <v>13</v>
      </c>
      <c r="Q15" s="40">
        <f t="shared" si="3"/>
        <v>11</v>
      </c>
      <c r="R15" s="7"/>
      <c r="S15" s="6">
        <v>11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0.54166666666666663</v>
      </c>
      <c r="AD15" s="10">
        <f t="shared" si="6"/>
        <v>0.54166666666666663</v>
      </c>
      <c r="AE15" s="36">
        <f t="shared" si="7"/>
        <v>0.57843137254901966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144</v>
      </c>
      <c r="E16" s="53" t="s">
        <v>402</v>
      </c>
      <c r="F16" s="30" t="s">
        <v>409</v>
      </c>
      <c r="G16" s="12">
        <v>1</v>
      </c>
      <c r="H16" s="13">
        <v>24</v>
      </c>
      <c r="I16" s="7">
        <v>33000</v>
      </c>
      <c r="J16" s="14">
        <v>5336</v>
      </c>
      <c r="K16" s="15">
        <f>L16+3599+5250</f>
        <v>14185</v>
      </c>
      <c r="L16" s="15">
        <f>2853+2483</f>
        <v>5336</v>
      </c>
      <c r="M16" s="15">
        <f t="shared" si="0"/>
        <v>5336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0.57843137254901966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434</v>
      </c>
      <c r="F17" s="30" t="s">
        <v>445</v>
      </c>
      <c r="G17" s="12">
        <v>1</v>
      </c>
      <c r="H17" s="13">
        <v>24</v>
      </c>
      <c r="I17" s="7">
        <v>1000</v>
      </c>
      <c r="J17" s="14">
        <v>1088</v>
      </c>
      <c r="K17" s="15">
        <f>L17</f>
        <v>1088</v>
      </c>
      <c r="L17" s="15">
        <v>1088</v>
      </c>
      <c r="M17" s="15">
        <f t="shared" si="0"/>
        <v>1088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/>
      <c r="S17" s="6">
        <v>2</v>
      </c>
      <c r="T17" s="16"/>
      <c r="U17" s="16"/>
      <c r="V17" s="17"/>
      <c r="W17" s="5">
        <v>12</v>
      </c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6">
        <f t="shared" si="7"/>
        <v>0.57843137254901966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416</v>
      </c>
      <c r="F18" s="30" t="s">
        <v>128</v>
      </c>
      <c r="G18" s="33">
        <v>1</v>
      </c>
      <c r="H18" s="35">
        <v>24</v>
      </c>
      <c r="I18" s="7">
        <v>30000</v>
      </c>
      <c r="J18" s="14">
        <v>5220</v>
      </c>
      <c r="K18" s="15">
        <f>L18+5205</f>
        <v>10425</v>
      </c>
      <c r="L18" s="15">
        <f>2790+2430</f>
        <v>5220</v>
      </c>
      <c r="M18" s="15">
        <f t="shared" si="0"/>
        <v>5220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0.57843137254901966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217</v>
      </c>
      <c r="E19" s="53" t="s">
        <v>218</v>
      </c>
      <c r="F19" s="30" t="s">
        <v>424</v>
      </c>
      <c r="G19" s="33">
        <v>1</v>
      </c>
      <c r="H19" s="35">
        <v>24</v>
      </c>
      <c r="I19" s="7">
        <v>10000</v>
      </c>
      <c r="J19" s="14">
        <v>4992</v>
      </c>
      <c r="K19" s="15">
        <f>L19+3855</f>
        <v>8847</v>
      </c>
      <c r="L19" s="15">
        <f>2684+2308</f>
        <v>4992</v>
      </c>
      <c r="M19" s="15">
        <f t="shared" si="0"/>
        <v>4992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0.57843137254901966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118</v>
      </c>
      <c r="D20" s="52" t="s">
        <v>132</v>
      </c>
      <c r="E20" s="53" t="s">
        <v>435</v>
      </c>
      <c r="F20" s="30" t="s">
        <v>409</v>
      </c>
      <c r="G20" s="12">
        <v>1</v>
      </c>
      <c r="H20" s="13">
        <v>28</v>
      </c>
      <c r="I20" s="31">
        <v>1000</v>
      </c>
      <c r="J20" s="5">
        <v>1084</v>
      </c>
      <c r="K20" s="15">
        <f>L20</f>
        <v>1084</v>
      </c>
      <c r="L20" s="15">
        <f>1084</f>
        <v>1084</v>
      </c>
      <c r="M20" s="15">
        <f t="shared" ref="M20" si="10">L20-N20</f>
        <v>1084</v>
      </c>
      <c r="N20" s="15">
        <v>0</v>
      </c>
      <c r="O20" s="58">
        <f t="shared" ref="O20" si="11">IF(L20=0,"0",N20/L20)</f>
        <v>0</v>
      </c>
      <c r="P20" s="39">
        <f t="shared" ref="P20" si="12">IF(L20=0,"0",(24-Q20))</f>
        <v>6</v>
      </c>
      <c r="Q20" s="40">
        <f t="shared" ref="Q20" si="13">SUM(R20:AA20)</f>
        <v>18</v>
      </c>
      <c r="R20" s="7"/>
      <c r="S20" s="6"/>
      <c r="T20" s="16"/>
      <c r="U20" s="16"/>
      <c r="V20" s="17"/>
      <c r="W20" s="5">
        <v>18</v>
      </c>
      <c r="X20" s="16"/>
      <c r="Y20" s="16"/>
      <c r="Z20" s="16"/>
      <c r="AA20" s="18"/>
      <c r="AB20" s="8">
        <f t="shared" ref="AB20" si="14">IF(J20=0,"0",(L20/J20))</f>
        <v>1</v>
      </c>
      <c r="AC20" s="9">
        <f t="shared" ref="AC20" si="15">IF(P20=0,"0",(P20/24))</f>
        <v>0.25</v>
      </c>
      <c r="AD20" s="10">
        <f>AC20*AB20*(1-O20)</f>
        <v>0.25</v>
      </c>
      <c r="AE20" s="36">
        <f t="shared" si="7"/>
        <v>0.57843137254901966</v>
      </c>
      <c r="AF20" s="84">
        <f t="shared" ref="AF20" si="16">A20</f>
        <v>15</v>
      </c>
    </row>
    <row r="21" spans="1:32" ht="27" customHeight="1">
      <c r="A21" s="96">
        <v>15</v>
      </c>
      <c r="B21" s="11" t="s">
        <v>57</v>
      </c>
      <c r="C21" s="34" t="s">
        <v>118</v>
      </c>
      <c r="D21" s="52" t="s">
        <v>281</v>
      </c>
      <c r="E21" s="53" t="s">
        <v>436</v>
      </c>
      <c r="F21" s="30" t="s">
        <v>128</v>
      </c>
      <c r="G21" s="12">
        <v>1</v>
      </c>
      <c r="H21" s="13">
        <v>28</v>
      </c>
      <c r="I21" s="31">
        <v>1000</v>
      </c>
      <c r="J21" s="5">
        <v>1749</v>
      </c>
      <c r="K21" s="15">
        <f>L21</f>
        <v>1749</v>
      </c>
      <c r="L21" s="15">
        <f>1036+713</f>
        <v>1749</v>
      </c>
      <c r="M21" s="15">
        <f t="shared" si="0"/>
        <v>1749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/>
      <c r="W21" s="5">
        <v>14</v>
      </c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>AC21*AB21*(1-O21)</f>
        <v>0.41666666666666669</v>
      </c>
      <c r="AE21" s="36">
        <f t="shared" si="7"/>
        <v>0.57843137254901966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300000</v>
      </c>
      <c r="J22" s="14">
        <v>4004</v>
      </c>
      <c r="K22" s="15">
        <f>30816+34860+35212+34672+33032+29240+28664+35888+4004</f>
        <v>266388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0.57843137254901966</v>
      </c>
      <c r="AF22" s="84">
        <f t="shared" si="8"/>
        <v>16</v>
      </c>
    </row>
    <row r="23" spans="1:32" ht="31.5" customHeight="1" thickBot="1">
      <c r="A23" s="519" t="s">
        <v>34</v>
      </c>
      <c r="B23" s="520"/>
      <c r="C23" s="520"/>
      <c r="D23" s="520"/>
      <c r="E23" s="520"/>
      <c r="F23" s="520"/>
      <c r="G23" s="520"/>
      <c r="H23" s="521"/>
      <c r="I23" s="22">
        <f t="shared" ref="I23:N23" si="17">SUM(I6:I22)</f>
        <v>1122100</v>
      </c>
      <c r="J23" s="19">
        <f t="shared" si="17"/>
        <v>88505</v>
      </c>
      <c r="K23" s="20">
        <f t="shared" si="17"/>
        <v>620627</v>
      </c>
      <c r="L23" s="21">
        <f t="shared" si="17"/>
        <v>65572</v>
      </c>
      <c r="M23" s="20">
        <f t="shared" si="17"/>
        <v>65572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236</v>
      </c>
      <c r="Q23" s="43">
        <f t="shared" si="18"/>
        <v>172</v>
      </c>
      <c r="R23" s="23">
        <f t="shared" si="18"/>
        <v>24</v>
      </c>
      <c r="S23" s="24">
        <f t="shared" si="18"/>
        <v>40</v>
      </c>
      <c r="T23" s="24">
        <f t="shared" si="18"/>
        <v>0</v>
      </c>
      <c r="U23" s="24">
        <f t="shared" si="18"/>
        <v>0</v>
      </c>
      <c r="V23" s="25">
        <f t="shared" si="18"/>
        <v>24</v>
      </c>
      <c r="W23" s="26">
        <f t="shared" si="18"/>
        <v>60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24</v>
      </c>
      <c r="AB23" s="28">
        <f>AVERAGE(AB6:AB22)</f>
        <v>0.82352941176470584</v>
      </c>
      <c r="AC23" s="4">
        <f>AVERAGE(AC6:AC22)</f>
        <v>0.57843137254901966</v>
      </c>
      <c r="AD23" s="4">
        <f>AVERAGE(AD6:AD22)</f>
        <v>0.57843137254901966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22" t="s">
        <v>45</v>
      </c>
      <c r="B50" s="522"/>
      <c r="C50" s="522"/>
      <c r="D50" s="522"/>
      <c r="E50" s="52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23" t="s">
        <v>446</v>
      </c>
      <c r="B51" s="524"/>
      <c r="C51" s="524"/>
      <c r="D51" s="524"/>
      <c r="E51" s="524"/>
      <c r="F51" s="524"/>
      <c r="G51" s="524"/>
      <c r="H51" s="524"/>
      <c r="I51" s="524"/>
      <c r="J51" s="524"/>
      <c r="K51" s="524"/>
      <c r="L51" s="524"/>
      <c r="M51" s="525"/>
      <c r="N51" s="526" t="s">
        <v>450</v>
      </c>
      <c r="O51" s="527"/>
      <c r="P51" s="527"/>
      <c r="Q51" s="527"/>
      <c r="R51" s="527"/>
      <c r="S51" s="527"/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8"/>
    </row>
    <row r="52" spans="1:32" ht="27" customHeight="1">
      <c r="A52" s="529" t="s">
        <v>2</v>
      </c>
      <c r="B52" s="530"/>
      <c r="C52" s="333" t="s">
        <v>46</v>
      </c>
      <c r="D52" s="333" t="s">
        <v>47</v>
      </c>
      <c r="E52" s="333" t="s">
        <v>107</v>
      </c>
      <c r="F52" s="531" t="s">
        <v>106</v>
      </c>
      <c r="G52" s="532"/>
      <c r="H52" s="532"/>
      <c r="I52" s="532"/>
      <c r="J52" s="532"/>
      <c r="K52" s="532"/>
      <c r="L52" s="532"/>
      <c r="M52" s="533"/>
      <c r="N52" s="67" t="s">
        <v>110</v>
      </c>
      <c r="O52" s="333" t="s">
        <v>46</v>
      </c>
      <c r="P52" s="531" t="s">
        <v>47</v>
      </c>
      <c r="Q52" s="534"/>
      <c r="R52" s="531" t="s">
        <v>38</v>
      </c>
      <c r="S52" s="532"/>
      <c r="T52" s="532"/>
      <c r="U52" s="534"/>
      <c r="V52" s="531" t="s">
        <v>48</v>
      </c>
      <c r="W52" s="532"/>
      <c r="X52" s="532"/>
      <c r="Y52" s="532"/>
      <c r="Z52" s="532"/>
      <c r="AA52" s="532"/>
      <c r="AB52" s="532"/>
      <c r="AC52" s="532"/>
      <c r="AD52" s="533"/>
    </row>
    <row r="53" spans="1:32" ht="27" customHeight="1">
      <c r="A53" s="512" t="s">
        <v>121</v>
      </c>
      <c r="B53" s="513"/>
      <c r="C53" s="334" t="s">
        <v>143</v>
      </c>
      <c r="D53" s="334"/>
      <c r="E53" s="335" t="s">
        <v>414</v>
      </c>
      <c r="F53" s="500" t="s">
        <v>256</v>
      </c>
      <c r="G53" s="501"/>
      <c r="H53" s="501"/>
      <c r="I53" s="501"/>
      <c r="J53" s="501"/>
      <c r="K53" s="501"/>
      <c r="L53" s="501"/>
      <c r="M53" s="502"/>
      <c r="N53" s="339" t="s">
        <v>121</v>
      </c>
      <c r="O53" s="341" t="s">
        <v>180</v>
      </c>
      <c r="P53" s="514"/>
      <c r="Q53" s="515"/>
      <c r="R53" s="514" t="s">
        <v>451</v>
      </c>
      <c r="S53" s="516"/>
      <c r="T53" s="516"/>
      <c r="U53" s="515"/>
      <c r="V53" s="487" t="s">
        <v>141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119</v>
      </c>
      <c r="B54" s="513"/>
      <c r="C54" s="334" t="s">
        <v>411</v>
      </c>
      <c r="D54" s="334" t="s">
        <v>115</v>
      </c>
      <c r="E54" s="335" t="s">
        <v>168</v>
      </c>
      <c r="F54" s="500" t="s">
        <v>130</v>
      </c>
      <c r="G54" s="501"/>
      <c r="H54" s="501"/>
      <c r="I54" s="501"/>
      <c r="J54" s="501"/>
      <c r="K54" s="501"/>
      <c r="L54" s="501"/>
      <c r="M54" s="502"/>
      <c r="N54" s="339" t="s">
        <v>118</v>
      </c>
      <c r="O54" s="341" t="s">
        <v>190</v>
      </c>
      <c r="P54" s="514" t="s">
        <v>115</v>
      </c>
      <c r="Q54" s="515"/>
      <c r="R54" s="514" t="s">
        <v>452</v>
      </c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118</v>
      </c>
      <c r="B55" s="513"/>
      <c r="C55" s="334" t="s">
        <v>371</v>
      </c>
      <c r="D55" s="334" t="s">
        <v>127</v>
      </c>
      <c r="E55" s="335" t="s">
        <v>434</v>
      </c>
      <c r="F55" s="500" t="s">
        <v>449</v>
      </c>
      <c r="G55" s="501"/>
      <c r="H55" s="501"/>
      <c r="I55" s="501"/>
      <c r="J55" s="501"/>
      <c r="K55" s="501"/>
      <c r="L55" s="501"/>
      <c r="M55" s="502"/>
      <c r="N55" s="339" t="s">
        <v>119</v>
      </c>
      <c r="O55" s="341" t="s">
        <v>306</v>
      </c>
      <c r="P55" s="514" t="s">
        <v>129</v>
      </c>
      <c r="Q55" s="515"/>
      <c r="R55" s="514" t="s">
        <v>345</v>
      </c>
      <c r="S55" s="516"/>
      <c r="T55" s="516"/>
      <c r="U55" s="515"/>
      <c r="V55" s="487" t="s">
        <v>130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118</v>
      </c>
      <c r="B56" s="513"/>
      <c r="C56" s="334" t="s">
        <v>180</v>
      </c>
      <c r="D56" s="334" t="s">
        <v>132</v>
      </c>
      <c r="E56" s="335" t="s">
        <v>447</v>
      </c>
      <c r="F56" s="500" t="s">
        <v>141</v>
      </c>
      <c r="G56" s="501"/>
      <c r="H56" s="501"/>
      <c r="I56" s="501"/>
      <c r="J56" s="501"/>
      <c r="K56" s="501"/>
      <c r="L56" s="501"/>
      <c r="M56" s="502"/>
      <c r="N56" s="339"/>
      <c r="O56" s="341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118</v>
      </c>
      <c r="B57" s="513"/>
      <c r="C57" s="334" t="s">
        <v>180</v>
      </c>
      <c r="D57" s="334" t="s">
        <v>281</v>
      </c>
      <c r="E57" s="335" t="s">
        <v>436</v>
      </c>
      <c r="F57" s="500" t="s">
        <v>141</v>
      </c>
      <c r="G57" s="501"/>
      <c r="H57" s="501"/>
      <c r="I57" s="501"/>
      <c r="J57" s="501"/>
      <c r="K57" s="501"/>
      <c r="L57" s="501"/>
      <c r="M57" s="502"/>
      <c r="N57" s="339"/>
      <c r="O57" s="341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498" t="s">
        <v>121</v>
      </c>
      <c r="B58" s="499"/>
      <c r="C58" s="335" t="s">
        <v>269</v>
      </c>
      <c r="D58" s="335"/>
      <c r="E58" s="335" t="s">
        <v>154</v>
      </c>
      <c r="F58" s="500" t="s">
        <v>130</v>
      </c>
      <c r="G58" s="501"/>
      <c r="H58" s="501"/>
      <c r="I58" s="501"/>
      <c r="J58" s="501"/>
      <c r="K58" s="501"/>
      <c r="L58" s="501"/>
      <c r="M58" s="502"/>
      <c r="N58" s="339"/>
      <c r="O58" s="341"/>
      <c r="P58" s="514"/>
      <c r="Q58" s="515"/>
      <c r="R58" s="514"/>
      <c r="S58" s="516"/>
      <c r="T58" s="516"/>
      <c r="U58" s="515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 t="s">
        <v>119</v>
      </c>
      <c r="B59" s="513"/>
      <c r="C59" s="334" t="s">
        <v>140</v>
      </c>
      <c r="D59" s="334" t="s">
        <v>144</v>
      </c>
      <c r="E59" s="335" t="s">
        <v>161</v>
      </c>
      <c r="F59" s="500" t="s">
        <v>448</v>
      </c>
      <c r="G59" s="501"/>
      <c r="H59" s="501"/>
      <c r="I59" s="501"/>
      <c r="J59" s="501"/>
      <c r="K59" s="501"/>
      <c r="L59" s="501"/>
      <c r="M59" s="502"/>
      <c r="N59" s="339"/>
      <c r="O59" s="341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512" t="s">
        <v>432</v>
      </c>
      <c r="B60" s="513"/>
      <c r="C60" s="334" t="s">
        <v>242</v>
      </c>
      <c r="D60" s="334" t="s">
        <v>115</v>
      </c>
      <c r="E60" s="335" t="s">
        <v>430</v>
      </c>
      <c r="F60" s="500" t="s">
        <v>449</v>
      </c>
      <c r="G60" s="501"/>
      <c r="H60" s="501"/>
      <c r="I60" s="501"/>
      <c r="J60" s="501"/>
      <c r="K60" s="501"/>
      <c r="L60" s="501"/>
      <c r="M60" s="502"/>
      <c r="N60" s="339"/>
      <c r="O60" s="341"/>
      <c r="P60" s="514"/>
      <c r="Q60" s="515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</row>
    <row r="61" spans="1:32" ht="27" customHeight="1">
      <c r="A61" s="498" t="s">
        <v>119</v>
      </c>
      <c r="B61" s="499"/>
      <c r="C61" s="335" t="s">
        <v>306</v>
      </c>
      <c r="D61" s="335" t="s">
        <v>129</v>
      </c>
      <c r="E61" s="335" t="s">
        <v>345</v>
      </c>
      <c r="F61" s="500" t="s">
        <v>433</v>
      </c>
      <c r="G61" s="501"/>
      <c r="H61" s="501"/>
      <c r="I61" s="501"/>
      <c r="J61" s="501"/>
      <c r="K61" s="501"/>
      <c r="L61" s="501"/>
      <c r="M61" s="502"/>
      <c r="N61" s="339"/>
      <c r="O61" s="341"/>
      <c r="P61" s="499"/>
      <c r="Q61" s="499"/>
      <c r="R61" s="499"/>
      <c r="S61" s="499"/>
      <c r="T61" s="499"/>
      <c r="U61" s="499"/>
      <c r="V61" s="487"/>
      <c r="W61" s="487"/>
      <c r="X61" s="487"/>
      <c r="Y61" s="487"/>
      <c r="Z61" s="487"/>
      <c r="AA61" s="487"/>
      <c r="AB61" s="487"/>
      <c r="AC61" s="487"/>
      <c r="AD61" s="503"/>
      <c r="AF61" s="84">
        <f>8*3000</f>
        <v>24000</v>
      </c>
    </row>
    <row r="62" spans="1:32" ht="27" customHeight="1" thickBot="1">
      <c r="A62" s="504"/>
      <c r="B62" s="505"/>
      <c r="C62" s="336"/>
      <c r="D62" s="337"/>
      <c r="E62" s="337"/>
      <c r="F62" s="506"/>
      <c r="G62" s="507"/>
      <c r="H62" s="507"/>
      <c r="I62" s="507"/>
      <c r="J62" s="507"/>
      <c r="K62" s="507"/>
      <c r="L62" s="507"/>
      <c r="M62" s="508"/>
      <c r="N62" s="112"/>
      <c r="O62" s="103"/>
      <c r="P62" s="509"/>
      <c r="Q62" s="509"/>
      <c r="R62" s="509"/>
      <c r="S62" s="509"/>
      <c r="T62" s="509"/>
      <c r="U62" s="509"/>
      <c r="V62" s="510"/>
      <c r="W62" s="510"/>
      <c r="X62" s="510"/>
      <c r="Y62" s="510"/>
      <c r="Z62" s="510"/>
      <c r="AA62" s="510"/>
      <c r="AB62" s="510"/>
      <c r="AC62" s="510"/>
      <c r="AD62" s="511"/>
      <c r="AF62" s="84">
        <f>16*3000</f>
        <v>48000</v>
      </c>
    </row>
    <row r="63" spans="1:32" ht="27.75" thickBot="1">
      <c r="A63" s="496" t="s">
        <v>453</v>
      </c>
      <c r="B63" s="496"/>
      <c r="C63" s="496"/>
      <c r="D63" s="496"/>
      <c r="E63" s="496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7" t="s">
        <v>111</v>
      </c>
      <c r="B64" s="494"/>
      <c r="C64" s="338" t="s">
        <v>2</v>
      </c>
      <c r="D64" s="338" t="s">
        <v>37</v>
      </c>
      <c r="E64" s="338" t="s">
        <v>3</v>
      </c>
      <c r="F64" s="494" t="s">
        <v>109</v>
      </c>
      <c r="G64" s="494"/>
      <c r="H64" s="494"/>
      <c r="I64" s="494"/>
      <c r="J64" s="494"/>
      <c r="K64" s="494" t="s">
        <v>39</v>
      </c>
      <c r="L64" s="494"/>
      <c r="M64" s="338" t="s">
        <v>40</v>
      </c>
      <c r="N64" s="494" t="s">
        <v>41</v>
      </c>
      <c r="O64" s="494"/>
      <c r="P64" s="491" t="s">
        <v>42</v>
      </c>
      <c r="Q64" s="493"/>
      <c r="R64" s="491" t="s">
        <v>43</v>
      </c>
      <c r="S64" s="492"/>
      <c r="T64" s="492"/>
      <c r="U64" s="492"/>
      <c r="V64" s="492"/>
      <c r="W64" s="492"/>
      <c r="X64" s="492"/>
      <c r="Y64" s="492"/>
      <c r="Z64" s="492"/>
      <c r="AA64" s="493"/>
      <c r="AB64" s="494" t="s">
        <v>44</v>
      </c>
      <c r="AC64" s="494"/>
      <c r="AD64" s="495"/>
      <c r="AF64" s="84">
        <f>SUM(AF61:AF63)</f>
        <v>96000</v>
      </c>
    </row>
    <row r="65" spans="1:32" ht="25.5" customHeight="1">
      <c r="A65" s="482">
        <v>1</v>
      </c>
      <c r="B65" s="483"/>
      <c r="C65" s="105" t="s">
        <v>118</v>
      </c>
      <c r="D65" s="343"/>
      <c r="E65" s="340" t="s">
        <v>454</v>
      </c>
      <c r="F65" s="488" t="s">
        <v>436</v>
      </c>
      <c r="G65" s="489"/>
      <c r="H65" s="489"/>
      <c r="I65" s="489"/>
      <c r="J65" s="490"/>
      <c r="K65" s="476">
        <v>7301</v>
      </c>
      <c r="L65" s="476"/>
      <c r="M65" s="51" t="s">
        <v>387</v>
      </c>
      <c r="N65" s="485" t="s">
        <v>180</v>
      </c>
      <c r="O65" s="485"/>
      <c r="P65" s="486">
        <v>50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2</v>
      </c>
      <c r="B66" s="483"/>
      <c r="C66" s="105"/>
      <c r="D66" s="343"/>
      <c r="E66" s="340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3</v>
      </c>
      <c r="B67" s="483"/>
      <c r="C67" s="105"/>
      <c r="D67" s="343"/>
      <c r="E67" s="340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4</v>
      </c>
      <c r="B68" s="483"/>
      <c r="C68" s="105"/>
      <c r="D68" s="343"/>
      <c r="E68" s="340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5</v>
      </c>
      <c r="B69" s="483"/>
      <c r="C69" s="105"/>
      <c r="D69" s="343"/>
      <c r="E69" s="340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6</v>
      </c>
      <c r="B70" s="483"/>
      <c r="C70" s="105"/>
      <c r="D70" s="343"/>
      <c r="E70" s="340"/>
      <c r="F70" s="488"/>
      <c r="G70" s="489"/>
      <c r="H70" s="489"/>
      <c r="I70" s="489"/>
      <c r="J70" s="490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7</v>
      </c>
      <c r="B71" s="483"/>
      <c r="C71" s="105"/>
      <c r="D71" s="343"/>
      <c r="E71" s="340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8</v>
      </c>
      <c r="B72" s="483"/>
      <c r="C72" s="105"/>
      <c r="D72" s="343"/>
      <c r="E72" s="340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9</v>
      </c>
      <c r="B73" s="483"/>
      <c r="C73" s="105"/>
      <c r="D73" s="343"/>
      <c r="E73" s="340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5.5" customHeight="1">
      <c r="A74" s="482">
        <v>10</v>
      </c>
      <c r="B74" s="483"/>
      <c r="C74" s="105"/>
      <c r="D74" s="343"/>
      <c r="E74" s="340"/>
      <c r="F74" s="484"/>
      <c r="G74" s="476"/>
      <c r="H74" s="476"/>
      <c r="I74" s="476"/>
      <c r="J74" s="476"/>
      <c r="K74" s="476"/>
      <c r="L74" s="476"/>
      <c r="M74" s="51"/>
      <c r="N74" s="485"/>
      <c r="O74" s="485"/>
      <c r="P74" s="486"/>
      <c r="Q74" s="486"/>
      <c r="R74" s="487"/>
      <c r="S74" s="487"/>
      <c r="T74" s="487"/>
      <c r="U74" s="487"/>
      <c r="V74" s="487"/>
      <c r="W74" s="487"/>
      <c r="X74" s="487"/>
      <c r="Y74" s="487"/>
      <c r="Z74" s="487"/>
      <c r="AA74" s="487"/>
      <c r="AB74" s="476"/>
      <c r="AC74" s="476"/>
      <c r="AD74" s="477"/>
      <c r="AF74" s="50"/>
    </row>
    <row r="75" spans="1:32" ht="26.25" customHeight="1" thickBot="1">
      <c r="A75" s="456" t="s">
        <v>455</v>
      </c>
      <c r="B75" s="456"/>
      <c r="C75" s="456"/>
      <c r="D75" s="456"/>
      <c r="E75" s="45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57" t="s">
        <v>149</v>
      </c>
      <c r="B76" s="458"/>
      <c r="C76" s="342" t="s">
        <v>2</v>
      </c>
      <c r="D76" s="342" t="s">
        <v>37</v>
      </c>
      <c r="E76" s="342" t="s">
        <v>135</v>
      </c>
      <c r="F76" s="458" t="s">
        <v>38</v>
      </c>
      <c r="G76" s="458"/>
      <c r="H76" s="458"/>
      <c r="I76" s="458"/>
      <c r="J76" s="458"/>
      <c r="K76" s="478" t="s">
        <v>58</v>
      </c>
      <c r="L76" s="479"/>
      <c r="M76" s="479"/>
      <c r="N76" s="479"/>
      <c r="O76" s="479"/>
      <c r="P76" s="479"/>
      <c r="Q76" s="479"/>
      <c r="R76" s="479"/>
      <c r="S76" s="480"/>
      <c r="T76" s="458" t="s">
        <v>49</v>
      </c>
      <c r="U76" s="458"/>
      <c r="V76" s="478" t="s">
        <v>50</v>
      </c>
      <c r="W76" s="480"/>
      <c r="X76" s="479" t="s">
        <v>51</v>
      </c>
      <c r="Y76" s="479"/>
      <c r="Z76" s="479"/>
      <c r="AA76" s="479"/>
      <c r="AB76" s="479"/>
      <c r="AC76" s="479"/>
      <c r="AD76" s="481"/>
      <c r="AF76" s="50"/>
    </row>
    <row r="77" spans="1:32" ht="33.75" customHeight="1">
      <c r="A77" s="450">
        <v>1</v>
      </c>
      <c r="B77" s="451"/>
      <c r="C77" s="344" t="s">
        <v>112</v>
      </c>
      <c r="D77" s="344"/>
      <c r="E77" s="65" t="s">
        <v>117</v>
      </c>
      <c r="F77" s="465" t="s">
        <v>116</v>
      </c>
      <c r="G77" s="466"/>
      <c r="H77" s="466"/>
      <c r="I77" s="466"/>
      <c r="J77" s="467"/>
      <c r="K77" s="468" t="s">
        <v>120</v>
      </c>
      <c r="L77" s="469"/>
      <c r="M77" s="469"/>
      <c r="N77" s="469"/>
      <c r="O77" s="469"/>
      <c r="P77" s="469"/>
      <c r="Q77" s="469"/>
      <c r="R77" s="469"/>
      <c r="S77" s="470"/>
      <c r="T77" s="471">
        <v>43675</v>
      </c>
      <c r="U77" s="472"/>
      <c r="V77" s="473"/>
      <c r="W77" s="473"/>
      <c r="X77" s="474"/>
      <c r="Y77" s="474"/>
      <c r="Z77" s="474"/>
      <c r="AA77" s="474"/>
      <c r="AB77" s="474"/>
      <c r="AC77" s="474"/>
      <c r="AD77" s="475"/>
      <c r="AF77" s="50"/>
    </row>
    <row r="78" spans="1:32" ht="30" customHeight="1">
      <c r="A78" s="443">
        <f>A77+1</f>
        <v>2</v>
      </c>
      <c r="B78" s="444"/>
      <c r="C78" s="343"/>
      <c r="D78" s="343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ref="A79:A83" si="19">A78+1</f>
        <v>3</v>
      </c>
      <c r="B79" s="444"/>
      <c r="C79" s="343"/>
      <c r="D79" s="343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9"/>
        <v>4</v>
      </c>
      <c r="B80" s="444"/>
      <c r="C80" s="343"/>
      <c r="D80" s="343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9"/>
        <v>5</v>
      </c>
      <c r="B81" s="444"/>
      <c r="C81" s="343"/>
      <c r="D81" s="343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9"/>
        <v>6</v>
      </c>
      <c r="B82" s="444"/>
      <c r="C82" s="343"/>
      <c r="D82" s="343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0" customHeight="1">
      <c r="A83" s="443">
        <f t="shared" si="19"/>
        <v>7</v>
      </c>
      <c r="B83" s="444"/>
      <c r="C83" s="343"/>
      <c r="D83" s="343"/>
      <c r="E83" s="32"/>
      <c r="F83" s="444"/>
      <c r="G83" s="444"/>
      <c r="H83" s="444"/>
      <c r="I83" s="444"/>
      <c r="J83" s="444"/>
      <c r="K83" s="459"/>
      <c r="L83" s="460"/>
      <c r="M83" s="460"/>
      <c r="N83" s="460"/>
      <c r="O83" s="460"/>
      <c r="P83" s="460"/>
      <c r="Q83" s="460"/>
      <c r="R83" s="460"/>
      <c r="S83" s="461"/>
      <c r="T83" s="462"/>
      <c r="U83" s="462"/>
      <c r="V83" s="462"/>
      <c r="W83" s="462"/>
      <c r="X83" s="463"/>
      <c r="Y83" s="463"/>
      <c r="Z83" s="463"/>
      <c r="AA83" s="463"/>
      <c r="AB83" s="463"/>
      <c r="AC83" s="463"/>
      <c r="AD83" s="464"/>
      <c r="AF83" s="50"/>
    </row>
    <row r="84" spans="1:32" ht="36" thickBot="1">
      <c r="A84" s="456" t="s">
        <v>456</v>
      </c>
      <c r="B84" s="456"/>
      <c r="C84" s="456"/>
      <c r="D84" s="456"/>
      <c r="E84" s="45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57" t="s">
        <v>111</v>
      </c>
      <c r="B85" s="458"/>
      <c r="C85" s="448" t="s">
        <v>52</v>
      </c>
      <c r="D85" s="448"/>
      <c r="E85" s="448" t="s">
        <v>53</v>
      </c>
      <c r="F85" s="448"/>
      <c r="G85" s="448"/>
      <c r="H85" s="448"/>
      <c r="I85" s="448"/>
      <c r="J85" s="448"/>
      <c r="K85" s="448" t="s">
        <v>54</v>
      </c>
      <c r="L85" s="448"/>
      <c r="M85" s="448"/>
      <c r="N85" s="448"/>
      <c r="O85" s="448"/>
      <c r="P85" s="448"/>
      <c r="Q85" s="448"/>
      <c r="R85" s="448"/>
      <c r="S85" s="448"/>
      <c r="T85" s="448" t="s">
        <v>55</v>
      </c>
      <c r="U85" s="448"/>
      <c r="V85" s="448" t="s">
        <v>56</v>
      </c>
      <c r="W85" s="448"/>
      <c r="X85" s="448"/>
      <c r="Y85" s="448" t="s">
        <v>51</v>
      </c>
      <c r="Z85" s="448"/>
      <c r="AA85" s="448"/>
      <c r="AB85" s="448"/>
      <c r="AC85" s="448"/>
      <c r="AD85" s="449"/>
      <c r="AF85" s="50"/>
    </row>
    <row r="86" spans="1:32" ht="30.75" customHeight="1">
      <c r="A86" s="450">
        <v>1</v>
      </c>
      <c r="B86" s="451"/>
      <c r="C86" s="452">
        <v>8</v>
      </c>
      <c r="D86" s="452"/>
      <c r="E86" s="452" t="s">
        <v>440</v>
      </c>
      <c r="F86" s="452"/>
      <c r="G86" s="452"/>
      <c r="H86" s="452"/>
      <c r="I86" s="452"/>
      <c r="J86" s="452"/>
      <c r="K86" s="452" t="s">
        <v>441</v>
      </c>
      <c r="L86" s="452"/>
      <c r="M86" s="452"/>
      <c r="N86" s="452"/>
      <c r="O86" s="452"/>
      <c r="P86" s="452"/>
      <c r="Q86" s="452"/>
      <c r="R86" s="452"/>
      <c r="S86" s="452"/>
      <c r="T86" s="452" t="s">
        <v>442</v>
      </c>
      <c r="U86" s="452"/>
      <c r="V86" s="453"/>
      <c r="W86" s="453"/>
      <c r="X86" s="453"/>
      <c r="Y86" s="454" t="s">
        <v>443</v>
      </c>
      <c r="Z86" s="454"/>
      <c r="AA86" s="454"/>
      <c r="AB86" s="454"/>
      <c r="AC86" s="454"/>
      <c r="AD86" s="455"/>
      <c r="AF86" s="50"/>
    </row>
    <row r="87" spans="1:32" ht="30.75" customHeight="1">
      <c r="A87" s="443">
        <v>2</v>
      </c>
      <c r="B87" s="444"/>
      <c r="C87" s="445"/>
      <c r="D87" s="445"/>
      <c r="E87" s="445"/>
      <c r="F87" s="445"/>
      <c r="G87" s="445"/>
      <c r="H87" s="445"/>
      <c r="I87" s="445"/>
      <c r="J87" s="445"/>
      <c r="K87" s="445"/>
      <c r="L87" s="445"/>
      <c r="M87" s="445"/>
      <c r="N87" s="445"/>
      <c r="O87" s="445"/>
      <c r="P87" s="445"/>
      <c r="Q87" s="445"/>
      <c r="R87" s="445"/>
      <c r="S87" s="445"/>
      <c r="T87" s="446"/>
      <c r="U87" s="446"/>
      <c r="V87" s="447"/>
      <c r="W87" s="447"/>
      <c r="X87" s="447"/>
      <c r="Y87" s="436"/>
      <c r="Z87" s="436"/>
      <c r="AA87" s="436"/>
      <c r="AB87" s="436"/>
      <c r="AC87" s="436"/>
      <c r="AD87" s="437"/>
      <c r="AF87" s="50"/>
    </row>
    <row r="88" spans="1:32" ht="30.75" customHeight="1" thickBot="1">
      <c r="A88" s="438">
        <v>3</v>
      </c>
      <c r="B88" s="439"/>
      <c r="C88" s="440"/>
      <c r="D88" s="440"/>
      <c r="E88" s="440"/>
      <c r="F88" s="440"/>
      <c r="G88" s="440"/>
      <c r="H88" s="440"/>
      <c r="I88" s="440"/>
      <c r="J88" s="440"/>
      <c r="K88" s="440"/>
      <c r="L88" s="440"/>
      <c r="M88" s="440"/>
      <c r="N88" s="440"/>
      <c r="O88" s="440"/>
      <c r="P88" s="440"/>
      <c r="Q88" s="440"/>
      <c r="R88" s="440"/>
      <c r="S88" s="440"/>
      <c r="T88" s="440"/>
      <c r="U88" s="440"/>
      <c r="V88" s="440"/>
      <c r="W88" s="440"/>
      <c r="X88" s="440"/>
      <c r="Y88" s="441"/>
      <c r="Z88" s="441"/>
      <c r="AA88" s="441"/>
      <c r="AB88" s="441"/>
      <c r="AC88" s="441"/>
      <c r="AD88" s="442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50CC-CAA1-44C0-B6C8-11C380CC9BCD}">
  <dimension ref="A1:AF88"/>
  <sheetViews>
    <sheetView view="pageBreakPreview" topLeftCell="A4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457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357" t="s">
        <v>17</v>
      </c>
      <c r="L5" s="357" t="s">
        <v>18</v>
      </c>
      <c r="M5" s="357" t="s">
        <v>19</v>
      </c>
      <c r="N5" s="35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/>
      <c r="E6" s="53" t="s">
        <v>414</v>
      </c>
      <c r="F6" s="12" t="s">
        <v>156</v>
      </c>
      <c r="G6" s="12">
        <v>2</v>
      </c>
      <c r="H6" s="13">
        <v>24</v>
      </c>
      <c r="I6" s="31">
        <v>23500</v>
      </c>
      <c r="J6" s="14">
        <v>10442</v>
      </c>
      <c r="K6" s="15">
        <f>L6+9388+9240</f>
        <v>29070</v>
      </c>
      <c r="L6" s="15">
        <f>3198*2+2023*2</f>
        <v>10442</v>
      </c>
      <c r="M6" s="15">
        <f t="shared" ref="M6:M22" si="0">L6-N6</f>
        <v>10442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21</v>
      </c>
      <c r="Q6" s="40">
        <f t="shared" ref="Q6:Q22" si="3">SUM(R6:AA6)</f>
        <v>3</v>
      </c>
      <c r="R6" s="7"/>
      <c r="S6" s="6">
        <v>3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0.875</v>
      </c>
      <c r="AD6" s="10">
        <f t="shared" ref="AD6:AD22" si="6">AC6*AB6*(1-O6)</f>
        <v>0.875</v>
      </c>
      <c r="AE6" s="36">
        <f t="shared" ref="AE6:AE22" si="7">$AD$23</f>
        <v>0.53431372549019607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5266</v>
      </c>
      <c r="K7" s="15">
        <f>L7+3683+2801+972+5614+6047+6028+2698+3397+3300+6010+4686+5374</f>
        <v>55876</v>
      </c>
      <c r="L7" s="15">
        <f>2655+2611</f>
        <v>5266</v>
      </c>
      <c r="M7" s="15">
        <f t="shared" si="0"/>
        <v>5266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>
        <v>2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6">
        <f t="shared" si="7"/>
        <v>0.53431372549019607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119</v>
      </c>
      <c r="D8" s="52" t="s">
        <v>115</v>
      </c>
      <c r="E8" s="53" t="s">
        <v>168</v>
      </c>
      <c r="F8" s="30" t="s">
        <v>122</v>
      </c>
      <c r="G8" s="33">
        <v>1</v>
      </c>
      <c r="H8" s="35">
        <v>24</v>
      </c>
      <c r="I8" s="7">
        <v>25000</v>
      </c>
      <c r="J8" s="14">
        <v>11000</v>
      </c>
      <c r="K8" s="15">
        <f>L8+2936+8824</f>
        <v>22760</v>
      </c>
      <c r="L8" s="15">
        <f>2745*2+2755*2</f>
        <v>11000</v>
      </c>
      <c r="M8" s="15">
        <f t="shared" si="0"/>
        <v>11000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0.53431372549019607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121</v>
      </c>
      <c r="D9" s="52"/>
      <c r="E9" s="53" t="s">
        <v>415</v>
      </c>
      <c r="F9" s="30" t="s">
        <v>122</v>
      </c>
      <c r="G9" s="33">
        <v>2</v>
      </c>
      <c r="H9" s="35">
        <v>24</v>
      </c>
      <c r="I9" s="7">
        <v>23500</v>
      </c>
      <c r="J9" s="5">
        <v>10192</v>
      </c>
      <c r="K9" s="15">
        <f>L9+9384+9944</f>
        <v>29520</v>
      </c>
      <c r="L9" s="15">
        <f>2524*2+2572*2</f>
        <v>10192</v>
      </c>
      <c r="M9" s="15">
        <f t="shared" si="0"/>
        <v>10192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>AC9*AB9*(1-O9)</f>
        <v>1</v>
      </c>
      <c r="AE9" s="36">
        <f t="shared" si="7"/>
        <v>0.53431372549019607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129</v>
      </c>
      <c r="E10" s="53" t="s">
        <v>131</v>
      </c>
      <c r="F10" s="30" t="s">
        <v>122</v>
      </c>
      <c r="G10" s="33">
        <v>4</v>
      </c>
      <c r="H10" s="35">
        <v>24</v>
      </c>
      <c r="I10" s="7">
        <f>160000+200000</f>
        <v>360000</v>
      </c>
      <c r="J10" s="14">
        <v>5300</v>
      </c>
      <c r="K10" s="15">
        <f>L10+14316+24980+26456+26372+26832+5300</f>
        <v>124256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ref="AD10:AD15" si="9">AC10*AB10*(1-O10)</f>
        <v>0</v>
      </c>
      <c r="AE10" s="36">
        <f t="shared" si="7"/>
        <v>0.53431372549019607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129</v>
      </c>
      <c r="E11" s="53" t="s">
        <v>131</v>
      </c>
      <c r="F11" s="30" t="s">
        <v>122</v>
      </c>
      <c r="G11" s="33">
        <v>4</v>
      </c>
      <c r="H11" s="35">
        <v>24</v>
      </c>
      <c r="I11" s="7">
        <v>200000</v>
      </c>
      <c r="J11" s="14">
        <v>14223</v>
      </c>
      <c r="K11" s="15">
        <f>L11+25248+14223</f>
        <v>39471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0.53431372549019607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/>
      <c r="E12" s="53" t="s">
        <v>381</v>
      </c>
      <c r="F12" s="30" t="s">
        <v>394</v>
      </c>
      <c r="G12" s="12">
        <v>1</v>
      </c>
      <c r="H12" s="13">
        <v>20</v>
      </c>
      <c r="I12" s="31">
        <f>7500+11500</f>
        <v>19000</v>
      </c>
      <c r="J12" s="5">
        <v>1550</v>
      </c>
      <c r="K12" s="15">
        <f>L12+3747+4924+4838+4627</f>
        <v>19686</v>
      </c>
      <c r="L12" s="15">
        <v>1550</v>
      </c>
      <c r="M12" s="15">
        <f t="shared" ref="M12" si="10">L12-N12</f>
        <v>1550</v>
      </c>
      <c r="N12" s="15">
        <v>0</v>
      </c>
      <c r="O12" s="58">
        <f t="shared" ref="O12" si="11">IF(L12=0,"0",N12/L12)</f>
        <v>0</v>
      </c>
      <c r="P12" s="39">
        <f t="shared" ref="P12" si="12">IF(L12=0,"0",(24-Q12))</f>
        <v>7</v>
      </c>
      <c r="Q12" s="40">
        <f t="shared" ref="Q12" si="13">SUM(R12:AA12)</f>
        <v>17</v>
      </c>
      <c r="R12" s="7"/>
      <c r="S12" s="6"/>
      <c r="T12" s="16"/>
      <c r="U12" s="16"/>
      <c r="V12" s="17"/>
      <c r="W12" s="5">
        <v>17</v>
      </c>
      <c r="X12" s="16"/>
      <c r="Y12" s="16"/>
      <c r="Z12" s="16"/>
      <c r="AA12" s="18"/>
      <c r="AB12" s="8">
        <f t="shared" ref="AB12" si="14">IF(J12=0,"0",(L12/J12))</f>
        <v>1</v>
      </c>
      <c r="AC12" s="9">
        <f t="shared" ref="AC12" si="15">IF(P12=0,"0",(P12/24))</f>
        <v>0.29166666666666669</v>
      </c>
      <c r="AD12" s="10">
        <f t="shared" ref="AD12" si="16">AC12*AB12*(1-O12)</f>
        <v>0.29166666666666669</v>
      </c>
      <c r="AE12" s="36">
        <f t="shared" si="7"/>
        <v>0.53431372549019607</v>
      </c>
      <c r="AF12" s="84">
        <f t="shared" ref="AF12" si="17">A12</f>
        <v>7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452</v>
      </c>
      <c r="F13" s="30" t="s">
        <v>200</v>
      </c>
      <c r="G13" s="12">
        <v>1</v>
      </c>
      <c r="H13" s="13">
        <v>20</v>
      </c>
      <c r="I13" s="31">
        <v>4000</v>
      </c>
      <c r="J13" s="5">
        <v>2779</v>
      </c>
      <c r="K13" s="15">
        <f>L13</f>
        <v>2779</v>
      </c>
      <c r="L13" s="15">
        <f>2448+331</f>
        <v>2779</v>
      </c>
      <c r="M13" s="15">
        <f t="shared" si="0"/>
        <v>2779</v>
      </c>
      <c r="N13" s="15">
        <v>0</v>
      </c>
      <c r="O13" s="58">
        <f t="shared" si="1"/>
        <v>0</v>
      </c>
      <c r="P13" s="39">
        <f t="shared" si="2"/>
        <v>15</v>
      </c>
      <c r="Q13" s="40">
        <f t="shared" si="3"/>
        <v>9</v>
      </c>
      <c r="R13" s="7"/>
      <c r="S13" s="6"/>
      <c r="T13" s="16">
        <v>9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0.625</v>
      </c>
      <c r="AD13" s="10">
        <f t="shared" si="9"/>
        <v>0.625</v>
      </c>
      <c r="AE13" s="36">
        <f t="shared" si="7"/>
        <v>0.53431372549019607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288</v>
      </c>
      <c r="F14" s="30" t="s">
        <v>299</v>
      </c>
      <c r="G14" s="12">
        <v>1</v>
      </c>
      <c r="H14" s="13">
        <v>28</v>
      </c>
      <c r="I14" s="31">
        <v>26000</v>
      </c>
      <c r="J14" s="5">
        <v>4706</v>
      </c>
      <c r="K14" s="15">
        <f>L14+3081+4425+5156+4934+4706</f>
        <v>22302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>AC14*AB14*(1-O14)</f>
        <v>0</v>
      </c>
      <c r="AE14" s="36">
        <f t="shared" si="7"/>
        <v>0.53431372549019607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432</v>
      </c>
      <c r="D15" s="52" t="s">
        <v>115</v>
      </c>
      <c r="E15" s="53" t="s">
        <v>430</v>
      </c>
      <c r="F15" s="30" t="s">
        <v>385</v>
      </c>
      <c r="G15" s="33">
        <v>1</v>
      </c>
      <c r="H15" s="35">
        <v>60</v>
      </c>
      <c r="I15" s="7">
        <v>100</v>
      </c>
      <c r="J15" s="5">
        <v>211</v>
      </c>
      <c r="K15" s="15">
        <f>L15+211</f>
        <v>211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19</v>
      </c>
      <c r="R15" s="7"/>
      <c r="S15" s="6">
        <v>3</v>
      </c>
      <c r="T15" s="16"/>
      <c r="U15" s="16"/>
      <c r="V15" s="17"/>
      <c r="W15" s="5">
        <v>16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0.53431372549019607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121</v>
      </c>
      <c r="D16" s="52" t="s">
        <v>127</v>
      </c>
      <c r="E16" s="53" t="s">
        <v>154</v>
      </c>
      <c r="F16" s="12" t="s">
        <v>156</v>
      </c>
      <c r="G16" s="12">
        <v>1</v>
      </c>
      <c r="H16" s="13">
        <v>24</v>
      </c>
      <c r="I16" s="31">
        <f>11500+7500</f>
        <v>19000</v>
      </c>
      <c r="J16" s="14">
        <v>5198</v>
      </c>
      <c r="K16" s="15">
        <f>L16+2898+5234+1444+2583</f>
        <v>17357</v>
      </c>
      <c r="L16" s="15">
        <f>2580+2618</f>
        <v>5198</v>
      </c>
      <c r="M16" s="15">
        <f t="shared" si="0"/>
        <v>5198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0.53431372549019607</v>
      </c>
      <c r="AF16" s="84">
        <f t="shared" si="8"/>
        <v>10</v>
      </c>
    </row>
    <row r="17" spans="1:32" ht="30" customHeight="1">
      <c r="A17" s="113">
        <v>11</v>
      </c>
      <c r="B17" s="11" t="s">
        <v>57</v>
      </c>
      <c r="C17" s="34" t="s">
        <v>118</v>
      </c>
      <c r="D17" s="52" t="s">
        <v>144</v>
      </c>
      <c r="E17" s="53" t="s">
        <v>402</v>
      </c>
      <c r="F17" s="30" t="s">
        <v>409</v>
      </c>
      <c r="G17" s="12">
        <v>1</v>
      </c>
      <c r="H17" s="13">
        <v>24</v>
      </c>
      <c r="I17" s="7">
        <v>33000</v>
      </c>
      <c r="J17" s="14">
        <v>5402</v>
      </c>
      <c r="K17" s="15">
        <f>L17+3599+5250+5336</f>
        <v>19587</v>
      </c>
      <c r="L17" s="15">
        <f>2821+2581</f>
        <v>5402</v>
      </c>
      <c r="M17" s="15">
        <f t="shared" si="0"/>
        <v>5402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0.53431372549019607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118</v>
      </c>
      <c r="D18" s="52" t="s">
        <v>127</v>
      </c>
      <c r="E18" s="53" t="s">
        <v>434</v>
      </c>
      <c r="F18" s="30" t="s">
        <v>445</v>
      </c>
      <c r="G18" s="12">
        <v>1</v>
      </c>
      <c r="H18" s="13">
        <v>24</v>
      </c>
      <c r="I18" s="7">
        <v>1000</v>
      </c>
      <c r="J18" s="14">
        <v>1088</v>
      </c>
      <c r="K18" s="15">
        <f>L18+1088</f>
        <v>1088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0.53431372549019607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115</v>
      </c>
      <c r="E19" s="53" t="s">
        <v>416</v>
      </c>
      <c r="F19" s="30" t="s">
        <v>128</v>
      </c>
      <c r="G19" s="33">
        <v>1</v>
      </c>
      <c r="H19" s="35">
        <v>24</v>
      </c>
      <c r="I19" s="7">
        <v>30000</v>
      </c>
      <c r="J19" s="14">
        <v>5357</v>
      </c>
      <c r="K19" s="15">
        <f>L19+5205+5220</f>
        <v>15782</v>
      </c>
      <c r="L19" s="15">
        <f>2661+2696</f>
        <v>5357</v>
      </c>
      <c r="M19" s="15">
        <f t="shared" si="0"/>
        <v>5357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0.53431372549019607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217</v>
      </c>
      <c r="E20" s="53" t="s">
        <v>218</v>
      </c>
      <c r="F20" s="30" t="s">
        <v>424</v>
      </c>
      <c r="G20" s="33">
        <v>1</v>
      </c>
      <c r="H20" s="35">
        <v>24</v>
      </c>
      <c r="I20" s="7">
        <v>10000</v>
      </c>
      <c r="J20" s="14">
        <v>2633</v>
      </c>
      <c r="K20" s="15">
        <f>L20+3855+4992</f>
        <v>11480</v>
      </c>
      <c r="L20" s="15">
        <f>2633</f>
        <v>2633</v>
      </c>
      <c r="M20" s="15">
        <f t="shared" si="0"/>
        <v>2633</v>
      </c>
      <c r="N20" s="15">
        <v>0</v>
      </c>
      <c r="O20" s="58">
        <f t="shared" si="1"/>
        <v>0</v>
      </c>
      <c r="P20" s="39">
        <f t="shared" si="2"/>
        <v>13</v>
      </c>
      <c r="Q20" s="40">
        <f t="shared" si="3"/>
        <v>11</v>
      </c>
      <c r="R20" s="7"/>
      <c r="S20" s="6">
        <v>11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0.54166666666666663</v>
      </c>
      <c r="AD20" s="10">
        <f t="shared" si="6"/>
        <v>0.54166666666666663</v>
      </c>
      <c r="AE20" s="36">
        <f t="shared" si="7"/>
        <v>0.53431372549019607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34" t="s">
        <v>121</v>
      </c>
      <c r="D21" s="52"/>
      <c r="E21" s="53" t="s">
        <v>451</v>
      </c>
      <c r="F21" s="30" t="s">
        <v>394</v>
      </c>
      <c r="G21" s="12">
        <v>2</v>
      </c>
      <c r="H21" s="13">
        <v>28</v>
      </c>
      <c r="I21" s="31">
        <v>23500</v>
      </c>
      <c r="J21" s="5">
        <v>7246</v>
      </c>
      <c r="K21" s="15">
        <f>L21</f>
        <v>7246</v>
      </c>
      <c r="L21" s="15">
        <f>1338*2+2285*2</f>
        <v>7246</v>
      </c>
      <c r="M21" s="15">
        <f t="shared" si="0"/>
        <v>7246</v>
      </c>
      <c r="N21" s="15">
        <v>0</v>
      </c>
      <c r="O21" s="58">
        <f t="shared" si="1"/>
        <v>0</v>
      </c>
      <c r="P21" s="39">
        <f t="shared" si="2"/>
        <v>20</v>
      </c>
      <c r="Q21" s="40">
        <f t="shared" si="3"/>
        <v>4</v>
      </c>
      <c r="R21" s="7"/>
      <c r="S21" s="6">
        <v>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0.83333333333333337</v>
      </c>
      <c r="AD21" s="10">
        <f>AC21*AB21*(1-O21)</f>
        <v>0.83333333333333337</v>
      </c>
      <c r="AE21" s="36">
        <f t="shared" si="7"/>
        <v>0.53431372549019607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300000</v>
      </c>
      <c r="J22" s="14">
        <v>4004</v>
      </c>
      <c r="K22" s="15">
        <f>30816+34860+35212+34672+33032+29240+28664+35888+4004</f>
        <v>266388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0.53431372549019607</v>
      </c>
      <c r="AF22" s="84">
        <f t="shared" si="8"/>
        <v>16</v>
      </c>
    </row>
    <row r="23" spans="1:32" ht="31.5" customHeight="1" thickBot="1">
      <c r="A23" s="519" t="s">
        <v>34</v>
      </c>
      <c r="B23" s="520"/>
      <c r="C23" s="520"/>
      <c r="D23" s="520"/>
      <c r="E23" s="520"/>
      <c r="F23" s="520"/>
      <c r="G23" s="520"/>
      <c r="H23" s="521"/>
      <c r="I23" s="22">
        <f t="shared" ref="I23:N23" si="18">SUM(I6:I22)</f>
        <v>1147600</v>
      </c>
      <c r="J23" s="19">
        <f t="shared" si="18"/>
        <v>96597</v>
      </c>
      <c r="K23" s="20">
        <f t="shared" si="18"/>
        <v>684859</v>
      </c>
      <c r="L23" s="21">
        <f t="shared" si="18"/>
        <v>67065</v>
      </c>
      <c r="M23" s="20">
        <f t="shared" si="18"/>
        <v>67065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218</v>
      </c>
      <c r="Q23" s="43">
        <f t="shared" si="19"/>
        <v>185</v>
      </c>
      <c r="R23" s="23">
        <f t="shared" si="19"/>
        <v>24</v>
      </c>
      <c r="S23" s="24">
        <f t="shared" si="19"/>
        <v>47</v>
      </c>
      <c r="T23" s="24">
        <f t="shared" si="19"/>
        <v>9</v>
      </c>
      <c r="U23" s="24">
        <f t="shared" si="19"/>
        <v>0</v>
      </c>
      <c r="V23" s="25">
        <f t="shared" si="19"/>
        <v>24</v>
      </c>
      <c r="W23" s="26">
        <f t="shared" si="19"/>
        <v>57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24</v>
      </c>
      <c r="AB23" s="28">
        <f>AVERAGE(AB6:AB22)</f>
        <v>0.6470588235294118</v>
      </c>
      <c r="AC23" s="4">
        <f>AVERAGE(AC6:AC22)</f>
        <v>0.53431372549019607</v>
      </c>
      <c r="AD23" s="4">
        <f>AVERAGE(AD6:AD22)</f>
        <v>0.53431372549019607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22" t="s">
        <v>45</v>
      </c>
      <c r="B50" s="522"/>
      <c r="C50" s="522"/>
      <c r="D50" s="522"/>
      <c r="E50" s="52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23" t="s">
        <v>458</v>
      </c>
      <c r="B51" s="524"/>
      <c r="C51" s="524"/>
      <c r="D51" s="524"/>
      <c r="E51" s="524"/>
      <c r="F51" s="524"/>
      <c r="G51" s="524"/>
      <c r="H51" s="524"/>
      <c r="I51" s="524"/>
      <c r="J51" s="524"/>
      <c r="K51" s="524"/>
      <c r="L51" s="524"/>
      <c r="M51" s="525"/>
      <c r="N51" s="526" t="s">
        <v>462</v>
      </c>
      <c r="O51" s="527"/>
      <c r="P51" s="527"/>
      <c r="Q51" s="527"/>
      <c r="R51" s="527"/>
      <c r="S51" s="527"/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8"/>
    </row>
    <row r="52" spans="1:32" ht="27" customHeight="1">
      <c r="A52" s="529" t="s">
        <v>2</v>
      </c>
      <c r="B52" s="530"/>
      <c r="C52" s="356" t="s">
        <v>46</v>
      </c>
      <c r="D52" s="356" t="s">
        <v>47</v>
      </c>
      <c r="E52" s="356" t="s">
        <v>107</v>
      </c>
      <c r="F52" s="531" t="s">
        <v>106</v>
      </c>
      <c r="G52" s="532"/>
      <c r="H52" s="532"/>
      <c r="I52" s="532"/>
      <c r="J52" s="532"/>
      <c r="K52" s="532"/>
      <c r="L52" s="532"/>
      <c r="M52" s="533"/>
      <c r="N52" s="67" t="s">
        <v>110</v>
      </c>
      <c r="O52" s="356" t="s">
        <v>46</v>
      </c>
      <c r="P52" s="531" t="s">
        <v>47</v>
      </c>
      <c r="Q52" s="534"/>
      <c r="R52" s="531" t="s">
        <v>38</v>
      </c>
      <c r="S52" s="532"/>
      <c r="T52" s="532"/>
      <c r="U52" s="534"/>
      <c r="V52" s="531" t="s">
        <v>48</v>
      </c>
      <c r="W52" s="532"/>
      <c r="X52" s="532"/>
      <c r="Y52" s="532"/>
      <c r="Z52" s="532"/>
      <c r="AA52" s="532"/>
      <c r="AB52" s="532"/>
      <c r="AC52" s="532"/>
      <c r="AD52" s="533"/>
    </row>
    <row r="53" spans="1:32" ht="27" customHeight="1">
      <c r="A53" s="512" t="s">
        <v>121</v>
      </c>
      <c r="B53" s="513"/>
      <c r="C53" s="355" t="s">
        <v>143</v>
      </c>
      <c r="D53" s="355"/>
      <c r="E53" s="352" t="s">
        <v>414</v>
      </c>
      <c r="F53" s="500" t="s">
        <v>459</v>
      </c>
      <c r="G53" s="501"/>
      <c r="H53" s="501"/>
      <c r="I53" s="501"/>
      <c r="J53" s="501"/>
      <c r="K53" s="501"/>
      <c r="L53" s="501"/>
      <c r="M53" s="502"/>
      <c r="N53" s="351" t="s">
        <v>118</v>
      </c>
      <c r="O53" s="349" t="s">
        <v>155</v>
      </c>
      <c r="P53" s="514" t="s">
        <v>463</v>
      </c>
      <c r="Q53" s="515"/>
      <c r="R53" s="514" t="s">
        <v>464</v>
      </c>
      <c r="S53" s="516"/>
      <c r="T53" s="516"/>
      <c r="U53" s="515"/>
      <c r="V53" s="487" t="s">
        <v>141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119</v>
      </c>
      <c r="B54" s="513"/>
      <c r="C54" s="355" t="s">
        <v>140</v>
      </c>
      <c r="D54" s="355" t="s">
        <v>144</v>
      </c>
      <c r="E54" s="352" t="s">
        <v>161</v>
      </c>
      <c r="F54" s="500" t="s">
        <v>301</v>
      </c>
      <c r="G54" s="501"/>
      <c r="H54" s="501"/>
      <c r="I54" s="501"/>
      <c r="J54" s="501"/>
      <c r="K54" s="501"/>
      <c r="L54" s="501"/>
      <c r="M54" s="502"/>
      <c r="N54" s="351" t="s">
        <v>119</v>
      </c>
      <c r="O54" s="349" t="s">
        <v>306</v>
      </c>
      <c r="P54" s="514" t="s">
        <v>129</v>
      </c>
      <c r="Q54" s="515"/>
      <c r="R54" s="514" t="s">
        <v>465</v>
      </c>
      <c r="S54" s="516"/>
      <c r="T54" s="516"/>
      <c r="U54" s="515"/>
      <c r="V54" s="487" t="s">
        <v>466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121</v>
      </c>
      <c r="B55" s="513"/>
      <c r="C55" s="355" t="s">
        <v>180</v>
      </c>
      <c r="D55" s="355"/>
      <c r="E55" s="352" t="s">
        <v>451</v>
      </c>
      <c r="F55" s="500" t="s">
        <v>460</v>
      </c>
      <c r="G55" s="501"/>
      <c r="H55" s="501"/>
      <c r="I55" s="501"/>
      <c r="J55" s="501"/>
      <c r="K55" s="501"/>
      <c r="L55" s="501"/>
      <c r="M55" s="502"/>
      <c r="N55" s="351" t="s">
        <v>336</v>
      </c>
      <c r="O55" s="349" t="s">
        <v>332</v>
      </c>
      <c r="P55" s="514" t="s">
        <v>337</v>
      </c>
      <c r="Q55" s="515"/>
      <c r="R55" s="514" t="s">
        <v>467</v>
      </c>
      <c r="S55" s="516"/>
      <c r="T55" s="516"/>
      <c r="U55" s="515"/>
      <c r="V55" s="487" t="s">
        <v>466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121</v>
      </c>
      <c r="B56" s="513"/>
      <c r="C56" s="355" t="s">
        <v>155</v>
      </c>
      <c r="D56" s="355"/>
      <c r="E56" s="352" t="s">
        <v>415</v>
      </c>
      <c r="F56" s="500" t="s">
        <v>461</v>
      </c>
      <c r="G56" s="501"/>
      <c r="H56" s="501"/>
      <c r="I56" s="501"/>
      <c r="J56" s="501"/>
      <c r="K56" s="501"/>
      <c r="L56" s="501"/>
      <c r="M56" s="502"/>
      <c r="N56" s="351" t="s">
        <v>112</v>
      </c>
      <c r="O56" s="349" t="s">
        <v>242</v>
      </c>
      <c r="P56" s="514" t="s">
        <v>115</v>
      </c>
      <c r="Q56" s="515"/>
      <c r="R56" s="514" t="s">
        <v>468</v>
      </c>
      <c r="S56" s="516"/>
      <c r="T56" s="516"/>
      <c r="U56" s="515"/>
      <c r="V56" s="487" t="s">
        <v>141</v>
      </c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118</v>
      </c>
      <c r="B57" s="513"/>
      <c r="C57" s="355" t="s">
        <v>190</v>
      </c>
      <c r="D57" s="355" t="s">
        <v>115</v>
      </c>
      <c r="E57" s="352" t="s">
        <v>452</v>
      </c>
      <c r="F57" s="500" t="s">
        <v>141</v>
      </c>
      <c r="G57" s="501"/>
      <c r="H57" s="501"/>
      <c r="I57" s="501"/>
      <c r="J57" s="501"/>
      <c r="K57" s="501"/>
      <c r="L57" s="501"/>
      <c r="M57" s="502"/>
      <c r="N57" s="351"/>
      <c r="O57" s="349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498"/>
      <c r="B58" s="499"/>
      <c r="C58" s="352"/>
      <c r="D58" s="352"/>
      <c r="E58" s="352"/>
      <c r="F58" s="500"/>
      <c r="G58" s="501"/>
      <c r="H58" s="501"/>
      <c r="I58" s="501"/>
      <c r="J58" s="501"/>
      <c r="K58" s="501"/>
      <c r="L58" s="501"/>
      <c r="M58" s="502"/>
      <c r="N58" s="351"/>
      <c r="O58" s="349"/>
      <c r="P58" s="514"/>
      <c r="Q58" s="515"/>
      <c r="R58" s="514"/>
      <c r="S58" s="516"/>
      <c r="T58" s="516"/>
      <c r="U58" s="515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355"/>
      <c r="D59" s="355"/>
      <c r="E59" s="352"/>
      <c r="F59" s="500"/>
      <c r="G59" s="501"/>
      <c r="H59" s="501"/>
      <c r="I59" s="501"/>
      <c r="J59" s="501"/>
      <c r="K59" s="501"/>
      <c r="L59" s="501"/>
      <c r="M59" s="502"/>
      <c r="N59" s="351"/>
      <c r="O59" s="349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512"/>
      <c r="B60" s="513"/>
      <c r="C60" s="355"/>
      <c r="D60" s="355"/>
      <c r="E60" s="352"/>
      <c r="F60" s="500"/>
      <c r="G60" s="501"/>
      <c r="H60" s="501"/>
      <c r="I60" s="501"/>
      <c r="J60" s="501"/>
      <c r="K60" s="501"/>
      <c r="L60" s="501"/>
      <c r="M60" s="502"/>
      <c r="N60" s="351"/>
      <c r="O60" s="349"/>
      <c r="P60" s="514"/>
      <c r="Q60" s="515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</row>
    <row r="61" spans="1:32" ht="27" customHeight="1">
      <c r="A61" s="498"/>
      <c r="B61" s="499"/>
      <c r="C61" s="352"/>
      <c r="D61" s="352"/>
      <c r="E61" s="352"/>
      <c r="F61" s="500"/>
      <c r="G61" s="501"/>
      <c r="H61" s="501"/>
      <c r="I61" s="501"/>
      <c r="J61" s="501"/>
      <c r="K61" s="501"/>
      <c r="L61" s="501"/>
      <c r="M61" s="502"/>
      <c r="N61" s="351"/>
      <c r="O61" s="349"/>
      <c r="P61" s="499"/>
      <c r="Q61" s="499"/>
      <c r="R61" s="499"/>
      <c r="S61" s="499"/>
      <c r="T61" s="499"/>
      <c r="U61" s="499"/>
      <c r="V61" s="487"/>
      <c r="W61" s="487"/>
      <c r="X61" s="487"/>
      <c r="Y61" s="487"/>
      <c r="Z61" s="487"/>
      <c r="AA61" s="487"/>
      <c r="AB61" s="487"/>
      <c r="AC61" s="487"/>
      <c r="AD61" s="503"/>
      <c r="AF61" s="84">
        <f>8*3000</f>
        <v>24000</v>
      </c>
    </row>
    <row r="62" spans="1:32" ht="27" customHeight="1" thickBot="1">
      <c r="A62" s="504"/>
      <c r="B62" s="505"/>
      <c r="C62" s="353"/>
      <c r="D62" s="354"/>
      <c r="E62" s="354"/>
      <c r="F62" s="506"/>
      <c r="G62" s="507"/>
      <c r="H62" s="507"/>
      <c r="I62" s="507"/>
      <c r="J62" s="507"/>
      <c r="K62" s="507"/>
      <c r="L62" s="507"/>
      <c r="M62" s="508"/>
      <c r="N62" s="112"/>
      <c r="O62" s="103"/>
      <c r="P62" s="509"/>
      <c r="Q62" s="509"/>
      <c r="R62" s="509"/>
      <c r="S62" s="509"/>
      <c r="T62" s="509"/>
      <c r="U62" s="509"/>
      <c r="V62" s="510"/>
      <c r="W62" s="510"/>
      <c r="X62" s="510"/>
      <c r="Y62" s="510"/>
      <c r="Z62" s="510"/>
      <c r="AA62" s="510"/>
      <c r="AB62" s="510"/>
      <c r="AC62" s="510"/>
      <c r="AD62" s="511"/>
      <c r="AF62" s="84">
        <f>16*3000</f>
        <v>48000</v>
      </c>
    </row>
    <row r="63" spans="1:32" ht="27.75" thickBot="1">
      <c r="A63" s="496" t="s">
        <v>469</v>
      </c>
      <c r="B63" s="496"/>
      <c r="C63" s="496"/>
      <c r="D63" s="496"/>
      <c r="E63" s="496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7" t="s">
        <v>111</v>
      </c>
      <c r="B64" s="494"/>
      <c r="C64" s="350" t="s">
        <v>2</v>
      </c>
      <c r="D64" s="350" t="s">
        <v>37</v>
      </c>
      <c r="E64" s="350" t="s">
        <v>3</v>
      </c>
      <c r="F64" s="494" t="s">
        <v>109</v>
      </c>
      <c r="G64" s="494"/>
      <c r="H64" s="494"/>
      <c r="I64" s="494"/>
      <c r="J64" s="494"/>
      <c r="K64" s="494" t="s">
        <v>39</v>
      </c>
      <c r="L64" s="494"/>
      <c r="M64" s="350" t="s">
        <v>40</v>
      </c>
      <c r="N64" s="494" t="s">
        <v>41</v>
      </c>
      <c r="O64" s="494"/>
      <c r="P64" s="491" t="s">
        <v>42</v>
      </c>
      <c r="Q64" s="493"/>
      <c r="R64" s="491" t="s">
        <v>43</v>
      </c>
      <c r="S64" s="492"/>
      <c r="T64" s="492"/>
      <c r="U64" s="492"/>
      <c r="V64" s="492"/>
      <c r="W64" s="492"/>
      <c r="X64" s="492"/>
      <c r="Y64" s="492"/>
      <c r="Z64" s="492"/>
      <c r="AA64" s="493"/>
      <c r="AB64" s="494" t="s">
        <v>44</v>
      </c>
      <c r="AC64" s="494"/>
      <c r="AD64" s="495"/>
      <c r="AF64" s="84">
        <f>SUM(AF61:AF63)</f>
        <v>96000</v>
      </c>
    </row>
    <row r="65" spans="1:32" ht="25.5" customHeight="1">
      <c r="A65" s="482">
        <v>1</v>
      </c>
      <c r="B65" s="483"/>
      <c r="C65" s="105" t="s">
        <v>118</v>
      </c>
      <c r="D65" s="345"/>
      <c r="E65" s="348" t="s">
        <v>471</v>
      </c>
      <c r="F65" s="488" t="s">
        <v>470</v>
      </c>
      <c r="G65" s="489"/>
      <c r="H65" s="489"/>
      <c r="I65" s="489"/>
      <c r="J65" s="490"/>
      <c r="K65" s="476" t="s">
        <v>409</v>
      </c>
      <c r="L65" s="476"/>
      <c r="M65" s="51" t="s">
        <v>246</v>
      </c>
      <c r="N65" s="485" t="s">
        <v>306</v>
      </c>
      <c r="O65" s="485"/>
      <c r="P65" s="486">
        <v>100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2</v>
      </c>
      <c r="B66" s="483"/>
      <c r="C66" s="105" t="s">
        <v>118</v>
      </c>
      <c r="D66" s="345"/>
      <c r="E66" s="348" t="s">
        <v>127</v>
      </c>
      <c r="F66" s="488" t="s">
        <v>472</v>
      </c>
      <c r="G66" s="489"/>
      <c r="H66" s="489"/>
      <c r="I66" s="489"/>
      <c r="J66" s="490"/>
      <c r="K66" s="476" t="s">
        <v>473</v>
      </c>
      <c r="L66" s="476"/>
      <c r="M66" s="51" t="s">
        <v>225</v>
      </c>
      <c r="N66" s="485" t="s">
        <v>371</v>
      </c>
      <c r="O66" s="485"/>
      <c r="P66" s="486">
        <v>50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3</v>
      </c>
      <c r="B67" s="483"/>
      <c r="C67" s="105"/>
      <c r="D67" s="345"/>
      <c r="E67" s="348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4</v>
      </c>
      <c r="B68" s="483"/>
      <c r="C68" s="105"/>
      <c r="D68" s="345"/>
      <c r="E68" s="348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5</v>
      </c>
      <c r="B69" s="483"/>
      <c r="C69" s="105"/>
      <c r="D69" s="345"/>
      <c r="E69" s="348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6</v>
      </c>
      <c r="B70" s="483"/>
      <c r="C70" s="105"/>
      <c r="D70" s="345"/>
      <c r="E70" s="348"/>
      <c r="F70" s="488"/>
      <c r="G70" s="489"/>
      <c r="H70" s="489"/>
      <c r="I70" s="489"/>
      <c r="J70" s="490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7</v>
      </c>
      <c r="B71" s="483"/>
      <c r="C71" s="105"/>
      <c r="D71" s="345"/>
      <c r="E71" s="348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8</v>
      </c>
      <c r="B72" s="483"/>
      <c r="C72" s="105"/>
      <c r="D72" s="345"/>
      <c r="E72" s="348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9</v>
      </c>
      <c r="B73" s="483"/>
      <c r="C73" s="105"/>
      <c r="D73" s="345"/>
      <c r="E73" s="348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5.5" customHeight="1">
      <c r="A74" s="482">
        <v>10</v>
      </c>
      <c r="B74" s="483"/>
      <c r="C74" s="105"/>
      <c r="D74" s="345"/>
      <c r="E74" s="348"/>
      <c r="F74" s="484"/>
      <c r="G74" s="476"/>
      <c r="H74" s="476"/>
      <c r="I74" s="476"/>
      <c r="J74" s="476"/>
      <c r="K74" s="476"/>
      <c r="L74" s="476"/>
      <c r="M74" s="51"/>
      <c r="N74" s="485"/>
      <c r="O74" s="485"/>
      <c r="P74" s="486"/>
      <c r="Q74" s="486"/>
      <c r="R74" s="487"/>
      <c r="S74" s="487"/>
      <c r="T74" s="487"/>
      <c r="U74" s="487"/>
      <c r="V74" s="487"/>
      <c r="W74" s="487"/>
      <c r="X74" s="487"/>
      <c r="Y74" s="487"/>
      <c r="Z74" s="487"/>
      <c r="AA74" s="487"/>
      <c r="AB74" s="476"/>
      <c r="AC74" s="476"/>
      <c r="AD74" s="477"/>
      <c r="AF74" s="50"/>
    </row>
    <row r="75" spans="1:32" ht="26.25" customHeight="1" thickBot="1">
      <c r="A75" s="456" t="s">
        <v>474</v>
      </c>
      <c r="B75" s="456"/>
      <c r="C75" s="456"/>
      <c r="D75" s="456"/>
      <c r="E75" s="45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57" t="s">
        <v>149</v>
      </c>
      <c r="B76" s="458"/>
      <c r="C76" s="347" t="s">
        <v>2</v>
      </c>
      <c r="D76" s="347" t="s">
        <v>37</v>
      </c>
      <c r="E76" s="347" t="s">
        <v>135</v>
      </c>
      <c r="F76" s="458" t="s">
        <v>38</v>
      </c>
      <c r="G76" s="458"/>
      <c r="H76" s="458"/>
      <c r="I76" s="458"/>
      <c r="J76" s="458"/>
      <c r="K76" s="478" t="s">
        <v>58</v>
      </c>
      <c r="L76" s="479"/>
      <c r="M76" s="479"/>
      <c r="N76" s="479"/>
      <c r="O76" s="479"/>
      <c r="P76" s="479"/>
      <c r="Q76" s="479"/>
      <c r="R76" s="479"/>
      <c r="S76" s="480"/>
      <c r="T76" s="458" t="s">
        <v>49</v>
      </c>
      <c r="U76" s="458"/>
      <c r="V76" s="478" t="s">
        <v>50</v>
      </c>
      <c r="W76" s="480"/>
      <c r="X76" s="479" t="s">
        <v>51</v>
      </c>
      <c r="Y76" s="479"/>
      <c r="Z76" s="479"/>
      <c r="AA76" s="479"/>
      <c r="AB76" s="479"/>
      <c r="AC76" s="479"/>
      <c r="AD76" s="481"/>
      <c r="AF76" s="50"/>
    </row>
    <row r="77" spans="1:32" ht="33.75" customHeight="1">
      <c r="A77" s="450">
        <v>1</v>
      </c>
      <c r="B77" s="451"/>
      <c r="C77" s="346" t="s">
        <v>112</v>
      </c>
      <c r="D77" s="346"/>
      <c r="E77" s="65" t="s">
        <v>117</v>
      </c>
      <c r="F77" s="465" t="s">
        <v>116</v>
      </c>
      <c r="G77" s="466"/>
      <c r="H77" s="466"/>
      <c r="I77" s="466"/>
      <c r="J77" s="467"/>
      <c r="K77" s="468" t="s">
        <v>120</v>
      </c>
      <c r="L77" s="469"/>
      <c r="M77" s="469"/>
      <c r="N77" s="469"/>
      <c r="O77" s="469"/>
      <c r="P77" s="469"/>
      <c r="Q77" s="469"/>
      <c r="R77" s="469"/>
      <c r="S77" s="470"/>
      <c r="T77" s="471">
        <v>43675</v>
      </c>
      <c r="U77" s="472"/>
      <c r="V77" s="473"/>
      <c r="W77" s="473"/>
      <c r="X77" s="474"/>
      <c r="Y77" s="474"/>
      <c r="Z77" s="474"/>
      <c r="AA77" s="474"/>
      <c r="AB77" s="474"/>
      <c r="AC77" s="474"/>
      <c r="AD77" s="475"/>
      <c r="AF77" s="50"/>
    </row>
    <row r="78" spans="1:32" ht="30" customHeight="1">
      <c r="A78" s="443">
        <f>A77+1</f>
        <v>2</v>
      </c>
      <c r="B78" s="444"/>
      <c r="C78" s="345"/>
      <c r="D78" s="345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ref="A79:A83" si="20">A78+1</f>
        <v>3</v>
      </c>
      <c r="B79" s="444"/>
      <c r="C79" s="345"/>
      <c r="D79" s="345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20"/>
        <v>4</v>
      </c>
      <c r="B80" s="444"/>
      <c r="C80" s="345"/>
      <c r="D80" s="345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20"/>
        <v>5</v>
      </c>
      <c r="B81" s="444"/>
      <c r="C81" s="345"/>
      <c r="D81" s="345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20"/>
        <v>6</v>
      </c>
      <c r="B82" s="444"/>
      <c r="C82" s="345"/>
      <c r="D82" s="345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0" customHeight="1">
      <c r="A83" s="443">
        <f t="shared" si="20"/>
        <v>7</v>
      </c>
      <c r="B83" s="444"/>
      <c r="C83" s="345"/>
      <c r="D83" s="345"/>
      <c r="E83" s="32"/>
      <c r="F83" s="444"/>
      <c r="G83" s="444"/>
      <c r="H83" s="444"/>
      <c r="I83" s="444"/>
      <c r="J83" s="444"/>
      <c r="K83" s="459"/>
      <c r="L83" s="460"/>
      <c r="M83" s="460"/>
      <c r="N83" s="460"/>
      <c r="O83" s="460"/>
      <c r="P83" s="460"/>
      <c r="Q83" s="460"/>
      <c r="R83" s="460"/>
      <c r="S83" s="461"/>
      <c r="T83" s="462"/>
      <c r="U83" s="462"/>
      <c r="V83" s="462"/>
      <c r="W83" s="462"/>
      <c r="X83" s="463"/>
      <c r="Y83" s="463"/>
      <c r="Z83" s="463"/>
      <c r="AA83" s="463"/>
      <c r="AB83" s="463"/>
      <c r="AC83" s="463"/>
      <c r="AD83" s="464"/>
      <c r="AF83" s="50"/>
    </row>
    <row r="84" spans="1:32" ht="36" thickBot="1">
      <c r="A84" s="456" t="s">
        <v>475</v>
      </c>
      <c r="B84" s="456"/>
      <c r="C84" s="456"/>
      <c r="D84" s="456"/>
      <c r="E84" s="45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57" t="s">
        <v>111</v>
      </c>
      <c r="B85" s="458"/>
      <c r="C85" s="448" t="s">
        <v>52</v>
      </c>
      <c r="D85" s="448"/>
      <c r="E85" s="448" t="s">
        <v>53</v>
      </c>
      <c r="F85" s="448"/>
      <c r="G85" s="448"/>
      <c r="H85" s="448"/>
      <c r="I85" s="448"/>
      <c r="J85" s="448"/>
      <c r="K85" s="448" t="s">
        <v>54</v>
      </c>
      <c r="L85" s="448"/>
      <c r="M85" s="448"/>
      <c r="N85" s="448"/>
      <c r="O85" s="448"/>
      <c r="P85" s="448"/>
      <c r="Q85" s="448"/>
      <c r="R85" s="448"/>
      <c r="S85" s="448"/>
      <c r="T85" s="448" t="s">
        <v>55</v>
      </c>
      <c r="U85" s="448"/>
      <c r="V85" s="448" t="s">
        <v>56</v>
      </c>
      <c r="W85" s="448"/>
      <c r="X85" s="448"/>
      <c r="Y85" s="448" t="s">
        <v>51</v>
      </c>
      <c r="Z85" s="448"/>
      <c r="AA85" s="448"/>
      <c r="AB85" s="448"/>
      <c r="AC85" s="448"/>
      <c r="AD85" s="449"/>
      <c r="AF85" s="50"/>
    </row>
    <row r="86" spans="1:32" ht="30.75" customHeight="1">
      <c r="A86" s="450">
        <v>1</v>
      </c>
      <c r="B86" s="451"/>
      <c r="C86" s="452">
        <v>8</v>
      </c>
      <c r="D86" s="452"/>
      <c r="E86" s="452" t="s">
        <v>440</v>
      </c>
      <c r="F86" s="452"/>
      <c r="G86" s="452"/>
      <c r="H86" s="452"/>
      <c r="I86" s="452"/>
      <c r="J86" s="452"/>
      <c r="K86" s="452" t="s">
        <v>441</v>
      </c>
      <c r="L86" s="452"/>
      <c r="M86" s="452"/>
      <c r="N86" s="452"/>
      <c r="O86" s="452"/>
      <c r="P86" s="452"/>
      <c r="Q86" s="452"/>
      <c r="R86" s="452"/>
      <c r="S86" s="452"/>
      <c r="T86" s="452" t="s">
        <v>442</v>
      </c>
      <c r="U86" s="452"/>
      <c r="V86" s="453"/>
      <c r="W86" s="453"/>
      <c r="X86" s="453"/>
      <c r="Y86" s="454" t="s">
        <v>443</v>
      </c>
      <c r="Z86" s="454"/>
      <c r="AA86" s="454"/>
      <c r="AB86" s="454"/>
      <c r="AC86" s="454"/>
      <c r="AD86" s="455"/>
      <c r="AF86" s="50"/>
    </row>
    <row r="87" spans="1:32" ht="30.75" customHeight="1">
      <c r="A87" s="443">
        <v>2</v>
      </c>
      <c r="B87" s="444"/>
      <c r="C87" s="445"/>
      <c r="D87" s="445"/>
      <c r="E87" s="445"/>
      <c r="F87" s="445"/>
      <c r="G87" s="445"/>
      <c r="H87" s="445"/>
      <c r="I87" s="445"/>
      <c r="J87" s="445"/>
      <c r="K87" s="445"/>
      <c r="L87" s="445"/>
      <c r="M87" s="445"/>
      <c r="N87" s="445"/>
      <c r="O87" s="445"/>
      <c r="P87" s="445"/>
      <c r="Q87" s="445"/>
      <c r="R87" s="445"/>
      <c r="S87" s="445"/>
      <c r="T87" s="446"/>
      <c r="U87" s="446"/>
      <c r="V87" s="447"/>
      <c r="W87" s="447"/>
      <c r="X87" s="447"/>
      <c r="Y87" s="436"/>
      <c r="Z87" s="436"/>
      <c r="AA87" s="436"/>
      <c r="AB87" s="436"/>
      <c r="AC87" s="436"/>
      <c r="AD87" s="437"/>
      <c r="AF87" s="50"/>
    </row>
    <row r="88" spans="1:32" ht="30.75" customHeight="1" thickBot="1">
      <c r="A88" s="438">
        <v>3</v>
      </c>
      <c r="B88" s="439"/>
      <c r="C88" s="440"/>
      <c r="D88" s="440"/>
      <c r="E88" s="440"/>
      <c r="F88" s="440"/>
      <c r="G88" s="440"/>
      <c r="H88" s="440"/>
      <c r="I88" s="440"/>
      <c r="J88" s="440"/>
      <c r="K88" s="440"/>
      <c r="L88" s="440"/>
      <c r="M88" s="440"/>
      <c r="N88" s="440"/>
      <c r="O88" s="440"/>
      <c r="P88" s="440"/>
      <c r="Q88" s="440"/>
      <c r="R88" s="440"/>
      <c r="S88" s="440"/>
      <c r="T88" s="440"/>
      <c r="U88" s="440"/>
      <c r="V88" s="440"/>
      <c r="W88" s="440"/>
      <c r="X88" s="440"/>
      <c r="Y88" s="441"/>
      <c r="Z88" s="441"/>
      <c r="AA88" s="441"/>
      <c r="AB88" s="441"/>
      <c r="AC88" s="441"/>
      <c r="AD88" s="442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6EFB-70FD-4F1F-B3C3-01CEBEF01815}">
  <dimension ref="A1:AF87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476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358" t="s">
        <v>17</v>
      </c>
      <c r="L5" s="358" t="s">
        <v>18</v>
      </c>
      <c r="M5" s="358" t="s">
        <v>19</v>
      </c>
      <c r="N5" s="35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/>
      <c r="E6" s="53" t="s">
        <v>414</v>
      </c>
      <c r="F6" s="12" t="s">
        <v>156</v>
      </c>
      <c r="G6" s="12">
        <v>2</v>
      </c>
      <c r="H6" s="13">
        <v>24</v>
      </c>
      <c r="I6" s="31">
        <v>23500</v>
      </c>
      <c r="J6" s="14">
        <v>5160</v>
      </c>
      <c r="K6" s="15">
        <f>L6+9388+9240+10442</f>
        <v>34230</v>
      </c>
      <c r="L6" s="15">
        <f>2580*2</f>
        <v>5160</v>
      </c>
      <c r="M6" s="15">
        <f t="shared" ref="M6:M21" si="0">L6-N6</f>
        <v>5160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15</v>
      </c>
      <c r="Q6" s="40">
        <f t="shared" ref="Q6:Q21" si="3">SUM(R6:AA6)</f>
        <v>9</v>
      </c>
      <c r="R6" s="7"/>
      <c r="S6" s="6"/>
      <c r="T6" s="16"/>
      <c r="U6" s="16"/>
      <c r="V6" s="17"/>
      <c r="W6" s="5">
        <v>9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0.625</v>
      </c>
      <c r="AD6" s="10">
        <f t="shared" ref="AD6:AD21" si="6">AC6*AB6*(1-O6)</f>
        <v>0.625</v>
      </c>
      <c r="AE6" s="36">
        <f t="shared" ref="AE6:AE21" si="7">$AD$22</f>
        <v>0.58333333333333337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2421</v>
      </c>
      <c r="K7" s="15">
        <f>L7+3683+2801+972+5614+6047+6028+2698+3397+3300+6010+4686+5374+5266</f>
        <v>58297</v>
      </c>
      <c r="L7" s="15">
        <f>2421</f>
        <v>2421</v>
      </c>
      <c r="M7" s="15">
        <f t="shared" si="0"/>
        <v>2421</v>
      </c>
      <c r="N7" s="15">
        <v>0</v>
      </c>
      <c r="O7" s="58">
        <f t="shared" si="1"/>
        <v>0</v>
      </c>
      <c r="P7" s="39">
        <f t="shared" si="2"/>
        <v>12</v>
      </c>
      <c r="Q7" s="40">
        <f t="shared" si="3"/>
        <v>12</v>
      </c>
      <c r="R7" s="7"/>
      <c r="S7" s="6"/>
      <c r="T7" s="16"/>
      <c r="U7" s="16"/>
      <c r="V7" s="17"/>
      <c r="W7" s="5">
        <v>12</v>
      </c>
      <c r="X7" s="16"/>
      <c r="Y7" s="16"/>
      <c r="Z7" s="16"/>
      <c r="AA7" s="18"/>
      <c r="AB7" s="8">
        <f t="shared" si="4"/>
        <v>1</v>
      </c>
      <c r="AC7" s="9">
        <f t="shared" si="5"/>
        <v>0.5</v>
      </c>
      <c r="AD7" s="10">
        <f t="shared" si="6"/>
        <v>0.5</v>
      </c>
      <c r="AE7" s="36">
        <f t="shared" si="7"/>
        <v>0.58333333333333337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119</v>
      </c>
      <c r="D8" s="52" t="s">
        <v>115</v>
      </c>
      <c r="E8" s="53" t="s">
        <v>168</v>
      </c>
      <c r="F8" s="30" t="s">
        <v>122</v>
      </c>
      <c r="G8" s="33">
        <v>1</v>
      </c>
      <c r="H8" s="35">
        <v>24</v>
      </c>
      <c r="I8" s="7">
        <v>25000</v>
      </c>
      <c r="J8" s="14">
        <v>7714</v>
      </c>
      <c r="K8" s="15">
        <f>L8+2936+8824+11000</f>
        <v>30474</v>
      </c>
      <c r="L8" s="15">
        <f>2765*2+1092*2</f>
        <v>7714</v>
      </c>
      <c r="M8" s="15">
        <f t="shared" si="0"/>
        <v>7714</v>
      </c>
      <c r="N8" s="15">
        <v>0</v>
      </c>
      <c r="O8" s="58">
        <f t="shared" si="1"/>
        <v>0</v>
      </c>
      <c r="P8" s="39">
        <f t="shared" si="2"/>
        <v>18</v>
      </c>
      <c r="Q8" s="40">
        <f t="shared" si="3"/>
        <v>6</v>
      </c>
      <c r="R8" s="7"/>
      <c r="S8" s="6"/>
      <c r="T8" s="16"/>
      <c r="U8" s="16"/>
      <c r="V8" s="17"/>
      <c r="W8" s="5">
        <v>6</v>
      </c>
      <c r="X8" s="16"/>
      <c r="Y8" s="16"/>
      <c r="Z8" s="16"/>
      <c r="AA8" s="18"/>
      <c r="AB8" s="8">
        <f t="shared" si="4"/>
        <v>1</v>
      </c>
      <c r="AC8" s="9">
        <f t="shared" si="5"/>
        <v>0.75</v>
      </c>
      <c r="AD8" s="10">
        <f t="shared" si="6"/>
        <v>0.75</v>
      </c>
      <c r="AE8" s="36">
        <f t="shared" si="7"/>
        <v>0.58333333333333337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463</v>
      </c>
      <c r="E9" s="53" t="s">
        <v>464</v>
      </c>
      <c r="F9" s="30" t="s">
        <v>477</v>
      </c>
      <c r="G9" s="33">
        <v>10</v>
      </c>
      <c r="H9" s="35">
        <v>24</v>
      </c>
      <c r="I9" s="7">
        <f>150000+250000</f>
        <v>400000</v>
      </c>
      <c r="J9" s="5">
        <v>52210</v>
      </c>
      <c r="K9" s="15">
        <f>L9</f>
        <v>52210</v>
      </c>
      <c r="L9" s="15">
        <f>2191*10+3030*10</f>
        <v>52210</v>
      </c>
      <c r="M9" s="15">
        <f t="shared" si="0"/>
        <v>52210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/>
      <c r="T9" s="16">
        <v>1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>AC9*AB9*(1-O9)</f>
        <v>0.95833333333333337</v>
      </c>
      <c r="AE9" s="36">
        <f t="shared" si="7"/>
        <v>0.58333333333333337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129</v>
      </c>
      <c r="E10" s="53" t="s">
        <v>465</v>
      </c>
      <c r="F10" s="30" t="s">
        <v>122</v>
      </c>
      <c r="G10" s="33">
        <v>2</v>
      </c>
      <c r="H10" s="35">
        <v>24</v>
      </c>
      <c r="I10" s="7">
        <v>10000</v>
      </c>
      <c r="J10" s="14">
        <v>6674</v>
      </c>
      <c r="K10" s="15">
        <f>L10</f>
        <v>6674</v>
      </c>
      <c r="L10" s="15">
        <f>336*2+3001*2</f>
        <v>6674</v>
      </c>
      <c r="M10" s="15">
        <f t="shared" si="0"/>
        <v>6674</v>
      </c>
      <c r="N10" s="15">
        <v>0</v>
      </c>
      <c r="O10" s="58">
        <f t="shared" si="1"/>
        <v>0</v>
      </c>
      <c r="P10" s="39">
        <f t="shared" si="2"/>
        <v>17</v>
      </c>
      <c r="Q10" s="40">
        <f t="shared" si="3"/>
        <v>7</v>
      </c>
      <c r="R10" s="7"/>
      <c r="S10" s="6">
        <v>7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0.70833333333333337</v>
      </c>
      <c r="AD10" s="10">
        <f t="shared" ref="AD10:AD14" si="9">AC10*AB10*(1-O10)</f>
        <v>0.70833333333333337</v>
      </c>
      <c r="AE10" s="36">
        <f t="shared" si="7"/>
        <v>0.58333333333333337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336</v>
      </c>
      <c r="D11" s="52" t="s">
        <v>337</v>
      </c>
      <c r="E11" s="53" t="s">
        <v>338</v>
      </c>
      <c r="F11" s="30" t="s">
        <v>478</v>
      </c>
      <c r="G11" s="33">
        <v>3</v>
      </c>
      <c r="H11" s="35">
        <v>24</v>
      </c>
      <c r="I11" s="7">
        <v>6000</v>
      </c>
      <c r="J11" s="14">
        <v>14673</v>
      </c>
      <c r="K11" s="15">
        <f>L11</f>
        <v>14673</v>
      </c>
      <c r="L11" s="15">
        <f>2243*3+2648*3</f>
        <v>14673</v>
      </c>
      <c r="M11" s="15">
        <f t="shared" si="0"/>
        <v>14673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/>
      <c r="T11" s="16">
        <v>2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si="9"/>
        <v>0.91666666666666663</v>
      </c>
      <c r="AE11" s="36">
        <f t="shared" si="7"/>
        <v>0.58333333333333337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452</v>
      </c>
      <c r="F12" s="30" t="s">
        <v>200</v>
      </c>
      <c r="G12" s="12">
        <v>1</v>
      </c>
      <c r="H12" s="13">
        <v>20</v>
      </c>
      <c r="I12" s="31">
        <v>4000</v>
      </c>
      <c r="J12" s="5">
        <v>4017</v>
      </c>
      <c r="K12" s="15">
        <f>L12+2779</f>
        <v>6796</v>
      </c>
      <c r="L12" s="15">
        <f>2485+1532</f>
        <v>4017</v>
      </c>
      <c r="M12" s="15">
        <f t="shared" si="0"/>
        <v>4017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9"/>
        <v>0.875</v>
      </c>
      <c r="AE12" s="36">
        <f t="shared" si="7"/>
        <v>0.58333333333333337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288</v>
      </c>
      <c r="F13" s="30" t="s">
        <v>299</v>
      </c>
      <c r="G13" s="12">
        <v>1</v>
      </c>
      <c r="H13" s="13">
        <v>28</v>
      </c>
      <c r="I13" s="31">
        <v>26000</v>
      </c>
      <c r="J13" s="5">
        <v>4706</v>
      </c>
      <c r="K13" s="15">
        <f>L13+3081+4425+5156+4934+4706</f>
        <v>22302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>
        <v>24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0.58333333333333337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432</v>
      </c>
      <c r="D14" s="52" t="s">
        <v>115</v>
      </c>
      <c r="E14" s="53" t="s">
        <v>430</v>
      </c>
      <c r="F14" s="30" t="s">
        <v>385</v>
      </c>
      <c r="G14" s="33">
        <v>1</v>
      </c>
      <c r="H14" s="35">
        <v>60</v>
      </c>
      <c r="I14" s="7">
        <v>100</v>
      </c>
      <c r="J14" s="5">
        <v>211</v>
      </c>
      <c r="K14" s="15">
        <f>L14+211</f>
        <v>211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0.58333333333333337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5277</v>
      </c>
      <c r="K15" s="15">
        <f>L15+2898+5234+1444+2583+5198</f>
        <v>22634</v>
      </c>
      <c r="L15" s="15">
        <f>2630+2647</f>
        <v>5277</v>
      </c>
      <c r="M15" s="15">
        <f t="shared" si="0"/>
        <v>5277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0.58333333333333337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144</v>
      </c>
      <c r="E16" s="53" t="s">
        <v>402</v>
      </c>
      <c r="F16" s="30" t="s">
        <v>409</v>
      </c>
      <c r="G16" s="12">
        <v>1</v>
      </c>
      <c r="H16" s="13">
        <v>24</v>
      </c>
      <c r="I16" s="7">
        <v>33000</v>
      </c>
      <c r="J16" s="14">
        <v>5766</v>
      </c>
      <c r="K16" s="15">
        <f>L16+3599+5250+5336+5402</f>
        <v>25353</v>
      </c>
      <c r="L16" s="15">
        <f>2879+2887</f>
        <v>5766</v>
      </c>
      <c r="M16" s="15">
        <f t="shared" si="0"/>
        <v>5766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0.58333333333333337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434</v>
      </c>
      <c r="F17" s="30" t="s">
        <v>445</v>
      </c>
      <c r="G17" s="12">
        <v>1</v>
      </c>
      <c r="H17" s="13">
        <v>24</v>
      </c>
      <c r="I17" s="7">
        <v>1000</v>
      </c>
      <c r="J17" s="14">
        <v>1088</v>
      </c>
      <c r="K17" s="15">
        <f>L17+1088</f>
        <v>1088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0.58333333333333337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416</v>
      </c>
      <c r="F18" s="30" t="s">
        <v>128</v>
      </c>
      <c r="G18" s="33">
        <v>1</v>
      </c>
      <c r="H18" s="35">
        <v>24</v>
      </c>
      <c r="I18" s="7">
        <v>30000</v>
      </c>
      <c r="J18" s="14">
        <v>5490</v>
      </c>
      <c r="K18" s="15">
        <f>L18+5205+5220+5357</f>
        <v>21272</v>
      </c>
      <c r="L18" s="15">
        <f>2708+2782</f>
        <v>5490</v>
      </c>
      <c r="M18" s="15">
        <f t="shared" si="0"/>
        <v>5490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0.58333333333333337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217</v>
      </c>
      <c r="E19" s="53" t="s">
        <v>218</v>
      </c>
      <c r="F19" s="30" t="s">
        <v>424</v>
      </c>
      <c r="G19" s="33">
        <v>1</v>
      </c>
      <c r="H19" s="35">
        <v>24</v>
      </c>
      <c r="I19" s="7">
        <v>10000</v>
      </c>
      <c r="J19" s="14">
        <v>2633</v>
      </c>
      <c r="K19" s="15">
        <f>L19+3855+4992+2633</f>
        <v>11480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0.58333333333333337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121</v>
      </c>
      <c r="D20" s="52"/>
      <c r="E20" s="53" t="s">
        <v>451</v>
      </c>
      <c r="F20" s="30" t="s">
        <v>394</v>
      </c>
      <c r="G20" s="12">
        <v>2</v>
      </c>
      <c r="H20" s="13">
        <v>28</v>
      </c>
      <c r="I20" s="31">
        <v>23500</v>
      </c>
      <c r="J20" s="5">
        <v>10934</v>
      </c>
      <c r="K20" s="15">
        <f>L20+7246</f>
        <v>18180</v>
      </c>
      <c r="L20" s="15">
        <f>2723*2+2744*2</f>
        <v>10934</v>
      </c>
      <c r="M20" s="15">
        <f t="shared" si="0"/>
        <v>10934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7"/>
        <v>0.58333333333333337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0.58333333333333337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961100</v>
      </c>
      <c r="J22" s="19">
        <f t="shared" si="10"/>
        <v>132978</v>
      </c>
      <c r="K22" s="20">
        <f t="shared" si="10"/>
        <v>592262</v>
      </c>
      <c r="L22" s="21">
        <f t="shared" si="10"/>
        <v>120336</v>
      </c>
      <c r="M22" s="20">
        <f t="shared" si="10"/>
        <v>120336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224</v>
      </c>
      <c r="Q22" s="43">
        <f t="shared" si="11"/>
        <v>160</v>
      </c>
      <c r="R22" s="23">
        <f t="shared" si="11"/>
        <v>24</v>
      </c>
      <c r="S22" s="24">
        <f t="shared" si="11"/>
        <v>10</v>
      </c>
      <c r="T22" s="24">
        <f t="shared" si="11"/>
        <v>3</v>
      </c>
      <c r="U22" s="24">
        <f t="shared" si="11"/>
        <v>0</v>
      </c>
      <c r="V22" s="25">
        <f t="shared" si="11"/>
        <v>24</v>
      </c>
      <c r="W22" s="26">
        <f t="shared" si="11"/>
        <v>75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0.6875</v>
      </c>
      <c r="AC22" s="4">
        <f>AVERAGE(AC6:AC21)</f>
        <v>0.58333333333333337</v>
      </c>
      <c r="AD22" s="4">
        <f>AVERAGE(AD6:AD21)</f>
        <v>0.58333333333333337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479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481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359" t="s">
        <v>46</v>
      </c>
      <c r="D51" s="359" t="s">
        <v>47</v>
      </c>
      <c r="E51" s="359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359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121</v>
      </c>
      <c r="B52" s="513"/>
      <c r="C52" s="360" t="s">
        <v>143</v>
      </c>
      <c r="D52" s="360"/>
      <c r="E52" s="361" t="s">
        <v>414</v>
      </c>
      <c r="F52" s="500" t="s">
        <v>480</v>
      </c>
      <c r="G52" s="501"/>
      <c r="H52" s="501"/>
      <c r="I52" s="501"/>
      <c r="J52" s="501"/>
      <c r="K52" s="501"/>
      <c r="L52" s="501"/>
      <c r="M52" s="502"/>
      <c r="N52" s="365" t="s">
        <v>118</v>
      </c>
      <c r="O52" s="367" t="s">
        <v>411</v>
      </c>
      <c r="P52" s="514" t="s">
        <v>115</v>
      </c>
      <c r="Q52" s="515"/>
      <c r="R52" s="514" t="s">
        <v>482</v>
      </c>
      <c r="S52" s="516"/>
      <c r="T52" s="516"/>
      <c r="U52" s="515"/>
      <c r="V52" s="487" t="s">
        <v>141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118</v>
      </c>
      <c r="B53" s="513"/>
      <c r="C53" s="360" t="s">
        <v>155</v>
      </c>
      <c r="D53" s="360" t="s">
        <v>463</v>
      </c>
      <c r="E53" s="361" t="s">
        <v>464</v>
      </c>
      <c r="F53" s="500" t="s">
        <v>141</v>
      </c>
      <c r="G53" s="501"/>
      <c r="H53" s="501"/>
      <c r="I53" s="501"/>
      <c r="J53" s="501"/>
      <c r="K53" s="501"/>
      <c r="L53" s="501"/>
      <c r="M53" s="502"/>
      <c r="N53" s="365" t="s">
        <v>118</v>
      </c>
      <c r="O53" s="367" t="s">
        <v>306</v>
      </c>
      <c r="P53" s="514" t="s">
        <v>129</v>
      </c>
      <c r="Q53" s="515"/>
      <c r="R53" s="514" t="s">
        <v>169</v>
      </c>
      <c r="S53" s="516"/>
      <c r="T53" s="516"/>
      <c r="U53" s="515"/>
      <c r="V53" s="487" t="s">
        <v>141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118</v>
      </c>
      <c r="B54" s="513"/>
      <c r="C54" s="360" t="s">
        <v>190</v>
      </c>
      <c r="D54" s="360" t="s">
        <v>115</v>
      </c>
      <c r="E54" s="361" t="s">
        <v>452</v>
      </c>
      <c r="F54" s="500" t="s">
        <v>202</v>
      </c>
      <c r="G54" s="501"/>
      <c r="H54" s="501"/>
      <c r="I54" s="501"/>
      <c r="J54" s="501"/>
      <c r="K54" s="501"/>
      <c r="L54" s="501"/>
      <c r="M54" s="502"/>
      <c r="N54" s="365" t="s">
        <v>112</v>
      </c>
      <c r="O54" s="367" t="s">
        <v>242</v>
      </c>
      <c r="P54" s="514" t="s">
        <v>115</v>
      </c>
      <c r="Q54" s="515"/>
      <c r="R54" s="514" t="s">
        <v>468</v>
      </c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336</v>
      </c>
      <c r="B55" s="513"/>
      <c r="C55" s="360" t="s">
        <v>332</v>
      </c>
      <c r="D55" s="360" t="s">
        <v>337</v>
      </c>
      <c r="E55" s="361" t="s">
        <v>338</v>
      </c>
      <c r="F55" s="500" t="s">
        <v>141</v>
      </c>
      <c r="G55" s="501"/>
      <c r="H55" s="501"/>
      <c r="I55" s="501"/>
      <c r="J55" s="501"/>
      <c r="K55" s="501"/>
      <c r="L55" s="501"/>
      <c r="M55" s="502"/>
      <c r="N55" s="365" t="s">
        <v>118</v>
      </c>
      <c r="O55" s="367" t="s">
        <v>142</v>
      </c>
      <c r="P55" s="514" t="s">
        <v>115</v>
      </c>
      <c r="Q55" s="515"/>
      <c r="R55" s="514" t="s">
        <v>416</v>
      </c>
      <c r="S55" s="516"/>
      <c r="T55" s="516"/>
      <c r="U55" s="515"/>
      <c r="V55" s="487" t="s">
        <v>256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119</v>
      </c>
      <c r="B56" s="513"/>
      <c r="C56" s="360" t="s">
        <v>306</v>
      </c>
      <c r="D56" s="360" t="s">
        <v>129</v>
      </c>
      <c r="E56" s="361" t="s">
        <v>465</v>
      </c>
      <c r="F56" s="500" t="s">
        <v>221</v>
      </c>
      <c r="G56" s="501"/>
      <c r="H56" s="501"/>
      <c r="I56" s="501"/>
      <c r="J56" s="501"/>
      <c r="K56" s="501"/>
      <c r="L56" s="501"/>
      <c r="M56" s="502"/>
      <c r="N56" s="365"/>
      <c r="O56" s="367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498"/>
      <c r="B57" s="499"/>
      <c r="C57" s="361"/>
      <c r="D57" s="361"/>
      <c r="E57" s="361"/>
      <c r="F57" s="500"/>
      <c r="G57" s="501"/>
      <c r="H57" s="501"/>
      <c r="I57" s="501"/>
      <c r="J57" s="501"/>
      <c r="K57" s="501"/>
      <c r="L57" s="501"/>
      <c r="M57" s="502"/>
      <c r="N57" s="365"/>
      <c r="O57" s="367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360"/>
      <c r="D58" s="360"/>
      <c r="E58" s="361"/>
      <c r="F58" s="500"/>
      <c r="G58" s="501"/>
      <c r="H58" s="501"/>
      <c r="I58" s="501"/>
      <c r="J58" s="501"/>
      <c r="K58" s="501"/>
      <c r="L58" s="501"/>
      <c r="M58" s="502"/>
      <c r="N58" s="365"/>
      <c r="O58" s="367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360"/>
      <c r="D59" s="360"/>
      <c r="E59" s="361"/>
      <c r="F59" s="500"/>
      <c r="G59" s="501"/>
      <c r="H59" s="501"/>
      <c r="I59" s="501"/>
      <c r="J59" s="501"/>
      <c r="K59" s="501"/>
      <c r="L59" s="501"/>
      <c r="M59" s="502"/>
      <c r="N59" s="365"/>
      <c r="O59" s="367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361"/>
      <c r="D60" s="361"/>
      <c r="E60" s="361"/>
      <c r="F60" s="500"/>
      <c r="G60" s="501"/>
      <c r="H60" s="501"/>
      <c r="I60" s="501"/>
      <c r="J60" s="501"/>
      <c r="K60" s="501"/>
      <c r="L60" s="501"/>
      <c r="M60" s="502"/>
      <c r="N60" s="365"/>
      <c r="O60" s="367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362"/>
      <c r="D61" s="363"/>
      <c r="E61" s="363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483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364" t="s">
        <v>2</v>
      </c>
      <c r="D63" s="364" t="s">
        <v>37</v>
      </c>
      <c r="E63" s="364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364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118</v>
      </c>
      <c r="D64" s="369"/>
      <c r="E64" s="366" t="s">
        <v>127</v>
      </c>
      <c r="F64" s="488" t="s">
        <v>239</v>
      </c>
      <c r="G64" s="489"/>
      <c r="H64" s="489"/>
      <c r="I64" s="489"/>
      <c r="J64" s="490"/>
      <c r="K64" s="476" t="s">
        <v>134</v>
      </c>
      <c r="L64" s="476"/>
      <c r="M64" s="51" t="s">
        <v>195</v>
      </c>
      <c r="N64" s="485" t="s">
        <v>151</v>
      </c>
      <c r="O64" s="485"/>
      <c r="P64" s="486">
        <v>50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118</v>
      </c>
      <c r="D65" s="369"/>
      <c r="E65" s="366" t="s">
        <v>129</v>
      </c>
      <c r="F65" s="488" t="s">
        <v>272</v>
      </c>
      <c r="G65" s="489"/>
      <c r="H65" s="489"/>
      <c r="I65" s="489"/>
      <c r="J65" s="490"/>
      <c r="K65" s="476" t="s">
        <v>134</v>
      </c>
      <c r="L65" s="476"/>
      <c r="M65" s="51" t="s">
        <v>195</v>
      </c>
      <c r="N65" s="485" t="s">
        <v>151</v>
      </c>
      <c r="O65" s="485"/>
      <c r="P65" s="486">
        <v>50</v>
      </c>
      <c r="Q65" s="486"/>
      <c r="R65" s="487" t="s">
        <v>484</v>
      </c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 t="s">
        <v>118</v>
      </c>
      <c r="D66" s="369"/>
      <c r="E66" s="366" t="s">
        <v>132</v>
      </c>
      <c r="F66" s="488" t="s">
        <v>241</v>
      </c>
      <c r="G66" s="489"/>
      <c r="H66" s="489"/>
      <c r="I66" s="489"/>
      <c r="J66" s="490"/>
      <c r="K66" s="476" t="s">
        <v>134</v>
      </c>
      <c r="L66" s="476"/>
      <c r="M66" s="51" t="s">
        <v>195</v>
      </c>
      <c r="N66" s="485" t="s">
        <v>151</v>
      </c>
      <c r="O66" s="485"/>
      <c r="P66" s="486">
        <v>50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369"/>
      <c r="E67" s="366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369"/>
      <c r="E68" s="366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369"/>
      <c r="E69" s="366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369"/>
      <c r="E70" s="366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369"/>
      <c r="E71" s="366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369"/>
      <c r="E72" s="366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369"/>
      <c r="E73" s="366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485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368" t="s">
        <v>2</v>
      </c>
      <c r="D75" s="368" t="s">
        <v>37</v>
      </c>
      <c r="E75" s="368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370" t="s">
        <v>112</v>
      </c>
      <c r="D76" s="370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369"/>
      <c r="D77" s="369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369"/>
      <c r="D78" s="369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369"/>
      <c r="D79" s="369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369"/>
      <c r="D80" s="369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369"/>
      <c r="D81" s="369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369"/>
      <c r="D82" s="369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486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>
        <v>8</v>
      </c>
      <c r="D85" s="452"/>
      <c r="E85" s="452" t="s">
        <v>440</v>
      </c>
      <c r="F85" s="452"/>
      <c r="G85" s="452"/>
      <c r="H85" s="452"/>
      <c r="I85" s="452"/>
      <c r="J85" s="452"/>
      <c r="K85" s="452" t="s">
        <v>441</v>
      </c>
      <c r="L85" s="452"/>
      <c r="M85" s="452"/>
      <c r="N85" s="452"/>
      <c r="O85" s="452"/>
      <c r="P85" s="452"/>
      <c r="Q85" s="452"/>
      <c r="R85" s="452"/>
      <c r="S85" s="452"/>
      <c r="T85" s="452" t="s">
        <v>442</v>
      </c>
      <c r="U85" s="452"/>
      <c r="V85" s="453"/>
      <c r="W85" s="453"/>
      <c r="X85" s="453"/>
      <c r="Y85" s="454" t="s">
        <v>443</v>
      </c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F216-00E5-47FA-A5CA-9667C049D11F}">
  <dimension ref="A1:AF88"/>
  <sheetViews>
    <sheetView view="pageBreakPreview" topLeftCell="A64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487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383" t="s">
        <v>17</v>
      </c>
      <c r="L5" s="383" t="s">
        <v>18</v>
      </c>
      <c r="M5" s="383" t="s">
        <v>19</v>
      </c>
      <c r="N5" s="38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/>
      <c r="E6" s="53" t="s">
        <v>414</v>
      </c>
      <c r="F6" s="12" t="s">
        <v>156</v>
      </c>
      <c r="G6" s="12">
        <v>2</v>
      </c>
      <c r="H6" s="13">
        <v>24</v>
      </c>
      <c r="I6" s="31">
        <v>23500</v>
      </c>
      <c r="J6" s="14">
        <v>5160</v>
      </c>
      <c r="K6" s="15">
        <f>L6+9388+9240+10442+5160</f>
        <v>34230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0.40686274509803916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2421</v>
      </c>
      <c r="K7" s="15">
        <f>L7+3683+2801+972+5614+6047+6028+2698+3397+3300+6010+4686+5374+5266+2421</f>
        <v>58297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0.40686274509803916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118</v>
      </c>
      <c r="D8" s="52" t="s">
        <v>115</v>
      </c>
      <c r="E8" s="53" t="s">
        <v>482</v>
      </c>
      <c r="F8" s="30" t="s">
        <v>128</v>
      </c>
      <c r="G8" s="33">
        <v>1</v>
      </c>
      <c r="H8" s="35">
        <v>24</v>
      </c>
      <c r="I8" s="7">
        <v>13000</v>
      </c>
      <c r="J8" s="14">
        <v>2807</v>
      </c>
      <c r="K8" s="15">
        <f>L8</f>
        <v>2807</v>
      </c>
      <c r="L8" s="15">
        <f>2513+294</f>
        <v>2807</v>
      </c>
      <c r="M8" s="15">
        <f t="shared" si="0"/>
        <v>2807</v>
      </c>
      <c r="N8" s="15">
        <v>0</v>
      </c>
      <c r="O8" s="58">
        <f t="shared" si="1"/>
        <v>0</v>
      </c>
      <c r="P8" s="39">
        <f t="shared" si="2"/>
        <v>15</v>
      </c>
      <c r="Q8" s="40">
        <f t="shared" si="3"/>
        <v>9</v>
      </c>
      <c r="R8" s="7"/>
      <c r="S8" s="6">
        <v>9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0.625</v>
      </c>
      <c r="AD8" s="10">
        <f t="shared" si="6"/>
        <v>0.625</v>
      </c>
      <c r="AE8" s="36">
        <f t="shared" si="7"/>
        <v>0.40686274509803916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463</v>
      </c>
      <c r="E9" s="53" t="s">
        <v>464</v>
      </c>
      <c r="F9" s="30" t="s">
        <v>477</v>
      </c>
      <c r="G9" s="33">
        <v>10</v>
      </c>
      <c r="H9" s="35">
        <v>24</v>
      </c>
      <c r="I9" s="7">
        <f>150000+250000</f>
        <v>400000</v>
      </c>
      <c r="J9" s="5">
        <v>54460</v>
      </c>
      <c r="K9" s="15">
        <f>L9+52210</f>
        <v>106670</v>
      </c>
      <c r="L9" s="15">
        <f>2531*10+2915*10</f>
        <v>54460</v>
      </c>
      <c r="M9" s="15">
        <f t="shared" si="0"/>
        <v>54460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>AC9*AB9*(1-O9)</f>
        <v>1</v>
      </c>
      <c r="AE9" s="36">
        <f t="shared" si="7"/>
        <v>0.40686274509803916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129</v>
      </c>
      <c r="E10" s="53" t="s">
        <v>465</v>
      </c>
      <c r="F10" s="30" t="s">
        <v>122</v>
      </c>
      <c r="G10" s="33">
        <v>2</v>
      </c>
      <c r="H10" s="35">
        <v>24</v>
      </c>
      <c r="I10" s="7">
        <v>10000</v>
      </c>
      <c r="J10" s="14">
        <v>5246</v>
      </c>
      <c r="K10" s="15">
        <f>L10+6674</f>
        <v>11920</v>
      </c>
      <c r="L10" s="15">
        <f>2623*2</f>
        <v>5246</v>
      </c>
      <c r="M10" s="15">
        <f t="shared" si="0"/>
        <v>5246</v>
      </c>
      <c r="N10" s="15">
        <v>0</v>
      </c>
      <c r="O10" s="58">
        <f t="shared" si="1"/>
        <v>0</v>
      </c>
      <c r="P10" s="39">
        <f t="shared" si="2"/>
        <v>9</v>
      </c>
      <c r="Q10" s="40">
        <f t="shared" si="3"/>
        <v>15</v>
      </c>
      <c r="R10" s="7"/>
      <c r="S10" s="6"/>
      <c r="T10" s="16"/>
      <c r="U10" s="16"/>
      <c r="V10" s="17"/>
      <c r="W10" s="5">
        <v>15</v>
      </c>
      <c r="X10" s="16"/>
      <c r="Y10" s="16"/>
      <c r="Z10" s="16"/>
      <c r="AA10" s="18"/>
      <c r="AB10" s="8">
        <f t="shared" si="4"/>
        <v>1</v>
      </c>
      <c r="AC10" s="9">
        <f t="shared" si="5"/>
        <v>0.375</v>
      </c>
      <c r="AD10" s="10">
        <f t="shared" ref="AD10:AD15" si="9">AC10*AB10*(1-O10)</f>
        <v>0.375</v>
      </c>
      <c r="AE10" s="36">
        <f t="shared" si="7"/>
        <v>0.40686274509803916</v>
      </c>
      <c r="AF10" s="84">
        <f t="shared" si="8"/>
        <v>5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129</v>
      </c>
      <c r="E11" s="53" t="s">
        <v>169</v>
      </c>
      <c r="F11" s="30" t="s">
        <v>158</v>
      </c>
      <c r="G11" s="33">
        <v>1</v>
      </c>
      <c r="H11" s="35">
        <v>24</v>
      </c>
      <c r="I11" s="7">
        <v>40000</v>
      </c>
      <c r="J11" s="14">
        <v>3094</v>
      </c>
      <c r="K11" s="15">
        <f>L11</f>
        <v>3094</v>
      </c>
      <c r="L11" s="15">
        <f>3094</f>
        <v>3094</v>
      </c>
      <c r="M11" s="15">
        <f t="shared" ref="M11" si="10">L11-N11</f>
        <v>3094</v>
      </c>
      <c r="N11" s="15">
        <v>0</v>
      </c>
      <c r="O11" s="58">
        <f t="shared" ref="O11" si="11">IF(L11=0,"0",N11/L11)</f>
        <v>0</v>
      </c>
      <c r="P11" s="39">
        <f t="shared" ref="P11" si="12">IF(L11=0,"0",(24-Q11))</f>
        <v>13</v>
      </c>
      <c r="Q11" s="40">
        <f t="shared" ref="Q11" si="13">SUM(R11:AA11)</f>
        <v>11</v>
      </c>
      <c r="R11" s="7"/>
      <c r="S11" s="6"/>
      <c r="T11" s="16">
        <v>11</v>
      </c>
      <c r="U11" s="16"/>
      <c r="V11" s="17"/>
      <c r="W11" s="5"/>
      <c r="X11" s="16"/>
      <c r="Y11" s="16"/>
      <c r="Z11" s="16"/>
      <c r="AA11" s="18"/>
      <c r="AB11" s="8">
        <f t="shared" ref="AB11" si="14">IF(J11=0,"0",(L11/J11))</f>
        <v>1</v>
      </c>
      <c r="AC11" s="9">
        <f t="shared" ref="AC11" si="15">IF(P11=0,"0",(P11/24))</f>
        <v>0.54166666666666663</v>
      </c>
      <c r="AD11" s="10">
        <f t="shared" ref="AD11" si="16">AC11*AB11*(1-O11)</f>
        <v>0.54166666666666663</v>
      </c>
      <c r="AE11" s="36">
        <f t="shared" si="7"/>
        <v>0.40686274509803916</v>
      </c>
      <c r="AF11" s="84">
        <f t="shared" ref="AF11" si="17">A11</f>
        <v>5</v>
      </c>
    </row>
    <row r="12" spans="1:32" ht="27" customHeight="1">
      <c r="A12" s="96">
        <v>6</v>
      </c>
      <c r="B12" s="11" t="s">
        <v>57</v>
      </c>
      <c r="C12" s="11" t="s">
        <v>336</v>
      </c>
      <c r="D12" s="52" t="s">
        <v>337</v>
      </c>
      <c r="E12" s="53" t="s">
        <v>338</v>
      </c>
      <c r="F12" s="30" t="s">
        <v>478</v>
      </c>
      <c r="G12" s="33">
        <v>3</v>
      </c>
      <c r="H12" s="35">
        <v>24</v>
      </c>
      <c r="I12" s="7">
        <v>6000</v>
      </c>
      <c r="J12" s="14">
        <v>14103</v>
      </c>
      <c r="K12" s="15">
        <f>L12+14673</f>
        <v>28776</v>
      </c>
      <c r="L12" s="15">
        <f>2922*2+2753*3</f>
        <v>14103</v>
      </c>
      <c r="M12" s="15">
        <f t="shared" si="0"/>
        <v>14103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0.40686274509803916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452</v>
      </c>
      <c r="F13" s="30" t="s">
        <v>200</v>
      </c>
      <c r="G13" s="12">
        <v>1</v>
      </c>
      <c r="H13" s="13">
        <v>20</v>
      </c>
      <c r="I13" s="31">
        <v>4000</v>
      </c>
      <c r="J13" s="5">
        <v>4017</v>
      </c>
      <c r="K13" s="15">
        <f>L13+2779+4017</f>
        <v>6796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 t="shared" si="9"/>
        <v>0</v>
      </c>
      <c r="AE13" s="36">
        <f t="shared" si="7"/>
        <v>0.40686274509803916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288</v>
      </c>
      <c r="F14" s="30" t="s">
        <v>299</v>
      </c>
      <c r="G14" s="12">
        <v>1</v>
      </c>
      <c r="H14" s="13">
        <v>28</v>
      </c>
      <c r="I14" s="31">
        <v>26000</v>
      </c>
      <c r="J14" s="5">
        <v>4706</v>
      </c>
      <c r="K14" s="15">
        <f>L14+3081+4425+5156+4934+4706</f>
        <v>22302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>AC14*AB14*(1-O14)</f>
        <v>0</v>
      </c>
      <c r="AE14" s="36">
        <f t="shared" si="7"/>
        <v>0.40686274509803916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468</v>
      </c>
      <c r="F15" s="30" t="s">
        <v>128</v>
      </c>
      <c r="G15" s="33">
        <v>1</v>
      </c>
      <c r="H15" s="35">
        <v>60</v>
      </c>
      <c r="I15" s="7">
        <v>300</v>
      </c>
      <c r="J15" s="5">
        <v>120</v>
      </c>
      <c r="K15" s="15">
        <f>L15</f>
        <v>120</v>
      </c>
      <c r="L15" s="15">
        <v>120</v>
      </c>
      <c r="M15" s="15">
        <f t="shared" si="0"/>
        <v>120</v>
      </c>
      <c r="N15" s="15">
        <v>0</v>
      </c>
      <c r="O15" s="58">
        <f t="shared" si="1"/>
        <v>0</v>
      </c>
      <c r="P15" s="39">
        <f t="shared" si="2"/>
        <v>4</v>
      </c>
      <c r="Q15" s="40">
        <f t="shared" si="3"/>
        <v>20</v>
      </c>
      <c r="R15" s="7"/>
      <c r="S15" s="6">
        <v>20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0.16666666666666666</v>
      </c>
      <c r="AD15" s="10">
        <f t="shared" si="9"/>
        <v>0.16666666666666666</v>
      </c>
      <c r="AE15" s="36">
        <f t="shared" si="7"/>
        <v>0.40686274509803916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121</v>
      </c>
      <c r="D16" s="52" t="s">
        <v>127</v>
      </c>
      <c r="E16" s="53" t="s">
        <v>154</v>
      </c>
      <c r="F16" s="12" t="s">
        <v>156</v>
      </c>
      <c r="G16" s="12">
        <v>1</v>
      </c>
      <c r="H16" s="13">
        <v>24</v>
      </c>
      <c r="I16" s="31">
        <f>11500+7500</f>
        <v>19000</v>
      </c>
      <c r="J16" s="14">
        <v>2596</v>
      </c>
      <c r="K16" s="15">
        <f>L16+2898+5234+1444+2583+5198+5277</f>
        <v>25230</v>
      </c>
      <c r="L16" s="15">
        <v>2596</v>
      </c>
      <c r="M16" s="15">
        <f t="shared" si="0"/>
        <v>2596</v>
      </c>
      <c r="N16" s="15">
        <v>0</v>
      </c>
      <c r="O16" s="58">
        <f t="shared" si="1"/>
        <v>0</v>
      </c>
      <c r="P16" s="39">
        <f t="shared" si="2"/>
        <v>11</v>
      </c>
      <c r="Q16" s="40">
        <f t="shared" si="3"/>
        <v>13</v>
      </c>
      <c r="R16" s="7"/>
      <c r="S16" s="6">
        <v>13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0.45833333333333331</v>
      </c>
      <c r="AD16" s="10">
        <f t="shared" si="6"/>
        <v>0.45833333333333331</v>
      </c>
      <c r="AE16" s="36">
        <f t="shared" si="7"/>
        <v>0.40686274509803916</v>
      </c>
      <c r="AF16" s="84">
        <f t="shared" si="8"/>
        <v>10</v>
      </c>
    </row>
    <row r="17" spans="1:32" ht="30" customHeight="1">
      <c r="A17" s="113">
        <v>11</v>
      </c>
      <c r="B17" s="11" t="s">
        <v>57</v>
      </c>
      <c r="C17" s="34" t="s">
        <v>118</v>
      </c>
      <c r="D17" s="52" t="s">
        <v>144</v>
      </c>
      <c r="E17" s="53" t="s">
        <v>402</v>
      </c>
      <c r="F17" s="30" t="s">
        <v>409</v>
      </c>
      <c r="G17" s="12">
        <v>1</v>
      </c>
      <c r="H17" s="13">
        <v>24</v>
      </c>
      <c r="I17" s="7">
        <v>33000</v>
      </c>
      <c r="J17" s="14">
        <v>5931</v>
      </c>
      <c r="K17" s="15">
        <f>L17+3599+5250+5336+5402+5766</f>
        <v>31284</v>
      </c>
      <c r="L17" s="15">
        <f>3099+2832</f>
        <v>5931</v>
      </c>
      <c r="M17" s="15">
        <f t="shared" si="0"/>
        <v>5931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0.40686274509803916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118</v>
      </c>
      <c r="D18" s="52" t="s">
        <v>127</v>
      </c>
      <c r="E18" s="53" t="s">
        <v>434</v>
      </c>
      <c r="F18" s="30" t="s">
        <v>445</v>
      </c>
      <c r="G18" s="12">
        <v>1</v>
      </c>
      <c r="H18" s="13">
        <v>24</v>
      </c>
      <c r="I18" s="7">
        <v>1000</v>
      </c>
      <c r="J18" s="14">
        <v>1088</v>
      </c>
      <c r="K18" s="15">
        <f>L18+1088</f>
        <v>1088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0.40686274509803916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115</v>
      </c>
      <c r="E19" s="53" t="s">
        <v>416</v>
      </c>
      <c r="F19" s="30" t="s">
        <v>128</v>
      </c>
      <c r="G19" s="33">
        <v>1</v>
      </c>
      <c r="H19" s="35">
        <v>24</v>
      </c>
      <c r="I19" s="7">
        <v>30000</v>
      </c>
      <c r="J19" s="14">
        <v>4105</v>
      </c>
      <c r="K19" s="15">
        <f>L19+5205+5220+5357+5490</f>
        <v>25377</v>
      </c>
      <c r="L19" s="15">
        <f>3121+984</f>
        <v>4105</v>
      </c>
      <c r="M19" s="15">
        <f t="shared" si="0"/>
        <v>4105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6">
        <f t="shared" si="7"/>
        <v>0.40686274509803916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217</v>
      </c>
      <c r="E20" s="53" t="s">
        <v>218</v>
      </c>
      <c r="F20" s="30" t="s">
        <v>424</v>
      </c>
      <c r="G20" s="33">
        <v>1</v>
      </c>
      <c r="H20" s="35">
        <v>24</v>
      </c>
      <c r="I20" s="7">
        <v>10000</v>
      </c>
      <c r="J20" s="14">
        <v>2633</v>
      </c>
      <c r="K20" s="15">
        <f>L20+3855+4992+2633</f>
        <v>11480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0.40686274509803916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34" t="s">
        <v>121</v>
      </c>
      <c r="D21" s="52"/>
      <c r="E21" s="53" t="s">
        <v>451</v>
      </c>
      <c r="F21" s="30" t="s">
        <v>394</v>
      </c>
      <c r="G21" s="12">
        <v>2</v>
      </c>
      <c r="H21" s="13">
        <v>28</v>
      </c>
      <c r="I21" s="31">
        <v>23500</v>
      </c>
      <c r="J21" s="5">
        <v>9650</v>
      </c>
      <c r="K21" s="15">
        <f>L21+7246+10934</f>
        <v>27830</v>
      </c>
      <c r="L21" s="15">
        <f>1930*2+2895*2</f>
        <v>9650</v>
      </c>
      <c r="M21" s="15">
        <f t="shared" si="0"/>
        <v>9650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>AC21*AB21*(1-O21)</f>
        <v>1</v>
      </c>
      <c r="AE21" s="36">
        <f t="shared" si="7"/>
        <v>0.40686274509803916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300000</v>
      </c>
      <c r="J22" s="14">
        <v>4004</v>
      </c>
      <c r="K22" s="15">
        <f>30816+34860+35212+34672+33032+29240+28664+35888+4004</f>
        <v>266388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0.40686274509803916</v>
      </c>
      <c r="AF22" s="84">
        <f t="shared" si="8"/>
        <v>16</v>
      </c>
    </row>
    <row r="23" spans="1:32" ht="31.5" customHeight="1" thickBot="1">
      <c r="A23" s="519" t="s">
        <v>34</v>
      </c>
      <c r="B23" s="520"/>
      <c r="C23" s="520"/>
      <c r="D23" s="520"/>
      <c r="E23" s="520"/>
      <c r="F23" s="520"/>
      <c r="G23" s="520"/>
      <c r="H23" s="521"/>
      <c r="I23" s="22">
        <f t="shared" ref="I23:N23" si="18">SUM(I6:I22)</f>
        <v>989300</v>
      </c>
      <c r="J23" s="19">
        <f t="shared" si="18"/>
        <v>126141</v>
      </c>
      <c r="K23" s="20">
        <f t="shared" si="18"/>
        <v>663689</v>
      </c>
      <c r="L23" s="21">
        <f t="shared" si="18"/>
        <v>102112</v>
      </c>
      <c r="M23" s="20">
        <f t="shared" si="18"/>
        <v>102112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166</v>
      </c>
      <c r="Q23" s="43">
        <f t="shared" si="19"/>
        <v>242</v>
      </c>
      <c r="R23" s="23">
        <f t="shared" si="19"/>
        <v>24</v>
      </c>
      <c r="S23" s="24">
        <f t="shared" si="19"/>
        <v>48</v>
      </c>
      <c r="T23" s="24">
        <f t="shared" si="19"/>
        <v>11</v>
      </c>
      <c r="U23" s="24">
        <f t="shared" si="19"/>
        <v>0</v>
      </c>
      <c r="V23" s="25">
        <f t="shared" si="19"/>
        <v>24</v>
      </c>
      <c r="W23" s="26">
        <f t="shared" si="19"/>
        <v>63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72</v>
      </c>
      <c r="AB23" s="28">
        <f>AVERAGE(AB6:AB22)</f>
        <v>0.58823529411764708</v>
      </c>
      <c r="AC23" s="4">
        <f>AVERAGE(AC6:AC22)</f>
        <v>0.40686274509803916</v>
      </c>
      <c r="AD23" s="4">
        <f>AVERAGE(AD6:AD22)</f>
        <v>0.40686274509803916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22" t="s">
        <v>45</v>
      </c>
      <c r="B50" s="522"/>
      <c r="C50" s="522"/>
      <c r="D50" s="522"/>
      <c r="E50" s="52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23" t="s">
        <v>488</v>
      </c>
      <c r="B51" s="524"/>
      <c r="C51" s="524"/>
      <c r="D51" s="524"/>
      <c r="E51" s="524"/>
      <c r="F51" s="524"/>
      <c r="G51" s="524"/>
      <c r="H51" s="524"/>
      <c r="I51" s="524"/>
      <c r="J51" s="524"/>
      <c r="K51" s="524"/>
      <c r="L51" s="524"/>
      <c r="M51" s="525"/>
      <c r="N51" s="526" t="s">
        <v>492</v>
      </c>
      <c r="O51" s="527"/>
      <c r="P51" s="527"/>
      <c r="Q51" s="527"/>
      <c r="R51" s="527"/>
      <c r="S51" s="527"/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8"/>
    </row>
    <row r="52" spans="1:32" ht="27" customHeight="1">
      <c r="A52" s="529" t="s">
        <v>2</v>
      </c>
      <c r="B52" s="530"/>
      <c r="C52" s="382" t="s">
        <v>46</v>
      </c>
      <c r="D52" s="382" t="s">
        <v>47</v>
      </c>
      <c r="E52" s="382" t="s">
        <v>107</v>
      </c>
      <c r="F52" s="531" t="s">
        <v>106</v>
      </c>
      <c r="G52" s="532"/>
      <c r="H52" s="532"/>
      <c r="I52" s="532"/>
      <c r="J52" s="532"/>
      <c r="K52" s="532"/>
      <c r="L52" s="532"/>
      <c r="M52" s="533"/>
      <c r="N52" s="67" t="s">
        <v>110</v>
      </c>
      <c r="O52" s="382" t="s">
        <v>46</v>
      </c>
      <c r="P52" s="531" t="s">
        <v>47</v>
      </c>
      <c r="Q52" s="534"/>
      <c r="R52" s="531" t="s">
        <v>38</v>
      </c>
      <c r="S52" s="532"/>
      <c r="T52" s="532"/>
      <c r="U52" s="534"/>
      <c r="V52" s="531" t="s">
        <v>48</v>
      </c>
      <c r="W52" s="532"/>
      <c r="X52" s="532"/>
      <c r="Y52" s="532"/>
      <c r="Z52" s="532"/>
      <c r="AA52" s="532"/>
      <c r="AB52" s="532"/>
      <c r="AC52" s="532"/>
      <c r="AD52" s="533"/>
    </row>
    <row r="53" spans="1:32" ht="27" customHeight="1">
      <c r="A53" s="512" t="s">
        <v>118</v>
      </c>
      <c r="B53" s="513"/>
      <c r="C53" s="381" t="s">
        <v>411</v>
      </c>
      <c r="D53" s="381" t="s">
        <v>115</v>
      </c>
      <c r="E53" s="378" t="s">
        <v>482</v>
      </c>
      <c r="F53" s="500" t="s">
        <v>489</v>
      </c>
      <c r="G53" s="501"/>
      <c r="H53" s="501"/>
      <c r="I53" s="501"/>
      <c r="J53" s="501"/>
      <c r="K53" s="501"/>
      <c r="L53" s="501"/>
      <c r="M53" s="502"/>
      <c r="N53" s="377" t="s">
        <v>118</v>
      </c>
      <c r="O53" s="375" t="s">
        <v>411</v>
      </c>
      <c r="P53" s="514" t="s">
        <v>115</v>
      </c>
      <c r="Q53" s="515"/>
      <c r="R53" s="514" t="s">
        <v>482</v>
      </c>
      <c r="S53" s="516"/>
      <c r="T53" s="516"/>
      <c r="U53" s="515"/>
      <c r="V53" s="487" t="s">
        <v>130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118</v>
      </c>
      <c r="B54" s="513"/>
      <c r="C54" s="381" t="s">
        <v>306</v>
      </c>
      <c r="D54" s="381" t="s">
        <v>129</v>
      </c>
      <c r="E54" s="378" t="s">
        <v>169</v>
      </c>
      <c r="F54" s="500" t="s">
        <v>141</v>
      </c>
      <c r="G54" s="501"/>
      <c r="H54" s="501"/>
      <c r="I54" s="501"/>
      <c r="J54" s="501"/>
      <c r="K54" s="501"/>
      <c r="L54" s="501"/>
      <c r="M54" s="502"/>
      <c r="N54" s="377" t="s">
        <v>112</v>
      </c>
      <c r="O54" s="375" t="s">
        <v>242</v>
      </c>
      <c r="P54" s="514" t="s">
        <v>115</v>
      </c>
      <c r="Q54" s="515"/>
      <c r="R54" s="514" t="s">
        <v>468</v>
      </c>
      <c r="S54" s="516"/>
      <c r="T54" s="516"/>
      <c r="U54" s="515"/>
      <c r="V54" s="487" t="s">
        <v>130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112</v>
      </c>
      <c r="B55" s="513"/>
      <c r="C55" s="381" t="s">
        <v>242</v>
      </c>
      <c r="D55" s="381" t="s">
        <v>115</v>
      </c>
      <c r="E55" s="378" t="s">
        <v>468</v>
      </c>
      <c r="F55" s="500" t="s">
        <v>490</v>
      </c>
      <c r="G55" s="501"/>
      <c r="H55" s="501"/>
      <c r="I55" s="501"/>
      <c r="J55" s="501"/>
      <c r="K55" s="501"/>
      <c r="L55" s="501"/>
      <c r="M55" s="502"/>
      <c r="N55" s="377" t="s">
        <v>118</v>
      </c>
      <c r="O55" s="375" t="s">
        <v>403</v>
      </c>
      <c r="P55" s="514" t="s">
        <v>144</v>
      </c>
      <c r="Q55" s="515"/>
      <c r="R55" s="514" t="s">
        <v>402</v>
      </c>
      <c r="S55" s="516"/>
      <c r="T55" s="516"/>
      <c r="U55" s="515"/>
      <c r="V55" s="487" t="s">
        <v>256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118</v>
      </c>
      <c r="B56" s="513"/>
      <c r="C56" s="381" t="s">
        <v>142</v>
      </c>
      <c r="D56" s="381" t="s">
        <v>115</v>
      </c>
      <c r="E56" s="378" t="s">
        <v>416</v>
      </c>
      <c r="F56" s="500" t="s">
        <v>256</v>
      </c>
      <c r="G56" s="501"/>
      <c r="H56" s="501"/>
      <c r="I56" s="501"/>
      <c r="J56" s="501"/>
      <c r="K56" s="501"/>
      <c r="L56" s="501"/>
      <c r="M56" s="502"/>
      <c r="N56" s="377" t="s">
        <v>121</v>
      </c>
      <c r="O56" s="375" t="s">
        <v>180</v>
      </c>
      <c r="P56" s="514"/>
      <c r="Q56" s="515"/>
      <c r="R56" s="514" t="s">
        <v>381</v>
      </c>
      <c r="S56" s="516"/>
      <c r="T56" s="516"/>
      <c r="U56" s="515"/>
      <c r="V56" s="487" t="s">
        <v>141</v>
      </c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121</v>
      </c>
      <c r="B57" s="513"/>
      <c r="C57" s="381" t="s">
        <v>180</v>
      </c>
      <c r="D57" s="381" t="s">
        <v>115</v>
      </c>
      <c r="E57" s="378" t="s">
        <v>451</v>
      </c>
      <c r="F57" s="500" t="s">
        <v>491</v>
      </c>
      <c r="G57" s="501"/>
      <c r="H57" s="501"/>
      <c r="I57" s="501"/>
      <c r="J57" s="501"/>
      <c r="K57" s="501"/>
      <c r="L57" s="501"/>
      <c r="M57" s="502"/>
      <c r="N57" s="377" t="s">
        <v>118</v>
      </c>
      <c r="O57" s="375" t="s">
        <v>151</v>
      </c>
      <c r="P57" s="514" t="s">
        <v>494</v>
      </c>
      <c r="Q57" s="515"/>
      <c r="R57" s="514" t="s">
        <v>493</v>
      </c>
      <c r="S57" s="516"/>
      <c r="T57" s="516"/>
      <c r="U57" s="515"/>
      <c r="V57" s="487" t="s">
        <v>141</v>
      </c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498"/>
      <c r="B58" s="499"/>
      <c r="C58" s="378"/>
      <c r="D58" s="378"/>
      <c r="E58" s="378"/>
      <c r="F58" s="500"/>
      <c r="G58" s="501"/>
      <c r="H58" s="501"/>
      <c r="I58" s="501"/>
      <c r="J58" s="501"/>
      <c r="K58" s="501"/>
      <c r="L58" s="501"/>
      <c r="M58" s="502"/>
      <c r="N58" s="377"/>
      <c r="O58" s="375"/>
      <c r="P58" s="514"/>
      <c r="Q58" s="515"/>
      <c r="R58" s="514"/>
      <c r="S58" s="516"/>
      <c r="T58" s="516"/>
      <c r="U58" s="515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381"/>
      <c r="D59" s="381"/>
      <c r="E59" s="378"/>
      <c r="F59" s="500"/>
      <c r="G59" s="501"/>
      <c r="H59" s="501"/>
      <c r="I59" s="501"/>
      <c r="J59" s="501"/>
      <c r="K59" s="501"/>
      <c r="L59" s="501"/>
      <c r="M59" s="502"/>
      <c r="N59" s="377"/>
      <c r="O59" s="375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512"/>
      <c r="B60" s="513"/>
      <c r="C60" s="381"/>
      <c r="D60" s="381"/>
      <c r="E60" s="378"/>
      <c r="F60" s="500"/>
      <c r="G60" s="501"/>
      <c r="H60" s="501"/>
      <c r="I60" s="501"/>
      <c r="J60" s="501"/>
      <c r="K60" s="501"/>
      <c r="L60" s="501"/>
      <c r="M60" s="502"/>
      <c r="N60" s="377"/>
      <c r="O60" s="375"/>
      <c r="P60" s="514"/>
      <c r="Q60" s="515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</row>
    <row r="61" spans="1:32" ht="27" customHeight="1">
      <c r="A61" s="498"/>
      <c r="B61" s="499"/>
      <c r="C61" s="378"/>
      <c r="D61" s="378"/>
      <c r="E61" s="378"/>
      <c r="F61" s="500"/>
      <c r="G61" s="501"/>
      <c r="H61" s="501"/>
      <c r="I61" s="501"/>
      <c r="J61" s="501"/>
      <c r="K61" s="501"/>
      <c r="L61" s="501"/>
      <c r="M61" s="502"/>
      <c r="N61" s="377"/>
      <c r="O61" s="375"/>
      <c r="P61" s="499"/>
      <c r="Q61" s="499"/>
      <c r="R61" s="499"/>
      <c r="S61" s="499"/>
      <c r="T61" s="499"/>
      <c r="U61" s="499"/>
      <c r="V61" s="487"/>
      <c r="W61" s="487"/>
      <c r="X61" s="487"/>
      <c r="Y61" s="487"/>
      <c r="Z61" s="487"/>
      <c r="AA61" s="487"/>
      <c r="AB61" s="487"/>
      <c r="AC61" s="487"/>
      <c r="AD61" s="503"/>
      <c r="AF61" s="84">
        <f>8*3000</f>
        <v>24000</v>
      </c>
    </row>
    <row r="62" spans="1:32" ht="27" customHeight="1" thickBot="1">
      <c r="A62" s="504"/>
      <c r="B62" s="505"/>
      <c r="C62" s="379"/>
      <c r="D62" s="380"/>
      <c r="E62" s="380"/>
      <c r="F62" s="506"/>
      <c r="G62" s="507"/>
      <c r="H62" s="507"/>
      <c r="I62" s="507"/>
      <c r="J62" s="507"/>
      <c r="K62" s="507"/>
      <c r="L62" s="507"/>
      <c r="M62" s="508"/>
      <c r="N62" s="112"/>
      <c r="O62" s="103"/>
      <c r="P62" s="509"/>
      <c r="Q62" s="509"/>
      <c r="R62" s="509"/>
      <c r="S62" s="509"/>
      <c r="T62" s="509"/>
      <c r="U62" s="509"/>
      <c r="V62" s="510"/>
      <c r="W62" s="510"/>
      <c r="X62" s="510"/>
      <c r="Y62" s="510"/>
      <c r="Z62" s="510"/>
      <c r="AA62" s="510"/>
      <c r="AB62" s="510"/>
      <c r="AC62" s="510"/>
      <c r="AD62" s="511"/>
      <c r="AF62" s="84">
        <f>16*3000</f>
        <v>48000</v>
      </c>
    </row>
    <row r="63" spans="1:32" ht="27.75" thickBot="1">
      <c r="A63" s="496" t="s">
        <v>495</v>
      </c>
      <c r="B63" s="496"/>
      <c r="C63" s="496"/>
      <c r="D63" s="496"/>
      <c r="E63" s="496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7" t="s">
        <v>111</v>
      </c>
      <c r="B64" s="494"/>
      <c r="C64" s="376" t="s">
        <v>2</v>
      </c>
      <c r="D64" s="376" t="s">
        <v>37</v>
      </c>
      <c r="E64" s="376" t="s">
        <v>3</v>
      </c>
      <c r="F64" s="494" t="s">
        <v>109</v>
      </c>
      <c r="G64" s="494"/>
      <c r="H64" s="494"/>
      <c r="I64" s="494"/>
      <c r="J64" s="494"/>
      <c r="K64" s="494" t="s">
        <v>39</v>
      </c>
      <c r="L64" s="494"/>
      <c r="M64" s="376" t="s">
        <v>40</v>
      </c>
      <c r="N64" s="494" t="s">
        <v>41</v>
      </c>
      <c r="O64" s="494"/>
      <c r="P64" s="491" t="s">
        <v>42</v>
      </c>
      <c r="Q64" s="493"/>
      <c r="R64" s="491" t="s">
        <v>43</v>
      </c>
      <c r="S64" s="492"/>
      <c r="T64" s="492"/>
      <c r="U64" s="492"/>
      <c r="V64" s="492"/>
      <c r="W64" s="492"/>
      <c r="X64" s="492"/>
      <c r="Y64" s="492"/>
      <c r="Z64" s="492"/>
      <c r="AA64" s="493"/>
      <c r="AB64" s="494" t="s">
        <v>44</v>
      </c>
      <c r="AC64" s="494"/>
      <c r="AD64" s="495"/>
      <c r="AF64" s="84">
        <f>SUM(AF61:AF63)</f>
        <v>96000</v>
      </c>
    </row>
    <row r="65" spans="1:32" ht="25.5" customHeight="1">
      <c r="A65" s="482">
        <v>1</v>
      </c>
      <c r="B65" s="483"/>
      <c r="C65" s="105" t="s">
        <v>118</v>
      </c>
      <c r="D65" s="371"/>
      <c r="E65" s="374" t="s">
        <v>144</v>
      </c>
      <c r="F65" s="488" t="s">
        <v>236</v>
      </c>
      <c r="G65" s="489"/>
      <c r="H65" s="489"/>
      <c r="I65" s="489"/>
      <c r="J65" s="490"/>
      <c r="K65" s="476" t="s">
        <v>134</v>
      </c>
      <c r="L65" s="476"/>
      <c r="M65" s="51" t="s">
        <v>195</v>
      </c>
      <c r="N65" s="485" t="s">
        <v>151</v>
      </c>
      <c r="O65" s="485"/>
      <c r="P65" s="486">
        <v>50</v>
      </c>
      <c r="Q65" s="486"/>
      <c r="R65" s="487" t="s">
        <v>484</v>
      </c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2</v>
      </c>
      <c r="B66" s="483"/>
      <c r="C66" s="105" t="s">
        <v>118</v>
      </c>
      <c r="D66" s="371"/>
      <c r="E66" s="374" t="s">
        <v>115</v>
      </c>
      <c r="F66" s="488" t="s">
        <v>274</v>
      </c>
      <c r="G66" s="489"/>
      <c r="H66" s="489"/>
      <c r="I66" s="489"/>
      <c r="J66" s="490"/>
      <c r="K66" s="476" t="s">
        <v>134</v>
      </c>
      <c r="L66" s="476"/>
      <c r="M66" s="51" t="s">
        <v>195</v>
      </c>
      <c r="N66" s="485" t="s">
        <v>151</v>
      </c>
      <c r="O66" s="485"/>
      <c r="P66" s="486">
        <v>50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3</v>
      </c>
      <c r="B67" s="483"/>
      <c r="C67" s="105" t="s">
        <v>119</v>
      </c>
      <c r="D67" s="371"/>
      <c r="E67" s="374" t="s">
        <v>281</v>
      </c>
      <c r="F67" s="488" t="s">
        <v>496</v>
      </c>
      <c r="G67" s="489"/>
      <c r="H67" s="489"/>
      <c r="I67" s="489"/>
      <c r="J67" s="490"/>
      <c r="K67" s="476" t="s">
        <v>122</v>
      </c>
      <c r="L67" s="476"/>
      <c r="M67" s="51" t="s">
        <v>246</v>
      </c>
      <c r="N67" s="485" t="s">
        <v>190</v>
      </c>
      <c r="O67" s="485"/>
      <c r="P67" s="486">
        <v>200</v>
      </c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4</v>
      </c>
      <c r="B68" s="483"/>
      <c r="C68" s="105" t="s">
        <v>119</v>
      </c>
      <c r="D68" s="371"/>
      <c r="E68" s="374" t="s">
        <v>144</v>
      </c>
      <c r="F68" s="488" t="s">
        <v>497</v>
      </c>
      <c r="G68" s="489"/>
      <c r="H68" s="489"/>
      <c r="I68" s="489"/>
      <c r="J68" s="490"/>
      <c r="K68" s="476" t="s">
        <v>145</v>
      </c>
      <c r="L68" s="476"/>
      <c r="M68" s="51" t="s">
        <v>246</v>
      </c>
      <c r="N68" s="485" t="s">
        <v>140</v>
      </c>
      <c r="O68" s="485"/>
      <c r="P68" s="486">
        <v>200</v>
      </c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5</v>
      </c>
      <c r="B69" s="483"/>
      <c r="C69" s="105" t="s">
        <v>118</v>
      </c>
      <c r="D69" s="371"/>
      <c r="E69" s="374" t="s">
        <v>499</v>
      </c>
      <c r="F69" s="488" t="s">
        <v>498</v>
      </c>
      <c r="G69" s="489"/>
      <c r="H69" s="489"/>
      <c r="I69" s="489"/>
      <c r="J69" s="490"/>
      <c r="K69" s="476" t="s">
        <v>145</v>
      </c>
      <c r="L69" s="476"/>
      <c r="M69" s="51" t="s">
        <v>248</v>
      </c>
      <c r="N69" s="485" t="s">
        <v>140</v>
      </c>
      <c r="O69" s="485"/>
      <c r="P69" s="486">
        <v>500</v>
      </c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6</v>
      </c>
      <c r="B70" s="483"/>
      <c r="C70" s="105"/>
      <c r="D70" s="371"/>
      <c r="E70" s="374"/>
      <c r="F70" s="488"/>
      <c r="G70" s="489"/>
      <c r="H70" s="489"/>
      <c r="I70" s="489"/>
      <c r="J70" s="490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7</v>
      </c>
      <c r="B71" s="483"/>
      <c r="C71" s="105"/>
      <c r="D71" s="371"/>
      <c r="E71" s="374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8</v>
      </c>
      <c r="B72" s="483"/>
      <c r="C72" s="105"/>
      <c r="D72" s="371"/>
      <c r="E72" s="374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9</v>
      </c>
      <c r="B73" s="483"/>
      <c r="C73" s="105"/>
      <c r="D73" s="371"/>
      <c r="E73" s="374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5.5" customHeight="1">
      <c r="A74" s="482">
        <v>10</v>
      </c>
      <c r="B74" s="483"/>
      <c r="C74" s="105"/>
      <c r="D74" s="371"/>
      <c r="E74" s="374"/>
      <c r="F74" s="484"/>
      <c r="G74" s="476"/>
      <c r="H74" s="476"/>
      <c r="I74" s="476"/>
      <c r="J74" s="476"/>
      <c r="K74" s="476"/>
      <c r="L74" s="476"/>
      <c r="M74" s="51"/>
      <c r="N74" s="485"/>
      <c r="O74" s="485"/>
      <c r="P74" s="486"/>
      <c r="Q74" s="486"/>
      <c r="R74" s="487"/>
      <c r="S74" s="487"/>
      <c r="T74" s="487"/>
      <c r="U74" s="487"/>
      <c r="V74" s="487"/>
      <c r="W74" s="487"/>
      <c r="X74" s="487"/>
      <c r="Y74" s="487"/>
      <c r="Z74" s="487"/>
      <c r="AA74" s="487"/>
      <c r="AB74" s="476"/>
      <c r="AC74" s="476"/>
      <c r="AD74" s="477"/>
      <c r="AF74" s="50"/>
    </row>
    <row r="75" spans="1:32" ht="26.25" customHeight="1" thickBot="1">
      <c r="A75" s="456" t="s">
        <v>500</v>
      </c>
      <c r="B75" s="456"/>
      <c r="C75" s="456"/>
      <c r="D75" s="456"/>
      <c r="E75" s="45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57" t="s">
        <v>149</v>
      </c>
      <c r="B76" s="458"/>
      <c r="C76" s="373" t="s">
        <v>2</v>
      </c>
      <c r="D76" s="373" t="s">
        <v>37</v>
      </c>
      <c r="E76" s="373" t="s">
        <v>135</v>
      </c>
      <c r="F76" s="458" t="s">
        <v>38</v>
      </c>
      <c r="G76" s="458"/>
      <c r="H76" s="458"/>
      <c r="I76" s="458"/>
      <c r="J76" s="458"/>
      <c r="K76" s="478" t="s">
        <v>58</v>
      </c>
      <c r="L76" s="479"/>
      <c r="M76" s="479"/>
      <c r="N76" s="479"/>
      <c r="O76" s="479"/>
      <c r="P76" s="479"/>
      <c r="Q76" s="479"/>
      <c r="R76" s="479"/>
      <c r="S76" s="480"/>
      <c r="T76" s="458" t="s">
        <v>49</v>
      </c>
      <c r="U76" s="458"/>
      <c r="V76" s="478" t="s">
        <v>50</v>
      </c>
      <c r="W76" s="480"/>
      <c r="X76" s="479" t="s">
        <v>51</v>
      </c>
      <c r="Y76" s="479"/>
      <c r="Z76" s="479"/>
      <c r="AA76" s="479"/>
      <c r="AB76" s="479"/>
      <c r="AC76" s="479"/>
      <c r="AD76" s="481"/>
      <c r="AF76" s="50"/>
    </row>
    <row r="77" spans="1:32" ht="33.75" customHeight="1">
      <c r="A77" s="450">
        <v>1</v>
      </c>
      <c r="B77" s="451"/>
      <c r="C77" s="372" t="s">
        <v>112</v>
      </c>
      <c r="D77" s="372"/>
      <c r="E77" s="65" t="s">
        <v>117</v>
      </c>
      <c r="F77" s="465" t="s">
        <v>116</v>
      </c>
      <c r="G77" s="466"/>
      <c r="H77" s="466"/>
      <c r="I77" s="466"/>
      <c r="J77" s="467"/>
      <c r="K77" s="468" t="s">
        <v>120</v>
      </c>
      <c r="L77" s="469"/>
      <c r="M77" s="469"/>
      <c r="N77" s="469"/>
      <c r="O77" s="469"/>
      <c r="P77" s="469"/>
      <c r="Q77" s="469"/>
      <c r="R77" s="469"/>
      <c r="S77" s="470"/>
      <c r="T77" s="471">
        <v>43675</v>
      </c>
      <c r="U77" s="472"/>
      <c r="V77" s="473"/>
      <c r="W77" s="473"/>
      <c r="X77" s="474"/>
      <c r="Y77" s="474"/>
      <c r="Z77" s="474"/>
      <c r="AA77" s="474"/>
      <c r="AB77" s="474"/>
      <c r="AC77" s="474"/>
      <c r="AD77" s="475"/>
      <c r="AF77" s="50"/>
    </row>
    <row r="78" spans="1:32" ht="30" customHeight="1">
      <c r="A78" s="443">
        <f>A77+1</f>
        <v>2</v>
      </c>
      <c r="B78" s="444"/>
      <c r="C78" s="371"/>
      <c r="D78" s="371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ref="A79:A83" si="20">A78+1</f>
        <v>3</v>
      </c>
      <c r="B79" s="444"/>
      <c r="C79" s="371"/>
      <c r="D79" s="371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20"/>
        <v>4</v>
      </c>
      <c r="B80" s="444"/>
      <c r="C80" s="371"/>
      <c r="D80" s="371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20"/>
        <v>5</v>
      </c>
      <c r="B81" s="444"/>
      <c r="C81" s="371"/>
      <c r="D81" s="371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20"/>
        <v>6</v>
      </c>
      <c r="B82" s="444"/>
      <c r="C82" s="371"/>
      <c r="D82" s="371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0" customHeight="1">
      <c r="A83" s="443">
        <f t="shared" si="20"/>
        <v>7</v>
      </c>
      <c r="B83" s="444"/>
      <c r="C83" s="371"/>
      <c r="D83" s="371"/>
      <c r="E83" s="32"/>
      <c r="F83" s="444"/>
      <c r="G83" s="444"/>
      <c r="H83" s="444"/>
      <c r="I83" s="444"/>
      <c r="J83" s="444"/>
      <c r="K83" s="459"/>
      <c r="L83" s="460"/>
      <c r="M83" s="460"/>
      <c r="N83" s="460"/>
      <c r="O83" s="460"/>
      <c r="P83" s="460"/>
      <c r="Q83" s="460"/>
      <c r="R83" s="460"/>
      <c r="S83" s="461"/>
      <c r="T83" s="462"/>
      <c r="U83" s="462"/>
      <c r="V83" s="462"/>
      <c r="W83" s="462"/>
      <c r="X83" s="463"/>
      <c r="Y83" s="463"/>
      <c r="Z83" s="463"/>
      <c r="AA83" s="463"/>
      <c r="AB83" s="463"/>
      <c r="AC83" s="463"/>
      <c r="AD83" s="464"/>
      <c r="AF83" s="50"/>
    </row>
    <row r="84" spans="1:32" ht="36" thickBot="1">
      <c r="A84" s="456" t="s">
        <v>501</v>
      </c>
      <c r="B84" s="456"/>
      <c r="C84" s="456"/>
      <c r="D84" s="456"/>
      <c r="E84" s="45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57" t="s">
        <v>111</v>
      </c>
      <c r="B85" s="458"/>
      <c r="C85" s="448" t="s">
        <v>52</v>
      </c>
      <c r="D85" s="448"/>
      <c r="E85" s="448" t="s">
        <v>53</v>
      </c>
      <c r="F85" s="448"/>
      <c r="G85" s="448"/>
      <c r="H85" s="448"/>
      <c r="I85" s="448"/>
      <c r="J85" s="448"/>
      <c r="K85" s="448" t="s">
        <v>54</v>
      </c>
      <c r="L85" s="448"/>
      <c r="M85" s="448"/>
      <c r="N85" s="448"/>
      <c r="O85" s="448"/>
      <c r="P85" s="448"/>
      <c r="Q85" s="448"/>
      <c r="R85" s="448"/>
      <c r="S85" s="448"/>
      <c r="T85" s="448" t="s">
        <v>55</v>
      </c>
      <c r="U85" s="448"/>
      <c r="V85" s="448" t="s">
        <v>56</v>
      </c>
      <c r="W85" s="448"/>
      <c r="X85" s="448"/>
      <c r="Y85" s="448" t="s">
        <v>51</v>
      </c>
      <c r="Z85" s="448"/>
      <c r="AA85" s="448"/>
      <c r="AB85" s="448"/>
      <c r="AC85" s="448"/>
      <c r="AD85" s="449"/>
      <c r="AF85" s="50"/>
    </row>
    <row r="86" spans="1:32" ht="30.75" customHeight="1">
      <c r="A86" s="450">
        <v>1</v>
      </c>
      <c r="B86" s="451"/>
      <c r="C86" s="452">
        <v>8</v>
      </c>
      <c r="D86" s="452"/>
      <c r="E86" s="452" t="s">
        <v>440</v>
      </c>
      <c r="F86" s="452"/>
      <c r="G86" s="452"/>
      <c r="H86" s="452"/>
      <c r="I86" s="452"/>
      <c r="J86" s="452"/>
      <c r="K86" s="452" t="s">
        <v>441</v>
      </c>
      <c r="L86" s="452"/>
      <c r="M86" s="452"/>
      <c r="N86" s="452"/>
      <c r="O86" s="452"/>
      <c r="P86" s="452"/>
      <c r="Q86" s="452"/>
      <c r="R86" s="452"/>
      <c r="S86" s="452"/>
      <c r="T86" s="452" t="s">
        <v>442</v>
      </c>
      <c r="U86" s="452"/>
      <c r="V86" s="453">
        <v>3300000</v>
      </c>
      <c r="W86" s="453"/>
      <c r="X86" s="453"/>
      <c r="Y86" s="454" t="s">
        <v>502</v>
      </c>
      <c r="Z86" s="454"/>
      <c r="AA86" s="454"/>
      <c r="AB86" s="454"/>
      <c r="AC86" s="454"/>
      <c r="AD86" s="455"/>
      <c r="AF86" s="50"/>
    </row>
    <row r="87" spans="1:32" ht="30.75" customHeight="1">
      <c r="A87" s="443">
        <v>2</v>
      </c>
      <c r="B87" s="444"/>
      <c r="C87" s="445"/>
      <c r="D87" s="445"/>
      <c r="E87" s="445"/>
      <c r="F87" s="445"/>
      <c r="G87" s="445"/>
      <c r="H87" s="445"/>
      <c r="I87" s="445"/>
      <c r="J87" s="445"/>
      <c r="K87" s="445"/>
      <c r="L87" s="445"/>
      <c r="M87" s="445"/>
      <c r="N87" s="445"/>
      <c r="O87" s="445"/>
      <c r="P87" s="445"/>
      <c r="Q87" s="445"/>
      <c r="R87" s="445"/>
      <c r="S87" s="445"/>
      <c r="T87" s="446"/>
      <c r="U87" s="446"/>
      <c r="V87" s="447"/>
      <c r="W87" s="447"/>
      <c r="X87" s="447"/>
      <c r="Y87" s="436"/>
      <c r="Z87" s="436"/>
      <c r="AA87" s="436"/>
      <c r="AB87" s="436"/>
      <c r="AC87" s="436"/>
      <c r="AD87" s="437"/>
      <c r="AF87" s="50"/>
    </row>
    <row r="88" spans="1:32" ht="30.75" customHeight="1" thickBot="1">
      <c r="A88" s="438">
        <v>3</v>
      </c>
      <c r="B88" s="439"/>
      <c r="C88" s="440"/>
      <c r="D88" s="440"/>
      <c r="E88" s="440"/>
      <c r="F88" s="440"/>
      <c r="G88" s="440"/>
      <c r="H88" s="440"/>
      <c r="I88" s="440"/>
      <c r="J88" s="440"/>
      <c r="K88" s="440"/>
      <c r="L88" s="440"/>
      <c r="M88" s="440"/>
      <c r="N88" s="440"/>
      <c r="O88" s="440"/>
      <c r="P88" s="440"/>
      <c r="Q88" s="440"/>
      <c r="R88" s="440"/>
      <c r="S88" s="440"/>
      <c r="T88" s="440"/>
      <c r="U88" s="440"/>
      <c r="V88" s="440"/>
      <c r="W88" s="440"/>
      <c r="X88" s="440"/>
      <c r="Y88" s="441"/>
      <c r="Z88" s="441"/>
      <c r="AA88" s="441"/>
      <c r="AB88" s="441"/>
      <c r="AC88" s="441"/>
      <c r="AD88" s="442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68BC-8014-4A3D-A933-A2658252226F}">
  <dimension ref="A1:AF88"/>
  <sheetViews>
    <sheetView view="pageBreakPreview" zoomScale="70" zoomScaleNormal="72" zoomScaleSheetLayoutView="70" workbookViewId="0">
      <selection activeCell="E15" sqref="E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505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384" t="s">
        <v>17</v>
      </c>
      <c r="L5" s="384" t="s">
        <v>18</v>
      </c>
      <c r="M5" s="384" t="s">
        <v>19</v>
      </c>
      <c r="N5" s="38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/>
      <c r="E6" s="53" t="s">
        <v>414</v>
      </c>
      <c r="F6" s="12" t="s">
        <v>156</v>
      </c>
      <c r="G6" s="12">
        <v>2</v>
      </c>
      <c r="H6" s="13">
        <v>24</v>
      </c>
      <c r="I6" s="31">
        <v>23500</v>
      </c>
      <c r="J6" s="14">
        <v>5160</v>
      </c>
      <c r="K6" s="15">
        <f>L6+9388+9240+10442+5160</f>
        <v>34230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0.43382352941176472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2421</v>
      </c>
      <c r="K7" s="15">
        <f>L7+3683+2801+972+5614+6047+6028+2698+3397+3300+6010+4686+5374+5266+2421</f>
        <v>58297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0.43382352941176472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118</v>
      </c>
      <c r="D8" s="52" t="s">
        <v>115</v>
      </c>
      <c r="E8" s="53" t="s">
        <v>482</v>
      </c>
      <c r="F8" s="30" t="s">
        <v>128</v>
      </c>
      <c r="G8" s="33">
        <v>1</v>
      </c>
      <c r="H8" s="35">
        <v>24</v>
      </c>
      <c r="I8" s="7">
        <v>13000</v>
      </c>
      <c r="J8" s="14">
        <v>1599</v>
      </c>
      <c r="K8" s="15">
        <f>L8+2807</f>
        <v>4406</v>
      </c>
      <c r="L8" s="15">
        <f>1599</f>
        <v>1599</v>
      </c>
      <c r="M8" s="15">
        <f t="shared" si="0"/>
        <v>1599</v>
      </c>
      <c r="N8" s="15">
        <v>0</v>
      </c>
      <c r="O8" s="58">
        <f t="shared" si="1"/>
        <v>0</v>
      </c>
      <c r="P8" s="39">
        <f t="shared" si="2"/>
        <v>8</v>
      </c>
      <c r="Q8" s="40">
        <f t="shared" si="3"/>
        <v>16</v>
      </c>
      <c r="R8" s="7"/>
      <c r="S8" s="6">
        <v>16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0.33333333333333331</v>
      </c>
      <c r="AD8" s="10">
        <f t="shared" si="6"/>
        <v>0.33333333333333331</v>
      </c>
      <c r="AE8" s="36">
        <f t="shared" si="7"/>
        <v>0.43382352941176472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463</v>
      </c>
      <c r="E9" s="53" t="s">
        <v>464</v>
      </c>
      <c r="F9" s="30" t="s">
        <v>477</v>
      </c>
      <c r="G9" s="33">
        <v>10</v>
      </c>
      <c r="H9" s="35">
        <v>24</v>
      </c>
      <c r="I9" s="7">
        <f>150000+250000</f>
        <v>400000</v>
      </c>
      <c r="J9" s="5">
        <v>33320</v>
      </c>
      <c r="K9" s="15">
        <f>L9+52210+54460</f>
        <v>139990</v>
      </c>
      <c r="L9" s="15">
        <f>3332*10</f>
        <v>33320</v>
      </c>
      <c r="M9" s="15">
        <f t="shared" si="0"/>
        <v>33320</v>
      </c>
      <c r="N9" s="15">
        <v>0</v>
      </c>
      <c r="O9" s="58">
        <f t="shared" si="1"/>
        <v>0</v>
      </c>
      <c r="P9" s="39">
        <f t="shared" si="2"/>
        <v>16</v>
      </c>
      <c r="Q9" s="40">
        <f t="shared" si="3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0.66666666666666663</v>
      </c>
      <c r="AD9" s="10">
        <f>AC9*AB9*(1-O9)</f>
        <v>0.66666666666666663</v>
      </c>
      <c r="AE9" s="36">
        <f t="shared" si="7"/>
        <v>0.43382352941176472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169</v>
      </c>
      <c r="F10" s="30" t="s">
        <v>158</v>
      </c>
      <c r="G10" s="33">
        <v>1</v>
      </c>
      <c r="H10" s="35">
        <v>24</v>
      </c>
      <c r="I10" s="7">
        <v>40000</v>
      </c>
      <c r="J10" s="14">
        <v>5826</v>
      </c>
      <c r="K10" s="15">
        <f>L10+3094</f>
        <v>8920</v>
      </c>
      <c r="L10" s="15">
        <f>3084+2742</f>
        <v>5826</v>
      </c>
      <c r="M10" s="15">
        <f t="shared" si="0"/>
        <v>5826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0.43382352941176472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336</v>
      </c>
      <c r="D11" s="52" t="s">
        <v>337</v>
      </c>
      <c r="E11" s="53" t="s">
        <v>338</v>
      </c>
      <c r="F11" s="30" t="s">
        <v>478</v>
      </c>
      <c r="G11" s="33">
        <v>3</v>
      </c>
      <c r="H11" s="35">
        <v>24</v>
      </c>
      <c r="I11" s="7">
        <v>6000</v>
      </c>
      <c r="J11" s="14">
        <v>10456</v>
      </c>
      <c r="K11" s="15">
        <f>L11+14673+14103</f>
        <v>39232</v>
      </c>
      <c r="L11" s="15">
        <f>2729*2+2499*2</f>
        <v>10456</v>
      </c>
      <c r="M11" s="15">
        <f t="shared" si="0"/>
        <v>10456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9"/>
        <v>1</v>
      </c>
      <c r="AE11" s="36">
        <f t="shared" si="7"/>
        <v>0.43382352941176472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452</v>
      </c>
      <c r="F12" s="30" t="s">
        <v>200</v>
      </c>
      <c r="G12" s="12">
        <v>1</v>
      </c>
      <c r="H12" s="13">
        <v>20</v>
      </c>
      <c r="I12" s="31">
        <v>4000</v>
      </c>
      <c r="J12" s="5">
        <v>4017</v>
      </c>
      <c r="K12" s="15">
        <f>L12+2779+4017</f>
        <v>6796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0.43382352941176472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506</v>
      </c>
      <c r="E13" s="53" t="s">
        <v>507</v>
      </c>
      <c r="F13" s="30" t="s">
        <v>508</v>
      </c>
      <c r="G13" s="12">
        <v>1</v>
      </c>
      <c r="H13" s="13">
        <v>28</v>
      </c>
      <c r="I13" s="31">
        <v>500</v>
      </c>
      <c r="J13" s="5">
        <v>650</v>
      </c>
      <c r="K13" s="15">
        <f>L13</f>
        <v>650</v>
      </c>
      <c r="L13" s="15">
        <v>650</v>
      </c>
      <c r="M13" s="15">
        <f t="shared" si="0"/>
        <v>650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>
        <v>7</v>
      </c>
      <c r="S13" s="6"/>
      <c r="T13" s="16"/>
      <c r="U13" s="16"/>
      <c r="V13" s="17"/>
      <c r="W13" s="5">
        <v>13</v>
      </c>
      <c r="X13" s="16"/>
      <c r="Y13" s="16"/>
      <c r="Z13" s="16"/>
      <c r="AA13" s="18"/>
      <c r="AB13" s="8">
        <f t="shared" si="4"/>
        <v>1</v>
      </c>
      <c r="AC13" s="9">
        <f t="shared" si="5"/>
        <v>0.16666666666666666</v>
      </c>
      <c r="AD13" s="10">
        <f>AC13*AB13*(1-O13)</f>
        <v>0.16666666666666666</v>
      </c>
      <c r="AE13" s="36">
        <f t="shared" si="7"/>
        <v>0.43382352941176472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468</v>
      </c>
      <c r="F14" s="30" t="s">
        <v>128</v>
      </c>
      <c r="G14" s="33">
        <v>1</v>
      </c>
      <c r="H14" s="35">
        <v>60</v>
      </c>
      <c r="I14" s="7">
        <v>300</v>
      </c>
      <c r="J14" s="5">
        <v>241</v>
      </c>
      <c r="K14" s="15">
        <f>L14+120</f>
        <v>361</v>
      </c>
      <c r="L14" s="15">
        <f>221+20</f>
        <v>241</v>
      </c>
      <c r="M14" s="15">
        <f t="shared" si="0"/>
        <v>241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>
        <v>18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9"/>
        <v>0.25</v>
      </c>
      <c r="AE14" s="36">
        <f t="shared" si="7"/>
        <v>0.43382352941176472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3070</v>
      </c>
      <c r="K15" s="15">
        <f>L15+2898+5234+1444+2583+5198+5277+2596</f>
        <v>28300</v>
      </c>
      <c r="L15" s="15">
        <f>3070</f>
        <v>3070</v>
      </c>
      <c r="M15" s="15">
        <f t="shared" si="0"/>
        <v>3070</v>
      </c>
      <c r="N15" s="15">
        <v>0</v>
      </c>
      <c r="O15" s="58">
        <f t="shared" si="1"/>
        <v>0</v>
      </c>
      <c r="P15" s="39">
        <f t="shared" si="2"/>
        <v>14</v>
      </c>
      <c r="Q15" s="40">
        <f t="shared" si="3"/>
        <v>10</v>
      </c>
      <c r="R15" s="7"/>
      <c r="S15" s="6">
        <v>10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0.58333333333333337</v>
      </c>
      <c r="AD15" s="10">
        <f t="shared" si="6"/>
        <v>0.58333333333333337</v>
      </c>
      <c r="AE15" s="36">
        <f t="shared" si="7"/>
        <v>0.43382352941176472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144</v>
      </c>
      <c r="E16" s="53" t="s">
        <v>402</v>
      </c>
      <c r="F16" s="30" t="s">
        <v>409</v>
      </c>
      <c r="G16" s="12">
        <v>1</v>
      </c>
      <c r="H16" s="13">
        <v>24</v>
      </c>
      <c r="I16" s="7">
        <v>33000</v>
      </c>
      <c r="J16" s="14">
        <v>3420</v>
      </c>
      <c r="K16" s="15">
        <f>L16+3599+5250+5336+5402+5766+5931</f>
        <v>34704</v>
      </c>
      <c r="L16" s="15">
        <f>2879+541</f>
        <v>3420</v>
      </c>
      <c r="M16" s="15">
        <f t="shared" si="0"/>
        <v>3420</v>
      </c>
      <c r="N16" s="15">
        <v>0</v>
      </c>
      <c r="O16" s="58">
        <f t="shared" si="1"/>
        <v>0</v>
      </c>
      <c r="P16" s="39">
        <f t="shared" si="2"/>
        <v>17</v>
      </c>
      <c r="Q16" s="40">
        <f t="shared" si="3"/>
        <v>7</v>
      </c>
      <c r="R16" s="7"/>
      <c r="S16" s="6">
        <v>7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0.70833333333333337</v>
      </c>
      <c r="AD16" s="10">
        <f t="shared" si="6"/>
        <v>0.70833333333333337</v>
      </c>
      <c r="AE16" s="36">
        <f t="shared" si="7"/>
        <v>0.43382352941176472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434</v>
      </c>
      <c r="F17" s="30" t="s">
        <v>445</v>
      </c>
      <c r="G17" s="12">
        <v>1</v>
      </c>
      <c r="H17" s="13">
        <v>24</v>
      </c>
      <c r="I17" s="7">
        <v>1000</v>
      </c>
      <c r="J17" s="14">
        <v>1088</v>
      </c>
      <c r="K17" s="15">
        <f>L17+1088</f>
        <v>1088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0.43382352941176472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416</v>
      </c>
      <c r="F18" s="30" t="s">
        <v>128</v>
      </c>
      <c r="G18" s="33">
        <v>1</v>
      </c>
      <c r="H18" s="35">
        <v>24</v>
      </c>
      <c r="I18" s="7">
        <v>30000</v>
      </c>
      <c r="J18" s="14">
        <v>5456</v>
      </c>
      <c r="K18" s="15">
        <f>L18+5205+5220+5357+5490+4105</f>
        <v>30833</v>
      </c>
      <c r="L18" s="15">
        <f>2887+2569</f>
        <v>5456</v>
      </c>
      <c r="M18" s="15">
        <f t="shared" si="0"/>
        <v>5456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0.43382352941176472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494</v>
      </c>
      <c r="E19" s="53">
        <v>3159016</v>
      </c>
      <c r="F19" s="30" t="s">
        <v>424</v>
      </c>
      <c r="G19" s="33">
        <v>4</v>
      </c>
      <c r="H19" s="35">
        <v>24</v>
      </c>
      <c r="I19" s="7">
        <v>2600</v>
      </c>
      <c r="J19" s="14">
        <v>20084</v>
      </c>
      <c r="K19" s="15">
        <f>L19</f>
        <v>20084</v>
      </c>
      <c r="L19" s="15">
        <f>2476*4+2545*4</f>
        <v>20084</v>
      </c>
      <c r="M19" s="15">
        <f t="shared" si="0"/>
        <v>20084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0.43382352941176472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121</v>
      </c>
      <c r="D20" s="52"/>
      <c r="E20" s="53" t="s">
        <v>451</v>
      </c>
      <c r="F20" s="30" t="s">
        <v>394</v>
      </c>
      <c r="G20" s="12">
        <v>2</v>
      </c>
      <c r="H20" s="13">
        <v>28</v>
      </c>
      <c r="I20" s="31">
        <v>23500</v>
      </c>
      <c r="J20" s="5">
        <v>640</v>
      </c>
      <c r="K20" s="15">
        <f>L20+7246+10934+9650</f>
        <v>28470</v>
      </c>
      <c r="L20" s="15">
        <v>640</v>
      </c>
      <c r="M20" s="15">
        <f t="shared" ref="M20" si="10">L20-N20</f>
        <v>640</v>
      </c>
      <c r="N20" s="15">
        <v>0</v>
      </c>
      <c r="O20" s="58">
        <f t="shared" ref="O20" si="11">IF(L20=0,"0",N20/L20)</f>
        <v>0</v>
      </c>
      <c r="P20" s="39">
        <f t="shared" ref="P20" si="12">IF(L20=0,"0",(24-Q20))</f>
        <v>3</v>
      </c>
      <c r="Q20" s="40">
        <f t="shared" ref="Q20" si="13">SUM(R20:AA20)</f>
        <v>21</v>
      </c>
      <c r="R20" s="7"/>
      <c r="S20" s="6"/>
      <c r="T20" s="16"/>
      <c r="U20" s="16"/>
      <c r="V20" s="17"/>
      <c r="W20" s="5">
        <v>21</v>
      </c>
      <c r="X20" s="16"/>
      <c r="Y20" s="16"/>
      <c r="Z20" s="16"/>
      <c r="AA20" s="18"/>
      <c r="AB20" s="8">
        <f t="shared" ref="AB20" si="14">IF(J20=0,"0",(L20/J20))</f>
        <v>1</v>
      </c>
      <c r="AC20" s="9">
        <f t="shared" ref="AC20" si="15">IF(P20=0,"0",(P20/24))</f>
        <v>0.125</v>
      </c>
      <c r="AD20" s="10">
        <f>AC20*AB20*(1-O20)</f>
        <v>0.125</v>
      </c>
      <c r="AE20" s="36">
        <f t="shared" si="7"/>
        <v>0.43382352941176472</v>
      </c>
      <c r="AF20" s="84">
        <f t="shared" ref="AF20" si="16">A20</f>
        <v>15</v>
      </c>
    </row>
    <row r="21" spans="1:32" ht="27" customHeight="1">
      <c r="A21" s="96">
        <v>15</v>
      </c>
      <c r="B21" s="11" t="s">
        <v>57</v>
      </c>
      <c r="C21" s="34" t="s">
        <v>121</v>
      </c>
      <c r="D21" s="52"/>
      <c r="E21" s="53" t="s">
        <v>381</v>
      </c>
      <c r="F21" s="30" t="s">
        <v>394</v>
      </c>
      <c r="G21" s="12">
        <v>1</v>
      </c>
      <c r="H21" s="13">
        <v>28</v>
      </c>
      <c r="I21" s="31">
        <v>7500</v>
      </c>
      <c r="J21" s="5">
        <v>2730</v>
      </c>
      <c r="K21" s="15">
        <f>L21</f>
        <v>2730</v>
      </c>
      <c r="L21" s="15">
        <f>2730</f>
        <v>2730</v>
      </c>
      <c r="M21" s="15">
        <f t="shared" si="0"/>
        <v>2730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>
        <v>11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>AC21*AB21*(1-O21)</f>
        <v>0.54166666666666663</v>
      </c>
      <c r="AE21" s="36">
        <f t="shared" si="7"/>
        <v>0.43382352941176472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300000</v>
      </c>
      <c r="J22" s="14">
        <v>4004</v>
      </c>
      <c r="K22" s="15">
        <f>30816+34860+35212+34672+33032+29240+28664+35888+4004</f>
        <v>266388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0.43382352941176472</v>
      </c>
      <c r="AF22" s="84">
        <f t="shared" si="8"/>
        <v>16</v>
      </c>
    </row>
    <row r="23" spans="1:32" ht="31.5" customHeight="1" thickBot="1">
      <c r="A23" s="519" t="s">
        <v>34</v>
      </c>
      <c r="B23" s="520"/>
      <c r="C23" s="520"/>
      <c r="D23" s="520"/>
      <c r="E23" s="520"/>
      <c r="F23" s="520"/>
      <c r="G23" s="520"/>
      <c r="H23" s="521"/>
      <c r="I23" s="22">
        <f t="shared" ref="I23:N23" si="17">SUM(I6:I22)</f>
        <v>953900</v>
      </c>
      <c r="J23" s="19">
        <f t="shared" si="17"/>
        <v>104182</v>
      </c>
      <c r="K23" s="20">
        <f t="shared" si="17"/>
        <v>705479</v>
      </c>
      <c r="L23" s="21">
        <f t="shared" si="17"/>
        <v>87492</v>
      </c>
      <c r="M23" s="20">
        <f t="shared" si="17"/>
        <v>87492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177</v>
      </c>
      <c r="Q23" s="43">
        <f t="shared" si="18"/>
        <v>231</v>
      </c>
      <c r="R23" s="23">
        <f t="shared" si="18"/>
        <v>7</v>
      </c>
      <c r="S23" s="24">
        <f t="shared" si="18"/>
        <v>70</v>
      </c>
      <c r="T23" s="24">
        <f t="shared" si="18"/>
        <v>0</v>
      </c>
      <c r="U23" s="24">
        <f t="shared" si="18"/>
        <v>0</v>
      </c>
      <c r="V23" s="25">
        <f t="shared" si="18"/>
        <v>24</v>
      </c>
      <c r="W23" s="26">
        <f t="shared" si="18"/>
        <v>82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48</v>
      </c>
      <c r="AB23" s="28">
        <f>AVERAGE(AB6:AB22)</f>
        <v>0.70588235294117652</v>
      </c>
      <c r="AC23" s="4">
        <f>AVERAGE(AC6:AC22)</f>
        <v>0.43382352941176472</v>
      </c>
      <c r="AD23" s="4">
        <f>AVERAGE(AD6:AD22)</f>
        <v>0.43382352941176472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22" t="s">
        <v>45</v>
      </c>
      <c r="B50" s="522"/>
      <c r="C50" s="522"/>
      <c r="D50" s="522"/>
      <c r="E50" s="52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23" t="s">
        <v>509</v>
      </c>
      <c r="B51" s="524"/>
      <c r="C51" s="524"/>
      <c r="D51" s="524"/>
      <c r="E51" s="524"/>
      <c r="F51" s="524"/>
      <c r="G51" s="524"/>
      <c r="H51" s="524"/>
      <c r="I51" s="524"/>
      <c r="J51" s="524"/>
      <c r="K51" s="524"/>
      <c r="L51" s="524"/>
      <c r="M51" s="525"/>
      <c r="N51" s="526" t="s">
        <v>512</v>
      </c>
      <c r="O51" s="527"/>
      <c r="P51" s="527"/>
      <c r="Q51" s="527"/>
      <c r="R51" s="527"/>
      <c r="S51" s="527"/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8"/>
    </row>
    <row r="52" spans="1:32" ht="27" customHeight="1">
      <c r="A52" s="529" t="s">
        <v>2</v>
      </c>
      <c r="B52" s="530"/>
      <c r="C52" s="385" t="s">
        <v>46</v>
      </c>
      <c r="D52" s="385" t="s">
        <v>47</v>
      </c>
      <c r="E52" s="385" t="s">
        <v>107</v>
      </c>
      <c r="F52" s="531" t="s">
        <v>106</v>
      </c>
      <c r="G52" s="532"/>
      <c r="H52" s="532"/>
      <c r="I52" s="532"/>
      <c r="J52" s="532"/>
      <c r="K52" s="532"/>
      <c r="L52" s="532"/>
      <c r="M52" s="533"/>
      <c r="N52" s="67" t="s">
        <v>110</v>
      </c>
      <c r="O52" s="385" t="s">
        <v>46</v>
      </c>
      <c r="P52" s="531" t="s">
        <v>47</v>
      </c>
      <c r="Q52" s="534"/>
      <c r="R52" s="531" t="s">
        <v>38</v>
      </c>
      <c r="S52" s="532"/>
      <c r="T52" s="532"/>
      <c r="U52" s="534"/>
      <c r="V52" s="531" t="s">
        <v>48</v>
      </c>
      <c r="W52" s="532"/>
      <c r="X52" s="532"/>
      <c r="Y52" s="532"/>
      <c r="Z52" s="532"/>
      <c r="AA52" s="532"/>
      <c r="AB52" s="532"/>
      <c r="AC52" s="532"/>
      <c r="AD52" s="533"/>
    </row>
    <row r="53" spans="1:32" ht="27" customHeight="1">
      <c r="A53" s="512" t="s">
        <v>118</v>
      </c>
      <c r="B53" s="513"/>
      <c r="C53" s="386" t="s">
        <v>411</v>
      </c>
      <c r="D53" s="386" t="s">
        <v>115</v>
      </c>
      <c r="E53" s="387" t="s">
        <v>482</v>
      </c>
      <c r="F53" s="500" t="s">
        <v>510</v>
      </c>
      <c r="G53" s="501"/>
      <c r="H53" s="501"/>
      <c r="I53" s="501"/>
      <c r="J53" s="501"/>
      <c r="K53" s="501"/>
      <c r="L53" s="501"/>
      <c r="M53" s="502"/>
      <c r="N53" s="391" t="s">
        <v>118</v>
      </c>
      <c r="O53" s="393" t="s">
        <v>411</v>
      </c>
      <c r="P53" s="514" t="s">
        <v>115</v>
      </c>
      <c r="Q53" s="515"/>
      <c r="R53" s="514" t="s">
        <v>482</v>
      </c>
      <c r="S53" s="516"/>
      <c r="T53" s="516"/>
      <c r="U53" s="515"/>
      <c r="V53" s="487" t="s">
        <v>130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112</v>
      </c>
      <c r="B54" s="513"/>
      <c r="C54" s="386" t="s">
        <v>242</v>
      </c>
      <c r="D54" s="386" t="s">
        <v>115</v>
      </c>
      <c r="E54" s="387" t="s">
        <v>468</v>
      </c>
      <c r="F54" s="500" t="s">
        <v>511</v>
      </c>
      <c r="G54" s="501"/>
      <c r="H54" s="501"/>
      <c r="I54" s="501"/>
      <c r="J54" s="501"/>
      <c r="K54" s="501"/>
      <c r="L54" s="501"/>
      <c r="M54" s="502"/>
      <c r="N54" s="391"/>
      <c r="O54" s="393"/>
      <c r="P54" s="514"/>
      <c r="Q54" s="515"/>
      <c r="R54" s="514"/>
      <c r="S54" s="516"/>
      <c r="T54" s="516"/>
      <c r="U54" s="515"/>
      <c r="V54" s="487"/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118</v>
      </c>
      <c r="B55" s="513"/>
      <c r="C55" s="386" t="s">
        <v>403</v>
      </c>
      <c r="D55" s="386" t="s">
        <v>144</v>
      </c>
      <c r="E55" s="387" t="s">
        <v>402</v>
      </c>
      <c r="F55" s="500" t="s">
        <v>256</v>
      </c>
      <c r="G55" s="501"/>
      <c r="H55" s="501"/>
      <c r="I55" s="501"/>
      <c r="J55" s="501"/>
      <c r="K55" s="501"/>
      <c r="L55" s="501"/>
      <c r="M55" s="502"/>
      <c r="N55" s="391"/>
      <c r="O55" s="393"/>
      <c r="P55" s="514"/>
      <c r="Q55" s="515"/>
      <c r="R55" s="514"/>
      <c r="S55" s="516"/>
      <c r="T55" s="516"/>
      <c r="U55" s="515"/>
      <c r="V55" s="487"/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121</v>
      </c>
      <c r="B56" s="513"/>
      <c r="C56" s="386" t="s">
        <v>269</v>
      </c>
      <c r="D56" s="386"/>
      <c r="E56" s="387" t="s">
        <v>154</v>
      </c>
      <c r="F56" s="500" t="s">
        <v>256</v>
      </c>
      <c r="G56" s="501"/>
      <c r="H56" s="501"/>
      <c r="I56" s="501"/>
      <c r="J56" s="501"/>
      <c r="K56" s="501"/>
      <c r="L56" s="501"/>
      <c r="M56" s="502"/>
      <c r="N56" s="391"/>
      <c r="O56" s="393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512" t="s">
        <v>121</v>
      </c>
      <c r="B57" s="513"/>
      <c r="C57" s="386" t="s">
        <v>180</v>
      </c>
      <c r="D57" s="386" t="s">
        <v>115</v>
      </c>
      <c r="E57" s="387" t="s">
        <v>381</v>
      </c>
      <c r="F57" s="500" t="s">
        <v>141</v>
      </c>
      <c r="G57" s="501"/>
      <c r="H57" s="501"/>
      <c r="I57" s="501"/>
      <c r="J57" s="501"/>
      <c r="K57" s="501"/>
      <c r="L57" s="501"/>
      <c r="M57" s="502"/>
      <c r="N57" s="391"/>
      <c r="O57" s="393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498" t="s">
        <v>118</v>
      </c>
      <c r="B58" s="499"/>
      <c r="C58" s="387" t="s">
        <v>151</v>
      </c>
      <c r="D58" s="387" t="s">
        <v>494</v>
      </c>
      <c r="E58" s="387" t="s">
        <v>493</v>
      </c>
      <c r="F58" s="500" t="s">
        <v>141</v>
      </c>
      <c r="G58" s="501"/>
      <c r="H58" s="501"/>
      <c r="I58" s="501"/>
      <c r="J58" s="501"/>
      <c r="K58" s="501"/>
      <c r="L58" s="501"/>
      <c r="M58" s="502"/>
      <c r="N58" s="391"/>
      <c r="O58" s="393"/>
      <c r="P58" s="514"/>
      <c r="Q58" s="515"/>
      <c r="R58" s="514"/>
      <c r="S58" s="516"/>
      <c r="T58" s="516"/>
      <c r="U58" s="515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 t="s">
        <v>112</v>
      </c>
      <c r="B59" s="513"/>
      <c r="C59" s="386" t="s">
        <v>152</v>
      </c>
      <c r="D59" s="386" t="s">
        <v>506</v>
      </c>
      <c r="E59" s="387" t="s">
        <v>507</v>
      </c>
      <c r="F59" s="500" t="s">
        <v>141</v>
      </c>
      <c r="G59" s="501"/>
      <c r="H59" s="501"/>
      <c r="I59" s="501"/>
      <c r="J59" s="501"/>
      <c r="K59" s="501"/>
      <c r="L59" s="501"/>
      <c r="M59" s="502"/>
      <c r="N59" s="391"/>
      <c r="O59" s="393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512"/>
      <c r="B60" s="513"/>
      <c r="C60" s="386"/>
      <c r="D60" s="386"/>
      <c r="E60" s="387"/>
      <c r="F60" s="500"/>
      <c r="G60" s="501"/>
      <c r="H60" s="501"/>
      <c r="I60" s="501"/>
      <c r="J60" s="501"/>
      <c r="K60" s="501"/>
      <c r="L60" s="501"/>
      <c r="M60" s="502"/>
      <c r="N60" s="391"/>
      <c r="O60" s="393"/>
      <c r="P60" s="514"/>
      <c r="Q60" s="515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</row>
    <row r="61" spans="1:32" ht="27" customHeight="1">
      <c r="A61" s="498"/>
      <c r="B61" s="499"/>
      <c r="C61" s="387"/>
      <c r="D61" s="387"/>
      <c r="E61" s="387"/>
      <c r="F61" s="500"/>
      <c r="G61" s="501"/>
      <c r="H61" s="501"/>
      <c r="I61" s="501"/>
      <c r="J61" s="501"/>
      <c r="K61" s="501"/>
      <c r="L61" s="501"/>
      <c r="M61" s="502"/>
      <c r="N61" s="391"/>
      <c r="O61" s="393"/>
      <c r="P61" s="499"/>
      <c r="Q61" s="499"/>
      <c r="R61" s="499"/>
      <c r="S61" s="499"/>
      <c r="T61" s="499"/>
      <c r="U61" s="499"/>
      <c r="V61" s="487"/>
      <c r="W61" s="487"/>
      <c r="X61" s="487"/>
      <c r="Y61" s="487"/>
      <c r="Z61" s="487"/>
      <c r="AA61" s="487"/>
      <c r="AB61" s="487"/>
      <c r="AC61" s="487"/>
      <c r="AD61" s="503"/>
      <c r="AF61" s="84">
        <f>8*3000</f>
        <v>24000</v>
      </c>
    </row>
    <row r="62" spans="1:32" ht="27" customHeight="1" thickBot="1">
      <c r="A62" s="504"/>
      <c r="B62" s="505"/>
      <c r="C62" s="388"/>
      <c r="D62" s="389"/>
      <c r="E62" s="389"/>
      <c r="F62" s="506"/>
      <c r="G62" s="507"/>
      <c r="H62" s="507"/>
      <c r="I62" s="507"/>
      <c r="J62" s="507"/>
      <c r="K62" s="507"/>
      <c r="L62" s="507"/>
      <c r="M62" s="508"/>
      <c r="N62" s="112"/>
      <c r="O62" s="103"/>
      <c r="P62" s="509"/>
      <c r="Q62" s="509"/>
      <c r="R62" s="509"/>
      <c r="S62" s="509"/>
      <c r="T62" s="509"/>
      <c r="U62" s="509"/>
      <c r="V62" s="510"/>
      <c r="W62" s="510"/>
      <c r="X62" s="510"/>
      <c r="Y62" s="510"/>
      <c r="Z62" s="510"/>
      <c r="AA62" s="510"/>
      <c r="AB62" s="510"/>
      <c r="AC62" s="510"/>
      <c r="AD62" s="511"/>
      <c r="AF62" s="84">
        <f>16*3000</f>
        <v>48000</v>
      </c>
    </row>
    <row r="63" spans="1:32" ht="27.75" thickBot="1">
      <c r="A63" s="496" t="s">
        <v>513</v>
      </c>
      <c r="B63" s="496"/>
      <c r="C63" s="496"/>
      <c r="D63" s="496"/>
      <c r="E63" s="496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7" t="s">
        <v>111</v>
      </c>
      <c r="B64" s="494"/>
      <c r="C64" s="390" t="s">
        <v>2</v>
      </c>
      <c r="D64" s="390" t="s">
        <v>37</v>
      </c>
      <c r="E64" s="390" t="s">
        <v>3</v>
      </c>
      <c r="F64" s="494" t="s">
        <v>109</v>
      </c>
      <c r="G64" s="494"/>
      <c r="H64" s="494"/>
      <c r="I64" s="494"/>
      <c r="J64" s="494"/>
      <c r="K64" s="494" t="s">
        <v>39</v>
      </c>
      <c r="L64" s="494"/>
      <c r="M64" s="390" t="s">
        <v>40</v>
      </c>
      <c r="N64" s="494" t="s">
        <v>41</v>
      </c>
      <c r="O64" s="494"/>
      <c r="P64" s="491" t="s">
        <v>42</v>
      </c>
      <c r="Q64" s="493"/>
      <c r="R64" s="491" t="s">
        <v>43</v>
      </c>
      <c r="S64" s="492"/>
      <c r="T64" s="492"/>
      <c r="U64" s="492"/>
      <c r="V64" s="492"/>
      <c r="W64" s="492"/>
      <c r="X64" s="492"/>
      <c r="Y64" s="492"/>
      <c r="Z64" s="492"/>
      <c r="AA64" s="493"/>
      <c r="AB64" s="494" t="s">
        <v>44</v>
      </c>
      <c r="AC64" s="494"/>
      <c r="AD64" s="495"/>
      <c r="AF64" s="84">
        <f>SUM(AF61:AF63)</f>
        <v>96000</v>
      </c>
    </row>
    <row r="65" spans="1:32" ht="25.5" customHeight="1">
      <c r="A65" s="482">
        <v>1</v>
      </c>
      <c r="B65" s="483"/>
      <c r="C65" s="105" t="s">
        <v>119</v>
      </c>
      <c r="D65" s="395"/>
      <c r="E65" s="392" t="s">
        <v>132</v>
      </c>
      <c r="F65" s="488" t="s">
        <v>514</v>
      </c>
      <c r="G65" s="489"/>
      <c r="H65" s="489"/>
      <c r="I65" s="489"/>
      <c r="J65" s="490"/>
      <c r="K65" s="476" t="s">
        <v>145</v>
      </c>
      <c r="L65" s="476"/>
      <c r="M65" s="51" t="s">
        <v>246</v>
      </c>
      <c r="N65" s="485" t="s">
        <v>140</v>
      </c>
      <c r="O65" s="485"/>
      <c r="P65" s="486">
        <v>200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2</v>
      </c>
      <c r="B66" s="483"/>
      <c r="C66" s="105" t="s">
        <v>291</v>
      </c>
      <c r="D66" s="395"/>
      <c r="E66" s="392"/>
      <c r="F66" s="488" t="s">
        <v>290</v>
      </c>
      <c r="G66" s="489"/>
      <c r="H66" s="489"/>
      <c r="I66" s="489"/>
      <c r="J66" s="490"/>
      <c r="K66" s="476" t="s">
        <v>515</v>
      </c>
      <c r="L66" s="476"/>
      <c r="M66" s="51" t="s">
        <v>195</v>
      </c>
      <c r="N66" s="485" t="s">
        <v>190</v>
      </c>
      <c r="O66" s="485"/>
      <c r="P66" s="486">
        <f>32*50</f>
        <v>1600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3</v>
      </c>
      <c r="B67" s="483"/>
      <c r="C67" s="105" t="s">
        <v>119</v>
      </c>
      <c r="D67" s="395"/>
      <c r="E67" s="392" t="s">
        <v>129</v>
      </c>
      <c r="F67" s="488" t="s">
        <v>516</v>
      </c>
      <c r="G67" s="489"/>
      <c r="H67" s="489"/>
      <c r="I67" s="489"/>
      <c r="J67" s="490"/>
      <c r="K67" s="476" t="s">
        <v>122</v>
      </c>
      <c r="L67" s="476"/>
      <c r="M67" s="51" t="s">
        <v>246</v>
      </c>
      <c r="N67" s="485" t="s">
        <v>190</v>
      </c>
      <c r="O67" s="485"/>
      <c r="P67" s="486">
        <v>200</v>
      </c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4</v>
      </c>
      <c r="B68" s="483"/>
      <c r="C68" s="105" t="s">
        <v>119</v>
      </c>
      <c r="D68" s="395"/>
      <c r="E68" s="392" t="s">
        <v>115</v>
      </c>
      <c r="F68" s="488" t="s">
        <v>517</v>
      </c>
      <c r="G68" s="489"/>
      <c r="H68" s="489"/>
      <c r="I68" s="489"/>
      <c r="J68" s="490"/>
      <c r="K68" s="476" t="s">
        <v>122</v>
      </c>
      <c r="L68" s="476"/>
      <c r="M68" s="51" t="s">
        <v>246</v>
      </c>
      <c r="N68" s="485" t="s">
        <v>190</v>
      </c>
      <c r="O68" s="485"/>
      <c r="P68" s="486">
        <v>200</v>
      </c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5</v>
      </c>
      <c r="B69" s="483"/>
      <c r="C69" s="105"/>
      <c r="D69" s="395"/>
      <c r="E69" s="392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6</v>
      </c>
      <c r="B70" s="483"/>
      <c r="C70" s="105"/>
      <c r="D70" s="395"/>
      <c r="E70" s="392"/>
      <c r="F70" s="488"/>
      <c r="G70" s="489"/>
      <c r="H70" s="489"/>
      <c r="I70" s="489"/>
      <c r="J70" s="490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7</v>
      </c>
      <c r="B71" s="483"/>
      <c r="C71" s="105"/>
      <c r="D71" s="395"/>
      <c r="E71" s="392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8</v>
      </c>
      <c r="B72" s="483"/>
      <c r="C72" s="105"/>
      <c r="D72" s="395"/>
      <c r="E72" s="392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9</v>
      </c>
      <c r="B73" s="483"/>
      <c r="C73" s="105"/>
      <c r="D73" s="395"/>
      <c r="E73" s="392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5.5" customHeight="1">
      <c r="A74" s="482">
        <v>10</v>
      </c>
      <c r="B74" s="483"/>
      <c r="C74" s="105"/>
      <c r="D74" s="395"/>
      <c r="E74" s="392"/>
      <c r="F74" s="484"/>
      <c r="G74" s="476"/>
      <c r="H74" s="476"/>
      <c r="I74" s="476"/>
      <c r="J74" s="476"/>
      <c r="K74" s="476"/>
      <c r="L74" s="476"/>
      <c r="M74" s="51"/>
      <c r="N74" s="485"/>
      <c r="O74" s="485"/>
      <c r="P74" s="486"/>
      <c r="Q74" s="486"/>
      <c r="R74" s="487"/>
      <c r="S74" s="487"/>
      <c r="T74" s="487"/>
      <c r="U74" s="487"/>
      <c r="V74" s="487"/>
      <c r="W74" s="487"/>
      <c r="X74" s="487"/>
      <c r="Y74" s="487"/>
      <c r="Z74" s="487"/>
      <c r="AA74" s="487"/>
      <c r="AB74" s="476"/>
      <c r="AC74" s="476"/>
      <c r="AD74" s="477"/>
      <c r="AF74" s="50"/>
    </row>
    <row r="75" spans="1:32" ht="26.25" customHeight="1" thickBot="1">
      <c r="A75" s="456" t="s">
        <v>504</v>
      </c>
      <c r="B75" s="456"/>
      <c r="C75" s="456"/>
      <c r="D75" s="456"/>
      <c r="E75" s="456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57" t="s">
        <v>149</v>
      </c>
      <c r="B76" s="458"/>
      <c r="C76" s="394" t="s">
        <v>2</v>
      </c>
      <c r="D76" s="394" t="s">
        <v>37</v>
      </c>
      <c r="E76" s="394" t="s">
        <v>135</v>
      </c>
      <c r="F76" s="458" t="s">
        <v>38</v>
      </c>
      <c r="G76" s="458"/>
      <c r="H76" s="458"/>
      <c r="I76" s="458"/>
      <c r="J76" s="458"/>
      <c r="K76" s="478" t="s">
        <v>58</v>
      </c>
      <c r="L76" s="479"/>
      <c r="M76" s="479"/>
      <c r="N76" s="479"/>
      <c r="O76" s="479"/>
      <c r="P76" s="479"/>
      <c r="Q76" s="479"/>
      <c r="R76" s="479"/>
      <c r="S76" s="480"/>
      <c r="T76" s="458" t="s">
        <v>49</v>
      </c>
      <c r="U76" s="458"/>
      <c r="V76" s="478" t="s">
        <v>50</v>
      </c>
      <c r="W76" s="480"/>
      <c r="X76" s="479" t="s">
        <v>51</v>
      </c>
      <c r="Y76" s="479"/>
      <c r="Z76" s="479"/>
      <c r="AA76" s="479"/>
      <c r="AB76" s="479"/>
      <c r="AC76" s="479"/>
      <c r="AD76" s="481"/>
      <c r="AF76" s="50"/>
    </row>
    <row r="77" spans="1:32" ht="33.75" customHeight="1">
      <c r="A77" s="450">
        <v>1</v>
      </c>
      <c r="B77" s="451"/>
      <c r="C77" s="396" t="s">
        <v>112</v>
      </c>
      <c r="D77" s="396"/>
      <c r="E77" s="65" t="s">
        <v>117</v>
      </c>
      <c r="F77" s="465" t="s">
        <v>116</v>
      </c>
      <c r="G77" s="466"/>
      <c r="H77" s="466"/>
      <c r="I77" s="466"/>
      <c r="J77" s="467"/>
      <c r="K77" s="468" t="s">
        <v>120</v>
      </c>
      <c r="L77" s="469"/>
      <c r="M77" s="469"/>
      <c r="N77" s="469"/>
      <c r="O77" s="469"/>
      <c r="P77" s="469"/>
      <c r="Q77" s="469"/>
      <c r="R77" s="469"/>
      <c r="S77" s="470"/>
      <c r="T77" s="471">
        <v>43675</v>
      </c>
      <c r="U77" s="472"/>
      <c r="V77" s="473"/>
      <c r="W77" s="473"/>
      <c r="X77" s="474"/>
      <c r="Y77" s="474"/>
      <c r="Z77" s="474"/>
      <c r="AA77" s="474"/>
      <c r="AB77" s="474"/>
      <c r="AC77" s="474"/>
      <c r="AD77" s="475"/>
      <c r="AF77" s="50"/>
    </row>
    <row r="78" spans="1:32" ht="30" customHeight="1">
      <c r="A78" s="443">
        <f>A77+1</f>
        <v>2</v>
      </c>
      <c r="B78" s="444"/>
      <c r="C78" s="395"/>
      <c r="D78" s="395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ref="A79:A83" si="19">A78+1</f>
        <v>3</v>
      </c>
      <c r="B79" s="444"/>
      <c r="C79" s="395"/>
      <c r="D79" s="395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9"/>
        <v>4</v>
      </c>
      <c r="B80" s="444"/>
      <c r="C80" s="395"/>
      <c r="D80" s="395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9"/>
        <v>5</v>
      </c>
      <c r="B81" s="444"/>
      <c r="C81" s="395"/>
      <c r="D81" s="395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9"/>
        <v>6</v>
      </c>
      <c r="B82" s="444"/>
      <c r="C82" s="395"/>
      <c r="D82" s="395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0" customHeight="1">
      <c r="A83" s="443">
        <f t="shared" si="19"/>
        <v>7</v>
      </c>
      <c r="B83" s="444"/>
      <c r="C83" s="395"/>
      <c r="D83" s="395"/>
      <c r="E83" s="32"/>
      <c r="F83" s="444"/>
      <c r="G83" s="444"/>
      <c r="H83" s="444"/>
      <c r="I83" s="444"/>
      <c r="J83" s="444"/>
      <c r="K83" s="459"/>
      <c r="L83" s="460"/>
      <c r="M83" s="460"/>
      <c r="N83" s="460"/>
      <c r="O83" s="460"/>
      <c r="P83" s="460"/>
      <c r="Q83" s="460"/>
      <c r="R83" s="460"/>
      <c r="S83" s="461"/>
      <c r="T83" s="462"/>
      <c r="U83" s="462"/>
      <c r="V83" s="462"/>
      <c r="W83" s="462"/>
      <c r="X83" s="463"/>
      <c r="Y83" s="463"/>
      <c r="Z83" s="463"/>
      <c r="AA83" s="463"/>
      <c r="AB83" s="463"/>
      <c r="AC83" s="463"/>
      <c r="AD83" s="464"/>
      <c r="AF83" s="50"/>
    </row>
    <row r="84" spans="1:32" ht="36" thickBot="1">
      <c r="A84" s="456" t="s">
        <v>503</v>
      </c>
      <c r="B84" s="456"/>
      <c r="C84" s="456"/>
      <c r="D84" s="456"/>
      <c r="E84" s="45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57" t="s">
        <v>111</v>
      </c>
      <c r="B85" s="458"/>
      <c r="C85" s="448" t="s">
        <v>52</v>
      </c>
      <c r="D85" s="448"/>
      <c r="E85" s="448" t="s">
        <v>53</v>
      </c>
      <c r="F85" s="448"/>
      <c r="G85" s="448"/>
      <c r="H85" s="448"/>
      <c r="I85" s="448"/>
      <c r="J85" s="448"/>
      <c r="K85" s="448" t="s">
        <v>54</v>
      </c>
      <c r="L85" s="448"/>
      <c r="M85" s="448"/>
      <c r="N85" s="448"/>
      <c r="O85" s="448"/>
      <c r="P85" s="448"/>
      <c r="Q85" s="448"/>
      <c r="R85" s="448"/>
      <c r="S85" s="448"/>
      <c r="T85" s="448" t="s">
        <v>55</v>
      </c>
      <c r="U85" s="448"/>
      <c r="V85" s="448" t="s">
        <v>56</v>
      </c>
      <c r="W85" s="448"/>
      <c r="X85" s="448"/>
      <c r="Y85" s="448" t="s">
        <v>51</v>
      </c>
      <c r="Z85" s="448"/>
      <c r="AA85" s="448"/>
      <c r="AB85" s="448"/>
      <c r="AC85" s="448"/>
      <c r="AD85" s="449"/>
      <c r="AF85" s="50"/>
    </row>
    <row r="86" spans="1:32" ht="30.75" customHeight="1">
      <c r="A86" s="450">
        <v>1</v>
      </c>
      <c r="B86" s="451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2"/>
      <c r="U86" s="452"/>
      <c r="V86" s="453"/>
      <c r="W86" s="453"/>
      <c r="X86" s="453"/>
      <c r="Y86" s="454"/>
      <c r="Z86" s="454"/>
      <c r="AA86" s="454"/>
      <c r="AB86" s="454"/>
      <c r="AC86" s="454"/>
      <c r="AD86" s="455"/>
      <c r="AF86" s="50"/>
    </row>
    <row r="87" spans="1:32" ht="30.75" customHeight="1">
      <c r="A87" s="443">
        <v>2</v>
      </c>
      <c r="B87" s="444"/>
      <c r="C87" s="445"/>
      <c r="D87" s="445"/>
      <c r="E87" s="445"/>
      <c r="F87" s="445"/>
      <c r="G87" s="445"/>
      <c r="H87" s="445"/>
      <c r="I87" s="445"/>
      <c r="J87" s="445"/>
      <c r="K87" s="445"/>
      <c r="L87" s="445"/>
      <c r="M87" s="445"/>
      <c r="N87" s="445"/>
      <c r="O87" s="445"/>
      <c r="P87" s="445"/>
      <c r="Q87" s="445"/>
      <c r="R87" s="445"/>
      <c r="S87" s="445"/>
      <c r="T87" s="446"/>
      <c r="U87" s="446"/>
      <c r="V87" s="447"/>
      <c r="W87" s="447"/>
      <c r="X87" s="447"/>
      <c r="Y87" s="436"/>
      <c r="Z87" s="436"/>
      <c r="AA87" s="436"/>
      <c r="AB87" s="436"/>
      <c r="AC87" s="436"/>
      <c r="AD87" s="437"/>
      <c r="AF87" s="50"/>
    </row>
    <row r="88" spans="1:32" ht="30.75" customHeight="1" thickBot="1">
      <c r="A88" s="438">
        <v>3</v>
      </c>
      <c r="B88" s="439"/>
      <c r="C88" s="440"/>
      <c r="D88" s="440"/>
      <c r="E88" s="440"/>
      <c r="F88" s="440"/>
      <c r="G88" s="440"/>
      <c r="H88" s="440"/>
      <c r="I88" s="440"/>
      <c r="J88" s="440"/>
      <c r="K88" s="440"/>
      <c r="L88" s="440"/>
      <c r="M88" s="440"/>
      <c r="N88" s="440"/>
      <c r="O88" s="440"/>
      <c r="P88" s="440"/>
      <c r="Q88" s="440"/>
      <c r="R88" s="440"/>
      <c r="S88" s="440"/>
      <c r="T88" s="440"/>
      <c r="U88" s="440"/>
      <c r="V88" s="440"/>
      <c r="W88" s="440"/>
      <c r="X88" s="440"/>
      <c r="Y88" s="441"/>
      <c r="Z88" s="441"/>
      <c r="AA88" s="441"/>
      <c r="AB88" s="441"/>
      <c r="AC88" s="441"/>
      <c r="AD88" s="442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1E51-6D37-4828-BF1E-E6D0D7D5491C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518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409" t="s">
        <v>17</v>
      </c>
      <c r="L5" s="409" t="s">
        <v>18</v>
      </c>
      <c r="M5" s="409" t="s">
        <v>19</v>
      </c>
      <c r="N5" s="40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/>
      <c r="E6" s="53" t="s">
        <v>414</v>
      </c>
      <c r="F6" s="12" t="s">
        <v>156</v>
      </c>
      <c r="G6" s="12">
        <v>2</v>
      </c>
      <c r="H6" s="13">
        <v>24</v>
      </c>
      <c r="I6" s="31">
        <v>23500</v>
      </c>
      <c r="J6" s="14">
        <v>5160</v>
      </c>
      <c r="K6" s="15">
        <f>L6+9388+9240+10442+5160</f>
        <v>34230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0.49635989010989012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2421</v>
      </c>
      <c r="K7" s="15">
        <f>L7+3683+2801+972+5614+6047+6028+2698+3397+3300+6010+4686+5374+5266+2421</f>
        <v>58297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0.49635989010989012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118</v>
      </c>
      <c r="D8" s="52" t="s">
        <v>115</v>
      </c>
      <c r="E8" s="53" t="s">
        <v>482</v>
      </c>
      <c r="F8" s="30" t="s">
        <v>128</v>
      </c>
      <c r="G8" s="33">
        <v>1</v>
      </c>
      <c r="H8" s="35">
        <v>24</v>
      </c>
      <c r="I8" s="7">
        <v>13000</v>
      </c>
      <c r="J8" s="14">
        <v>5435</v>
      </c>
      <c r="K8" s="15">
        <f>L8+2807+1599</f>
        <v>9841</v>
      </c>
      <c r="L8" s="15">
        <f>3203+2232</f>
        <v>5435</v>
      </c>
      <c r="M8" s="15">
        <f t="shared" si="0"/>
        <v>5435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0.49635989010989012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463</v>
      </c>
      <c r="E9" s="53" t="s">
        <v>464</v>
      </c>
      <c r="F9" s="30" t="s">
        <v>477</v>
      </c>
      <c r="G9" s="33">
        <v>10</v>
      </c>
      <c r="H9" s="35">
        <v>24</v>
      </c>
      <c r="I9" s="7">
        <f>150000+250000</f>
        <v>400000</v>
      </c>
      <c r="J9" s="5">
        <v>83080</v>
      </c>
      <c r="K9" s="15">
        <f>L9+52210+54460+33320</f>
        <v>223070</v>
      </c>
      <c r="L9" s="15">
        <f>4329*10+3979*10</f>
        <v>83080</v>
      </c>
      <c r="M9" s="15">
        <f t="shared" si="0"/>
        <v>83080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>AC9*AB9*(1-O9)</f>
        <v>1</v>
      </c>
      <c r="AE9" s="36">
        <f t="shared" si="7"/>
        <v>0.49635989010989012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169</v>
      </c>
      <c r="F10" s="30" t="s">
        <v>158</v>
      </c>
      <c r="G10" s="33">
        <v>1</v>
      </c>
      <c r="H10" s="35">
        <v>24</v>
      </c>
      <c r="I10" s="7">
        <v>40000</v>
      </c>
      <c r="J10" s="14">
        <v>6359</v>
      </c>
      <c r="K10" s="15">
        <f>L10+3094+5826</f>
        <v>15279</v>
      </c>
      <c r="L10" s="15">
        <f>3279+3080</f>
        <v>6359</v>
      </c>
      <c r="M10" s="15">
        <f t="shared" si="0"/>
        <v>6359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ref="AD10:AD14" si="9">AC10*AB10*(1-O10)</f>
        <v>1</v>
      </c>
      <c r="AE10" s="36">
        <f t="shared" si="7"/>
        <v>0.49635989010989012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336</v>
      </c>
      <c r="D11" s="52" t="s">
        <v>337</v>
      </c>
      <c r="E11" s="53" t="s">
        <v>338</v>
      </c>
      <c r="F11" s="30" t="s">
        <v>478</v>
      </c>
      <c r="G11" s="33">
        <v>3</v>
      </c>
      <c r="H11" s="35">
        <v>24</v>
      </c>
      <c r="I11" s="7">
        <v>6000</v>
      </c>
      <c r="J11" s="14">
        <v>10456</v>
      </c>
      <c r="K11" s="15">
        <f>L11+14673+14103+10456</f>
        <v>39232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0.49635989010989012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452</v>
      </c>
      <c r="F12" s="30" t="s">
        <v>200</v>
      </c>
      <c r="G12" s="12">
        <v>1</v>
      </c>
      <c r="H12" s="13">
        <v>20</v>
      </c>
      <c r="I12" s="31">
        <v>4000</v>
      </c>
      <c r="J12" s="5">
        <v>4017</v>
      </c>
      <c r="K12" s="15">
        <f>L12+2779+4017</f>
        <v>6796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0.49635989010989012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506</v>
      </c>
      <c r="E13" s="53" t="s">
        <v>507</v>
      </c>
      <c r="F13" s="30" t="s">
        <v>508</v>
      </c>
      <c r="G13" s="12">
        <v>1</v>
      </c>
      <c r="H13" s="13">
        <v>28</v>
      </c>
      <c r="I13" s="31">
        <v>500</v>
      </c>
      <c r="J13" s="5">
        <v>650</v>
      </c>
      <c r="K13" s="15">
        <f>L13+650</f>
        <v>650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0.49635989010989012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468</v>
      </c>
      <c r="F14" s="30" t="s">
        <v>128</v>
      </c>
      <c r="G14" s="33">
        <v>1</v>
      </c>
      <c r="H14" s="35">
        <v>60</v>
      </c>
      <c r="I14" s="7">
        <v>300</v>
      </c>
      <c r="J14" s="5">
        <v>241</v>
      </c>
      <c r="K14" s="15">
        <f>L14+120+241</f>
        <v>361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0.49635989010989012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5080</v>
      </c>
      <c r="K15" s="15">
        <f>L15+2898+5234+1444+2583+5198+5277+2596+3070</f>
        <v>33380</v>
      </c>
      <c r="L15" s="15">
        <f>2538+2542</f>
        <v>5080</v>
      </c>
      <c r="M15" s="15">
        <f t="shared" si="0"/>
        <v>5080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0.49635989010989012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144</v>
      </c>
      <c r="E16" s="53" t="s">
        <v>402</v>
      </c>
      <c r="F16" s="30" t="s">
        <v>409</v>
      </c>
      <c r="G16" s="12">
        <v>1</v>
      </c>
      <c r="H16" s="13">
        <v>24</v>
      </c>
      <c r="I16" s="7">
        <v>33000</v>
      </c>
      <c r="J16" s="14">
        <v>5712</v>
      </c>
      <c r="K16" s="15">
        <f>L16+3599+5250+5336+5402+5766+5931+3420</f>
        <v>40416</v>
      </c>
      <c r="L16" s="15">
        <f>2924+2788</f>
        <v>5712</v>
      </c>
      <c r="M16" s="15">
        <f t="shared" si="0"/>
        <v>5712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0.49635989010989012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434</v>
      </c>
      <c r="F17" s="30" t="s">
        <v>445</v>
      </c>
      <c r="G17" s="12">
        <v>1</v>
      </c>
      <c r="H17" s="13">
        <v>24</v>
      </c>
      <c r="I17" s="7">
        <v>1000</v>
      </c>
      <c r="J17" s="14">
        <v>1088</v>
      </c>
      <c r="K17" s="15">
        <f>L17+1088</f>
        <v>1088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0.49635989010989012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416</v>
      </c>
      <c r="F18" s="30" t="s">
        <v>128</v>
      </c>
      <c r="G18" s="33">
        <v>1</v>
      </c>
      <c r="H18" s="35">
        <v>24</v>
      </c>
      <c r="I18" s="7">
        <v>30000</v>
      </c>
      <c r="J18" s="14">
        <v>5974</v>
      </c>
      <c r="K18" s="15">
        <f>L18+5205+5220+5357+5490+4105+5456</f>
        <v>36807</v>
      </c>
      <c r="L18" s="15">
        <f>3096+2878</f>
        <v>5974</v>
      </c>
      <c r="M18" s="15">
        <f t="shared" si="0"/>
        <v>5974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0.49635989010989012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494</v>
      </c>
      <c r="E19" s="53">
        <v>3159016</v>
      </c>
      <c r="F19" s="30" t="s">
        <v>424</v>
      </c>
      <c r="G19" s="33">
        <v>4</v>
      </c>
      <c r="H19" s="35">
        <v>24</v>
      </c>
      <c r="I19" s="7">
        <v>2600</v>
      </c>
      <c r="J19" s="14">
        <v>20084</v>
      </c>
      <c r="K19" s="15">
        <f>L19+20084</f>
        <v>20084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0.49635989010989012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121</v>
      </c>
      <c r="D20" s="52"/>
      <c r="E20" s="53" t="s">
        <v>381</v>
      </c>
      <c r="F20" s="30" t="s">
        <v>394</v>
      </c>
      <c r="G20" s="12">
        <v>1</v>
      </c>
      <c r="H20" s="13">
        <v>28</v>
      </c>
      <c r="I20" s="31">
        <v>7500</v>
      </c>
      <c r="J20" s="5">
        <v>2730</v>
      </c>
      <c r="K20" s="15">
        <f>L20+2730</f>
        <v>8031</v>
      </c>
      <c r="L20" s="15">
        <f>2701+2600</f>
        <v>5301</v>
      </c>
      <c r="M20" s="15">
        <f t="shared" si="0"/>
        <v>5301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1.9417582417582417</v>
      </c>
      <c r="AC20" s="9">
        <f t="shared" si="5"/>
        <v>1</v>
      </c>
      <c r="AD20" s="10">
        <f>AC20*AB20*(1-O20)</f>
        <v>1.9417582417582417</v>
      </c>
      <c r="AE20" s="36">
        <f t="shared" si="7"/>
        <v>0.49635989010989012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0.49635989010989012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930400</v>
      </c>
      <c r="J22" s="19">
        <f t="shared" si="10"/>
        <v>162491</v>
      </c>
      <c r="K22" s="20">
        <f t="shared" si="10"/>
        <v>793950</v>
      </c>
      <c r="L22" s="21">
        <f t="shared" si="10"/>
        <v>116941</v>
      </c>
      <c r="M22" s="20">
        <f t="shared" si="10"/>
        <v>116941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168</v>
      </c>
      <c r="Q22" s="43">
        <f t="shared" si="11"/>
        <v>216</v>
      </c>
      <c r="R22" s="23">
        <f t="shared" si="11"/>
        <v>0</v>
      </c>
      <c r="S22" s="24">
        <f t="shared" si="11"/>
        <v>48</v>
      </c>
      <c r="T22" s="24">
        <f t="shared" si="11"/>
        <v>0</v>
      </c>
      <c r="U22" s="24">
        <f t="shared" si="11"/>
        <v>0</v>
      </c>
      <c r="V22" s="25">
        <f t="shared" si="11"/>
        <v>24</v>
      </c>
      <c r="W22" s="26">
        <f t="shared" si="11"/>
        <v>96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0.49635989010989012</v>
      </c>
      <c r="AC22" s="4">
        <f>AVERAGE(AC6:AC21)</f>
        <v>0.4375</v>
      </c>
      <c r="AD22" s="4">
        <f>AVERAGE(AD6:AD21)</f>
        <v>0.49635989010989012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519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520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408" t="s">
        <v>46</v>
      </c>
      <c r="D51" s="408" t="s">
        <v>47</v>
      </c>
      <c r="E51" s="408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408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118</v>
      </c>
      <c r="B52" s="513"/>
      <c r="C52" s="407" t="s">
        <v>411</v>
      </c>
      <c r="D52" s="407" t="s">
        <v>115</v>
      </c>
      <c r="E52" s="404" t="s">
        <v>482</v>
      </c>
      <c r="F52" s="500" t="s">
        <v>130</v>
      </c>
      <c r="G52" s="501"/>
      <c r="H52" s="501"/>
      <c r="I52" s="501"/>
      <c r="J52" s="501"/>
      <c r="K52" s="501"/>
      <c r="L52" s="501"/>
      <c r="M52" s="502"/>
      <c r="N52" s="403" t="s">
        <v>118</v>
      </c>
      <c r="O52" s="401" t="s">
        <v>411</v>
      </c>
      <c r="P52" s="514" t="s">
        <v>115</v>
      </c>
      <c r="Q52" s="515"/>
      <c r="R52" s="514" t="s">
        <v>482</v>
      </c>
      <c r="S52" s="516"/>
      <c r="T52" s="516"/>
      <c r="U52" s="515"/>
      <c r="V52" s="487" t="s">
        <v>256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/>
      <c r="B53" s="513"/>
      <c r="C53" s="407"/>
      <c r="D53" s="407"/>
      <c r="E53" s="404"/>
      <c r="F53" s="500"/>
      <c r="G53" s="501"/>
      <c r="H53" s="501"/>
      <c r="I53" s="501"/>
      <c r="J53" s="501"/>
      <c r="K53" s="501"/>
      <c r="L53" s="501"/>
      <c r="M53" s="502"/>
      <c r="N53" s="403"/>
      <c r="O53" s="401"/>
      <c r="P53" s="514"/>
      <c r="Q53" s="515"/>
      <c r="R53" s="514"/>
      <c r="S53" s="516"/>
      <c r="T53" s="516"/>
      <c r="U53" s="515"/>
      <c r="V53" s="487"/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/>
      <c r="B54" s="513"/>
      <c r="C54" s="407"/>
      <c r="D54" s="407"/>
      <c r="E54" s="404"/>
      <c r="F54" s="500"/>
      <c r="G54" s="501"/>
      <c r="H54" s="501"/>
      <c r="I54" s="501"/>
      <c r="J54" s="501"/>
      <c r="K54" s="501"/>
      <c r="L54" s="501"/>
      <c r="M54" s="502"/>
      <c r="N54" s="403"/>
      <c r="O54" s="401"/>
      <c r="P54" s="514"/>
      <c r="Q54" s="515"/>
      <c r="R54" s="514"/>
      <c r="S54" s="516"/>
      <c r="T54" s="516"/>
      <c r="U54" s="515"/>
      <c r="V54" s="487"/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/>
      <c r="B55" s="513"/>
      <c r="C55" s="407"/>
      <c r="D55" s="407"/>
      <c r="E55" s="404"/>
      <c r="F55" s="500"/>
      <c r="G55" s="501"/>
      <c r="H55" s="501"/>
      <c r="I55" s="501"/>
      <c r="J55" s="501"/>
      <c r="K55" s="501"/>
      <c r="L55" s="501"/>
      <c r="M55" s="502"/>
      <c r="N55" s="403"/>
      <c r="O55" s="401"/>
      <c r="P55" s="514"/>
      <c r="Q55" s="515"/>
      <c r="R55" s="514"/>
      <c r="S55" s="516"/>
      <c r="T55" s="516"/>
      <c r="U55" s="515"/>
      <c r="V55" s="487"/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/>
      <c r="B56" s="513"/>
      <c r="C56" s="407"/>
      <c r="D56" s="407"/>
      <c r="E56" s="404"/>
      <c r="F56" s="500"/>
      <c r="G56" s="501"/>
      <c r="H56" s="501"/>
      <c r="I56" s="501"/>
      <c r="J56" s="501"/>
      <c r="K56" s="501"/>
      <c r="L56" s="501"/>
      <c r="M56" s="502"/>
      <c r="N56" s="403"/>
      <c r="O56" s="401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498"/>
      <c r="B57" s="499"/>
      <c r="C57" s="404"/>
      <c r="D57" s="404"/>
      <c r="E57" s="404"/>
      <c r="F57" s="500"/>
      <c r="G57" s="501"/>
      <c r="H57" s="501"/>
      <c r="I57" s="501"/>
      <c r="J57" s="501"/>
      <c r="K57" s="501"/>
      <c r="L57" s="501"/>
      <c r="M57" s="502"/>
      <c r="N57" s="403"/>
      <c r="O57" s="401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407"/>
      <c r="D58" s="407"/>
      <c r="E58" s="404"/>
      <c r="F58" s="500"/>
      <c r="G58" s="501"/>
      <c r="H58" s="501"/>
      <c r="I58" s="501"/>
      <c r="J58" s="501"/>
      <c r="K58" s="501"/>
      <c r="L58" s="501"/>
      <c r="M58" s="502"/>
      <c r="N58" s="403"/>
      <c r="O58" s="401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407"/>
      <c r="D59" s="407"/>
      <c r="E59" s="404"/>
      <c r="F59" s="500"/>
      <c r="G59" s="501"/>
      <c r="H59" s="501"/>
      <c r="I59" s="501"/>
      <c r="J59" s="501"/>
      <c r="K59" s="501"/>
      <c r="L59" s="501"/>
      <c r="M59" s="502"/>
      <c r="N59" s="403"/>
      <c r="O59" s="401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404"/>
      <c r="D60" s="404"/>
      <c r="E60" s="404"/>
      <c r="F60" s="500"/>
      <c r="G60" s="501"/>
      <c r="H60" s="501"/>
      <c r="I60" s="501"/>
      <c r="J60" s="501"/>
      <c r="K60" s="501"/>
      <c r="L60" s="501"/>
      <c r="M60" s="502"/>
      <c r="N60" s="403"/>
      <c r="O60" s="401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405"/>
      <c r="D61" s="406"/>
      <c r="E61" s="406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521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402" t="s">
        <v>2</v>
      </c>
      <c r="D63" s="402" t="s">
        <v>37</v>
      </c>
      <c r="E63" s="402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402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119</v>
      </c>
      <c r="D64" s="397"/>
      <c r="E64" s="400" t="s">
        <v>129</v>
      </c>
      <c r="F64" s="488" t="s">
        <v>522</v>
      </c>
      <c r="G64" s="489"/>
      <c r="H64" s="489"/>
      <c r="I64" s="489"/>
      <c r="J64" s="490"/>
      <c r="K64" s="476" t="s">
        <v>122</v>
      </c>
      <c r="L64" s="476"/>
      <c r="M64" s="51" t="s">
        <v>195</v>
      </c>
      <c r="N64" s="485" t="s">
        <v>190</v>
      </c>
      <c r="O64" s="485"/>
      <c r="P64" s="486">
        <v>200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118</v>
      </c>
      <c r="D65" s="397"/>
      <c r="E65" s="400" t="s">
        <v>127</v>
      </c>
      <c r="F65" s="488" t="s">
        <v>523</v>
      </c>
      <c r="G65" s="489"/>
      <c r="H65" s="489"/>
      <c r="I65" s="489"/>
      <c r="J65" s="490"/>
      <c r="K65" s="476" t="s">
        <v>524</v>
      </c>
      <c r="L65" s="476"/>
      <c r="M65" s="51" t="s">
        <v>247</v>
      </c>
      <c r="N65" s="485" t="s">
        <v>140</v>
      </c>
      <c r="O65" s="485"/>
      <c r="P65" s="486">
        <v>150</v>
      </c>
      <c r="Q65" s="486"/>
      <c r="R65" s="487" t="s">
        <v>525</v>
      </c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397"/>
      <c r="E66" s="400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397"/>
      <c r="E67" s="400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397"/>
      <c r="E68" s="400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397"/>
      <c r="E69" s="400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397"/>
      <c r="E70" s="400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397"/>
      <c r="E71" s="400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397"/>
      <c r="E72" s="400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397"/>
      <c r="E73" s="400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526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399" t="s">
        <v>2</v>
      </c>
      <c r="D75" s="399" t="s">
        <v>37</v>
      </c>
      <c r="E75" s="399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398" t="s">
        <v>112</v>
      </c>
      <c r="D76" s="398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397"/>
      <c r="D77" s="397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397"/>
      <c r="D78" s="397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397"/>
      <c r="D79" s="397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397"/>
      <c r="D80" s="397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397"/>
      <c r="D81" s="397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397"/>
      <c r="D82" s="397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527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2"/>
      <c r="U85" s="452"/>
      <c r="V85" s="453"/>
      <c r="W85" s="453"/>
      <c r="X85" s="453"/>
      <c r="Y85" s="454"/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767B-17B2-4B5E-BBE0-AD3DBFC68365}">
  <dimension ref="A1:AF87"/>
  <sheetViews>
    <sheetView view="pageBreakPreview" zoomScale="70" zoomScaleNormal="72" zoomScaleSheetLayoutView="70" workbookViewId="0">
      <selection activeCell="L19" sqref="L1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528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409" t="s">
        <v>17</v>
      </c>
      <c r="L5" s="409" t="s">
        <v>18</v>
      </c>
      <c r="M5" s="409" t="s">
        <v>19</v>
      </c>
      <c r="N5" s="40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/>
      <c r="E6" s="53" t="s">
        <v>414</v>
      </c>
      <c r="F6" s="12" t="s">
        <v>156</v>
      </c>
      <c r="G6" s="12">
        <v>2</v>
      </c>
      <c r="H6" s="13">
        <v>24</v>
      </c>
      <c r="I6" s="31">
        <v>23500</v>
      </c>
      <c r="J6" s="14">
        <v>5160</v>
      </c>
      <c r="K6" s="15">
        <f>L6+9388+9240+10442+5160</f>
        <v>34230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6.25E-2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2421</v>
      </c>
      <c r="K7" s="15">
        <f>L7+3683+2801+972+5614+6047+6028+2698+3397+3300+6010+4686+5374+5266+2421</f>
        <v>58297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6.25E-2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118</v>
      </c>
      <c r="D8" s="52" t="s">
        <v>115</v>
      </c>
      <c r="E8" s="53" t="s">
        <v>482</v>
      </c>
      <c r="F8" s="30" t="s">
        <v>128</v>
      </c>
      <c r="G8" s="33">
        <v>1</v>
      </c>
      <c r="H8" s="35">
        <v>24</v>
      </c>
      <c r="I8" s="7">
        <v>13000</v>
      </c>
      <c r="J8" s="14">
        <v>2500</v>
      </c>
      <c r="K8" s="15">
        <f>L8+2807+1599+5435</f>
        <v>12341</v>
      </c>
      <c r="L8" s="15">
        <v>2500</v>
      </c>
      <c r="M8" s="15">
        <f t="shared" si="0"/>
        <v>2500</v>
      </c>
      <c r="N8" s="15">
        <v>0</v>
      </c>
      <c r="O8" s="58">
        <f t="shared" si="1"/>
        <v>0</v>
      </c>
      <c r="P8" s="39">
        <f t="shared" si="2"/>
        <v>12</v>
      </c>
      <c r="Q8" s="40">
        <f t="shared" si="3"/>
        <v>12</v>
      </c>
      <c r="R8" s="7"/>
      <c r="S8" s="6"/>
      <c r="T8" s="16"/>
      <c r="U8" s="16"/>
      <c r="V8" s="17">
        <v>12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0.5</v>
      </c>
      <c r="AD8" s="10">
        <f t="shared" si="6"/>
        <v>0.5</v>
      </c>
      <c r="AE8" s="36">
        <f t="shared" si="7"/>
        <v>6.25E-2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463</v>
      </c>
      <c r="E9" s="53" t="s">
        <v>464</v>
      </c>
      <c r="F9" s="30" t="s">
        <v>477</v>
      </c>
      <c r="G9" s="33">
        <v>10</v>
      </c>
      <c r="H9" s="35">
        <v>24</v>
      </c>
      <c r="I9" s="7">
        <f>150000+250000</f>
        <v>400000</v>
      </c>
      <c r="J9" s="5">
        <v>83080</v>
      </c>
      <c r="K9" s="15">
        <f>L9+52210+54460+33320+83080</f>
        <v>223070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>
        <v>24</v>
      </c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>AC9*AB9*(1-O9)</f>
        <v>0</v>
      </c>
      <c r="AE9" s="36">
        <f t="shared" si="7"/>
        <v>6.25E-2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169</v>
      </c>
      <c r="F10" s="30" t="s">
        <v>158</v>
      </c>
      <c r="G10" s="33">
        <v>1</v>
      </c>
      <c r="H10" s="35">
        <v>24</v>
      </c>
      <c r="I10" s="7">
        <v>40000</v>
      </c>
      <c r="J10" s="14">
        <v>3000</v>
      </c>
      <c r="K10" s="15">
        <f>L10+3094+5826+6359</f>
        <v>18279</v>
      </c>
      <c r="L10" s="15">
        <v>3000</v>
      </c>
      <c r="M10" s="15">
        <f t="shared" si="0"/>
        <v>3000</v>
      </c>
      <c r="N10" s="15">
        <v>0</v>
      </c>
      <c r="O10" s="58">
        <f t="shared" si="1"/>
        <v>0</v>
      </c>
      <c r="P10" s="39">
        <f t="shared" si="2"/>
        <v>12</v>
      </c>
      <c r="Q10" s="40">
        <f t="shared" si="3"/>
        <v>12</v>
      </c>
      <c r="R10" s="7"/>
      <c r="S10" s="6"/>
      <c r="T10" s="16"/>
      <c r="U10" s="16"/>
      <c r="V10" s="17">
        <v>12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</v>
      </c>
      <c r="AD10" s="10">
        <f t="shared" ref="AD10:AD14" si="9">AC10*AB10*(1-O10)</f>
        <v>0.5</v>
      </c>
      <c r="AE10" s="36">
        <f t="shared" si="7"/>
        <v>6.25E-2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336</v>
      </c>
      <c r="D11" s="52" t="s">
        <v>337</v>
      </c>
      <c r="E11" s="53" t="s">
        <v>338</v>
      </c>
      <c r="F11" s="30" t="s">
        <v>478</v>
      </c>
      <c r="G11" s="33">
        <v>3</v>
      </c>
      <c r="H11" s="35">
        <v>24</v>
      </c>
      <c r="I11" s="7">
        <v>6000</v>
      </c>
      <c r="J11" s="14">
        <v>10456</v>
      </c>
      <c r="K11" s="15">
        <f>L11+14673+14103+10456</f>
        <v>39232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6.25E-2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452</v>
      </c>
      <c r="F12" s="30" t="s">
        <v>200</v>
      </c>
      <c r="G12" s="12">
        <v>1</v>
      </c>
      <c r="H12" s="13">
        <v>20</v>
      </c>
      <c r="I12" s="31">
        <v>4000</v>
      </c>
      <c r="J12" s="5">
        <v>4017</v>
      </c>
      <c r="K12" s="15">
        <f>L12+2779+4017</f>
        <v>6796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6.25E-2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506</v>
      </c>
      <c r="E13" s="53" t="s">
        <v>507</v>
      </c>
      <c r="F13" s="30" t="s">
        <v>508</v>
      </c>
      <c r="G13" s="12">
        <v>1</v>
      </c>
      <c r="H13" s="13">
        <v>28</v>
      </c>
      <c r="I13" s="31">
        <v>500</v>
      </c>
      <c r="J13" s="5">
        <v>650</v>
      </c>
      <c r="K13" s="15">
        <f>L13+650</f>
        <v>650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6.25E-2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468</v>
      </c>
      <c r="F14" s="30" t="s">
        <v>128</v>
      </c>
      <c r="G14" s="33">
        <v>1</v>
      </c>
      <c r="H14" s="35">
        <v>60</v>
      </c>
      <c r="I14" s="7">
        <v>300</v>
      </c>
      <c r="J14" s="5">
        <v>241</v>
      </c>
      <c r="K14" s="15">
        <f>L14+120+241</f>
        <v>361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6.25E-2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5080</v>
      </c>
      <c r="K15" s="15">
        <f>L15+2898+5234+1444+2583+5198+5277+2596+3070+5080</f>
        <v>33380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6.25E-2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144</v>
      </c>
      <c r="E16" s="53" t="s">
        <v>402</v>
      </c>
      <c r="F16" s="30" t="s">
        <v>409</v>
      </c>
      <c r="G16" s="12">
        <v>1</v>
      </c>
      <c r="H16" s="13">
        <v>24</v>
      </c>
      <c r="I16" s="7">
        <v>33000</v>
      </c>
      <c r="J16" s="14">
        <v>5712</v>
      </c>
      <c r="K16" s="15">
        <f>L16+3599+5250+5336+5402+5766+5931+3420+5712</f>
        <v>40416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6.25E-2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434</v>
      </c>
      <c r="F17" s="30" t="s">
        <v>445</v>
      </c>
      <c r="G17" s="12">
        <v>1</v>
      </c>
      <c r="H17" s="13">
        <v>24</v>
      </c>
      <c r="I17" s="7">
        <v>1000</v>
      </c>
      <c r="J17" s="14">
        <v>1088</v>
      </c>
      <c r="K17" s="15">
        <f>L17+1088</f>
        <v>1088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6.25E-2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416</v>
      </c>
      <c r="F18" s="30" t="s">
        <v>128</v>
      </c>
      <c r="G18" s="33">
        <v>1</v>
      </c>
      <c r="H18" s="35">
        <v>24</v>
      </c>
      <c r="I18" s="7">
        <v>30000</v>
      </c>
      <c r="J18" s="14">
        <v>5974</v>
      </c>
      <c r="K18" s="15">
        <f>L18+5205+5220+5357+5490+4105+5456+5974</f>
        <v>36807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>
        <v>24</v>
      </c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6.25E-2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494</v>
      </c>
      <c r="E19" s="53">
        <v>3159016</v>
      </c>
      <c r="F19" s="30" t="s">
        <v>424</v>
      </c>
      <c r="G19" s="33">
        <v>4</v>
      </c>
      <c r="H19" s="35">
        <v>24</v>
      </c>
      <c r="I19" s="7">
        <v>2600</v>
      </c>
      <c r="J19" s="14">
        <v>20084</v>
      </c>
      <c r="K19" s="15">
        <f>L19+20084</f>
        <v>20084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6.25E-2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121</v>
      </c>
      <c r="D20" s="52"/>
      <c r="E20" s="53" t="s">
        <v>381</v>
      </c>
      <c r="F20" s="30" t="s">
        <v>394</v>
      </c>
      <c r="G20" s="12">
        <v>1</v>
      </c>
      <c r="H20" s="13">
        <v>28</v>
      </c>
      <c r="I20" s="31">
        <v>7500</v>
      </c>
      <c r="J20" s="5">
        <v>2730</v>
      </c>
      <c r="K20" s="15">
        <f>L20+2730+5301</f>
        <v>8031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>AC20*AB20*(1-O20)</f>
        <v>0</v>
      </c>
      <c r="AE20" s="36">
        <f t="shared" si="7"/>
        <v>6.25E-2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6.25E-2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930400</v>
      </c>
      <c r="J22" s="19">
        <f t="shared" si="10"/>
        <v>156197</v>
      </c>
      <c r="K22" s="20">
        <f t="shared" si="10"/>
        <v>799450</v>
      </c>
      <c r="L22" s="21">
        <f t="shared" si="10"/>
        <v>5500</v>
      </c>
      <c r="M22" s="20">
        <f t="shared" si="10"/>
        <v>5500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24</v>
      </c>
      <c r="Q22" s="43">
        <f t="shared" si="11"/>
        <v>360</v>
      </c>
      <c r="R22" s="23">
        <f t="shared" si="11"/>
        <v>0</v>
      </c>
      <c r="S22" s="24">
        <f t="shared" si="11"/>
        <v>48</v>
      </c>
      <c r="T22" s="24">
        <f t="shared" si="11"/>
        <v>0</v>
      </c>
      <c r="U22" s="24">
        <f t="shared" si="11"/>
        <v>0</v>
      </c>
      <c r="V22" s="25">
        <f t="shared" si="11"/>
        <v>168</v>
      </c>
      <c r="W22" s="26">
        <f t="shared" si="11"/>
        <v>96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0.125</v>
      </c>
      <c r="AC22" s="4">
        <f>AVERAGE(AC6:AC21)</f>
        <v>6.25E-2</v>
      </c>
      <c r="AD22" s="4">
        <f>AVERAGE(AD6:AD21)</f>
        <v>6.25E-2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529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535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408" t="s">
        <v>46</v>
      </c>
      <c r="D51" s="408" t="s">
        <v>47</v>
      </c>
      <c r="E51" s="408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408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118</v>
      </c>
      <c r="B52" s="513"/>
      <c r="C52" s="407" t="s">
        <v>411</v>
      </c>
      <c r="D52" s="407" t="s">
        <v>115</v>
      </c>
      <c r="E52" s="404" t="s">
        <v>482</v>
      </c>
      <c r="F52" s="500" t="s">
        <v>530</v>
      </c>
      <c r="G52" s="501"/>
      <c r="H52" s="501"/>
      <c r="I52" s="501"/>
      <c r="J52" s="501"/>
      <c r="K52" s="501"/>
      <c r="L52" s="501"/>
      <c r="M52" s="502"/>
      <c r="N52" s="403" t="s">
        <v>118</v>
      </c>
      <c r="O52" s="401" t="s">
        <v>306</v>
      </c>
      <c r="P52" s="514" t="s">
        <v>129</v>
      </c>
      <c r="Q52" s="515"/>
      <c r="R52" s="514" t="s">
        <v>169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118</v>
      </c>
      <c r="B53" s="513"/>
      <c r="C53" s="407" t="s">
        <v>531</v>
      </c>
      <c r="D53" s="407" t="s">
        <v>532</v>
      </c>
      <c r="E53" s="404" t="s">
        <v>533</v>
      </c>
      <c r="F53" s="500" t="s">
        <v>534</v>
      </c>
      <c r="G53" s="501"/>
      <c r="H53" s="501"/>
      <c r="I53" s="501"/>
      <c r="J53" s="501"/>
      <c r="K53" s="501"/>
      <c r="L53" s="501"/>
      <c r="M53" s="502"/>
      <c r="N53" s="403" t="s">
        <v>538</v>
      </c>
      <c r="O53" s="401" t="s">
        <v>539</v>
      </c>
      <c r="P53" s="514" t="s">
        <v>540</v>
      </c>
      <c r="Q53" s="515"/>
      <c r="R53" s="514" t="s">
        <v>536</v>
      </c>
      <c r="S53" s="516"/>
      <c r="T53" s="516"/>
      <c r="U53" s="515"/>
      <c r="V53" s="487" t="s">
        <v>537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/>
      <c r="B54" s="513"/>
      <c r="C54" s="407"/>
      <c r="D54" s="407"/>
      <c r="E54" s="404"/>
      <c r="F54" s="500"/>
      <c r="G54" s="501"/>
      <c r="H54" s="501"/>
      <c r="I54" s="501"/>
      <c r="J54" s="501"/>
      <c r="K54" s="501"/>
      <c r="L54" s="501"/>
      <c r="M54" s="502"/>
      <c r="N54" s="403" t="s">
        <v>541</v>
      </c>
      <c r="O54" s="401" t="s">
        <v>542</v>
      </c>
      <c r="P54" s="514" t="s">
        <v>543</v>
      </c>
      <c r="Q54" s="515"/>
      <c r="R54" s="514" t="s">
        <v>544</v>
      </c>
      <c r="S54" s="516"/>
      <c r="T54" s="516"/>
      <c r="U54" s="515"/>
      <c r="V54" s="487" t="s">
        <v>537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/>
      <c r="B55" s="513"/>
      <c r="C55" s="407"/>
      <c r="D55" s="407"/>
      <c r="E55" s="404"/>
      <c r="F55" s="500"/>
      <c r="G55" s="501"/>
      <c r="H55" s="501"/>
      <c r="I55" s="501"/>
      <c r="J55" s="501"/>
      <c r="K55" s="501"/>
      <c r="L55" s="501"/>
      <c r="M55" s="502"/>
      <c r="N55" s="403"/>
      <c r="O55" s="401"/>
      <c r="P55" s="514"/>
      <c r="Q55" s="515"/>
      <c r="R55" s="514"/>
      <c r="S55" s="516"/>
      <c r="T55" s="516"/>
      <c r="U55" s="515"/>
      <c r="V55" s="487"/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/>
      <c r="B56" s="513"/>
      <c r="C56" s="407"/>
      <c r="D56" s="407"/>
      <c r="E56" s="404"/>
      <c r="F56" s="500"/>
      <c r="G56" s="501"/>
      <c r="H56" s="501"/>
      <c r="I56" s="501"/>
      <c r="J56" s="501"/>
      <c r="K56" s="501"/>
      <c r="L56" s="501"/>
      <c r="M56" s="502"/>
      <c r="N56" s="403"/>
      <c r="O56" s="401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498"/>
      <c r="B57" s="499"/>
      <c r="C57" s="404"/>
      <c r="D57" s="404"/>
      <c r="E57" s="404"/>
      <c r="F57" s="500"/>
      <c r="G57" s="501"/>
      <c r="H57" s="501"/>
      <c r="I57" s="501"/>
      <c r="J57" s="501"/>
      <c r="K57" s="501"/>
      <c r="L57" s="501"/>
      <c r="M57" s="502"/>
      <c r="N57" s="403"/>
      <c r="O57" s="401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407"/>
      <c r="D58" s="407"/>
      <c r="E58" s="404"/>
      <c r="F58" s="500"/>
      <c r="G58" s="501"/>
      <c r="H58" s="501"/>
      <c r="I58" s="501"/>
      <c r="J58" s="501"/>
      <c r="K58" s="501"/>
      <c r="L58" s="501"/>
      <c r="M58" s="502"/>
      <c r="N58" s="403"/>
      <c r="O58" s="401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407"/>
      <c r="D59" s="407"/>
      <c r="E59" s="404"/>
      <c r="F59" s="500"/>
      <c r="G59" s="501"/>
      <c r="H59" s="501"/>
      <c r="I59" s="501"/>
      <c r="J59" s="501"/>
      <c r="K59" s="501"/>
      <c r="L59" s="501"/>
      <c r="M59" s="502"/>
      <c r="N59" s="403"/>
      <c r="O59" s="401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404"/>
      <c r="D60" s="404"/>
      <c r="E60" s="404"/>
      <c r="F60" s="500"/>
      <c r="G60" s="501"/>
      <c r="H60" s="501"/>
      <c r="I60" s="501"/>
      <c r="J60" s="501"/>
      <c r="K60" s="501"/>
      <c r="L60" s="501"/>
      <c r="M60" s="502"/>
      <c r="N60" s="403"/>
      <c r="O60" s="401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405"/>
      <c r="D61" s="406"/>
      <c r="E61" s="406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545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402" t="s">
        <v>2</v>
      </c>
      <c r="D63" s="402" t="s">
        <v>37</v>
      </c>
      <c r="E63" s="402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402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/>
      <c r="D64" s="397"/>
      <c r="E64" s="400"/>
      <c r="F64" s="488"/>
      <c r="G64" s="489"/>
      <c r="H64" s="489"/>
      <c r="I64" s="489"/>
      <c r="J64" s="490"/>
      <c r="K64" s="476"/>
      <c r="L64" s="476"/>
      <c r="M64" s="51"/>
      <c r="N64" s="485"/>
      <c r="O64" s="485"/>
      <c r="P64" s="486"/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/>
      <c r="D65" s="397"/>
      <c r="E65" s="400"/>
      <c r="F65" s="488"/>
      <c r="G65" s="489"/>
      <c r="H65" s="489"/>
      <c r="I65" s="489"/>
      <c r="J65" s="490"/>
      <c r="K65" s="476"/>
      <c r="L65" s="476"/>
      <c r="M65" s="51"/>
      <c r="N65" s="485"/>
      <c r="O65" s="48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397"/>
      <c r="E66" s="400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397"/>
      <c r="E67" s="400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397"/>
      <c r="E68" s="400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397"/>
      <c r="E69" s="400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397"/>
      <c r="E70" s="400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397"/>
      <c r="E71" s="400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397"/>
      <c r="E72" s="400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397"/>
      <c r="E73" s="400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546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399" t="s">
        <v>2</v>
      </c>
      <c r="D75" s="399" t="s">
        <v>37</v>
      </c>
      <c r="E75" s="399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398" t="s">
        <v>112</v>
      </c>
      <c r="D76" s="398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397"/>
      <c r="D77" s="397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397"/>
      <c r="D78" s="397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397"/>
      <c r="D79" s="397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397"/>
      <c r="D80" s="397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397"/>
      <c r="D81" s="397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397"/>
      <c r="D82" s="397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547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2"/>
      <c r="U85" s="452"/>
      <c r="V85" s="453"/>
      <c r="W85" s="453"/>
      <c r="X85" s="453"/>
      <c r="Y85" s="454"/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6945-6739-4EB9-B38B-161C7B81CF27}">
  <dimension ref="A1:AF87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548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422" t="s">
        <v>17</v>
      </c>
      <c r="L5" s="422" t="s">
        <v>18</v>
      </c>
      <c r="M5" s="422" t="s">
        <v>19</v>
      </c>
      <c r="N5" s="42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/>
      <c r="E6" s="53" t="s">
        <v>414</v>
      </c>
      <c r="F6" s="12" t="s">
        <v>156</v>
      </c>
      <c r="G6" s="12">
        <v>2</v>
      </c>
      <c r="H6" s="13">
        <v>24</v>
      </c>
      <c r="I6" s="31">
        <v>23500</v>
      </c>
      <c r="J6" s="14">
        <v>5160</v>
      </c>
      <c r="K6" s="15">
        <f>L6+9388+9240+10442+5160</f>
        <v>34230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0.37239583333333337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2421</v>
      </c>
      <c r="K7" s="15">
        <f>L7+3683+2801+972+5614+6047+6028+2698+3397+3300+6010+4686+5374+5266+2421</f>
        <v>58297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0.37239583333333337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118</v>
      </c>
      <c r="D8" s="52" t="s">
        <v>115</v>
      </c>
      <c r="E8" s="53" t="s">
        <v>482</v>
      </c>
      <c r="F8" s="30" t="s">
        <v>128</v>
      </c>
      <c r="G8" s="33">
        <v>1</v>
      </c>
      <c r="H8" s="35">
        <v>24</v>
      </c>
      <c r="I8" s="7">
        <v>13000</v>
      </c>
      <c r="J8" s="14">
        <v>3414</v>
      </c>
      <c r="K8" s="15">
        <f>L8+2807+1599+5435+2500</f>
        <v>15755</v>
      </c>
      <c r="L8" s="15">
        <f>1624+1790</f>
        <v>3414</v>
      </c>
      <c r="M8" s="15">
        <f t="shared" si="0"/>
        <v>3414</v>
      </c>
      <c r="N8" s="15">
        <v>0</v>
      </c>
      <c r="O8" s="58">
        <f t="shared" si="1"/>
        <v>0</v>
      </c>
      <c r="P8" s="39">
        <f t="shared" si="2"/>
        <v>17</v>
      </c>
      <c r="Q8" s="40">
        <f t="shared" si="3"/>
        <v>7</v>
      </c>
      <c r="R8" s="7"/>
      <c r="S8" s="6">
        <v>7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0.70833333333333337</v>
      </c>
      <c r="AD8" s="10">
        <f t="shared" si="6"/>
        <v>0.70833333333333337</v>
      </c>
      <c r="AE8" s="36">
        <f t="shared" si="7"/>
        <v>0.37239583333333337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463</v>
      </c>
      <c r="E9" s="53" t="s">
        <v>464</v>
      </c>
      <c r="F9" s="30" t="s">
        <v>477</v>
      </c>
      <c r="G9" s="33">
        <v>10</v>
      </c>
      <c r="H9" s="35">
        <v>24</v>
      </c>
      <c r="I9" s="7">
        <f>150000+250000</f>
        <v>400000</v>
      </c>
      <c r="J9" s="5">
        <v>68690</v>
      </c>
      <c r="K9" s="15">
        <f>L9+52210+54460+33320+83080</f>
        <v>291760</v>
      </c>
      <c r="L9" s="15">
        <f>3833*10+3036*10</f>
        <v>68690</v>
      </c>
      <c r="M9" s="15">
        <f t="shared" si="0"/>
        <v>68690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>AC9*AB9*(1-O9)</f>
        <v>1</v>
      </c>
      <c r="AE9" s="36">
        <f t="shared" si="7"/>
        <v>0.37239583333333337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549</v>
      </c>
      <c r="F10" s="30" t="s">
        <v>158</v>
      </c>
      <c r="G10" s="33">
        <v>1</v>
      </c>
      <c r="H10" s="35">
        <v>24</v>
      </c>
      <c r="I10" s="7">
        <v>4000</v>
      </c>
      <c r="J10" s="14">
        <v>3571</v>
      </c>
      <c r="K10" s="15">
        <f>L10</f>
        <v>3571</v>
      </c>
      <c r="L10" s="15">
        <f>3571</f>
        <v>3571</v>
      </c>
      <c r="M10" s="15">
        <f t="shared" si="0"/>
        <v>3571</v>
      </c>
      <c r="N10" s="15">
        <v>0</v>
      </c>
      <c r="O10" s="58">
        <f t="shared" si="1"/>
        <v>0</v>
      </c>
      <c r="P10" s="39">
        <f t="shared" si="2"/>
        <v>18</v>
      </c>
      <c r="Q10" s="40">
        <f t="shared" si="3"/>
        <v>6</v>
      </c>
      <c r="R10" s="7"/>
      <c r="S10" s="6"/>
      <c r="T10" s="16">
        <v>6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0.75</v>
      </c>
      <c r="AD10" s="10">
        <f t="shared" ref="AD10:AD14" si="9">AC10*AB10*(1-O10)</f>
        <v>0.75</v>
      </c>
      <c r="AE10" s="36">
        <f t="shared" si="7"/>
        <v>0.37239583333333337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550</v>
      </c>
      <c r="E11" s="53" t="s">
        <v>536</v>
      </c>
      <c r="F11" s="30" t="s">
        <v>145</v>
      </c>
      <c r="G11" s="33">
        <v>2</v>
      </c>
      <c r="H11" s="35">
        <v>24</v>
      </c>
      <c r="I11" s="7">
        <v>15000</v>
      </c>
      <c r="J11" s="14">
        <v>10456</v>
      </c>
      <c r="K11" s="15">
        <f>L11</f>
        <v>0</v>
      </c>
      <c r="L11" s="15">
        <f>0</f>
        <v>0</v>
      </c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0.37239583333333337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432</v>
      </c>
      <c r="D12" s="52" t="s">
        <v>115</v>
      </c>
      <c r="E12" s="53" t="s">
        <v>544</v>
      </c>
      <c r="F12" s="30" t="s">
        <v>283</v>
      </c>
      <c r="G12" s="12">
        <v>1</v>
      </c>
      <c r="H12" s="13">
        <v>22</v>
      </c>
      <c r="I12" s="31">
        <v>4500</v>
      </c>
      <c r="J12" s="5">
        <v>4017</v>
      </c>
      <c r="K12" s="15">
        <f>L12</f>
        <v>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0.37239583333333337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506</v>
      </c>
      <c r="E13" s="53" t="s">
        <v>507</v>
      </c>
      <c r="F13" s="30" t="s">
        <v>508</v>
      </c>
      <c r="G13" s="12">
        <v>1</v>
      </c>
      <c r="H13" s="13">
        <v>28</v>
      </c>
      <c r="I13" s="31">
        <v>500</v>
      </c>
      <c r="J13" s="5">
        <v>650</v>
      </c>
      <c r="K13" s="15">
        <f>L13+650</f>
        <v>650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0.37239583333333337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468</v>
      </c>
      <c r="F14" s="30" t="s">
        <v>128</v>
      </c>
      <c r="G14" s="33">
        <v>1</v>
      </c>
      <c r="H14" s="35">
        <v>60</v>
      </c>
      <c r="I14" s="7">
        <v>300</v>
      </c>
      <c r="J14" s="5">
        <v>241</v>
      </c>
      <c r="K14" s="15">
        <f>L14+120+241</f>
        <v>361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0.37239583333333337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5080</v>
      </c>
      <c r="K15" s="15">
        <f>L15+2898+5234+1444+2583+5198+5277+2596+3070+5080</f>
        <v>33380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0.37239583333333337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144</v>
      </c>
      <c r="E16" s="53" t="s">
        <v>402</v>
      </c>
      <c r="F16" s="30" t="s">
        <v>409</v>
      </c>
      <c r="G16" s="12">
        <v>1</v>
      </c>
      <c r="H16" s="13">
        <v>24</v>
      </c>
      <c r="I16" s="7">
        <v>33000</v>
      </c>
      <c r="J16" s="14">
        <v>5574</v>
      </c>
      <c r="K16" s="15">
        <f>L16+3599+5250+5336+5402+5766+5931+3420+5712</f>
        <v>45990</v>
      </c>
      <c r="L16" s="15">
        <f>2978+2596</f>
        <v>5574</v>
      </c>
      <c r="M16" s="15">
        <f t="shared" si="0"/>
        <v>5574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0.37239583333333337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434</v>
      </c>
      <c r="F17" s="30" t="s">
        <v>445</v>
      </c>
      <c r="G17" s="12">
        <v>1</v>
      </c>
      <c r="H17" s="13">
        <v>24</v>
      </c>
      <c r="I17" s="7">
        <v>1000</v>
      </c>
      <c r="J17" s="14">
        <v>1088</v>
      </c>
      <c r="K17" s="15">
        <f>L17+1088</f>
        <v>1088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0.37239583333333337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416</v>
      </c>
      <c r="F18" s="30" t="s">
        <v>128</v>
      </c>
      <c r="G18" s="33">
        <v>1</v>
      </c>
      <c r="H18" s="35">
        <v>24</v>
      </c>
      <c r="I18" s="7">
        <v>30000</v>
      </c>
      <c r="J18" s="14">
        <v>5581</v>
      </c>
      <c r="K18" s="15">
        <f>L18+5205+5220+5357+5490+4105+5456+5974</f>
        <v>42388</v>
      </c>
      <c r="L18" s="15">
        <f>2967+2614</f>
        <v>5581</v>
      </c>
      <c r="M18" s="15">
        <f t="shared" si="0"/>
        <v>5581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0.37239583333333337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551</v>
      </c>
      <c r="E19" s="53">
        <v>3107002</v>
      </c>
      <c r="F19" s="30" t="s">
        <v>409</v>
      </c>
      <c r="G19" s="33">
        <v>1</v>
      </c>
      <c r="H19" s="35">
        <v>24</v>
      </c>
      <c r="I19" s="7">
        <v>500</v>
      </c>
      <c r="J19" s="14">
        <v>4145</v>
      </c>
      <c r="K19" s="15">
        <f>L19</f>
        <v>4145</v>
      </c>
      <c r="L19" s="15">
        <f>1357+2788</f>
        <v>4145</v>
      </c>
      <c r="M19" s="15">
        <f t="shared" si="0"/>
        <v>4145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/>
      <c r="T19" s="16">
        <v>4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0.37239583333333337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121</v>
      </c>
      <c r="D20" s="52"/>
      <c r="E20" s="53" t="s">
        <v>381</v>
      </c>
      <c r="F20" s="30" t="s">
        <v>394</v>
      </c>
      <c r="G20" s="12">
        <v>1</v>
      </c>
      <c r="H20" s="13">
        <v>28</v>
      </c>
      <c r="I20" s="31">
        <v>7500</v>
      </c>
      <c r="J20" s="5">
        <v>3143</v>
      </c>
      <c r="K20" s="15">
        <f>L20+2730+5301</f>
        <v>11174</v>
      </c>
      <c r="L20" s="15">
        <f>2483+660</f>
        <v>3143</v>
      </c>
      <c r="M20" s="15">
        <f t="shared" si="0"/>
        <v>3143</v>
      </c>
      <c r="N20" s="15">
        <v>0</v>
      </c>
      <c r="O20" s="58">
        <f t="shared" si="1"/>
        <v>0</v>
      </c>
      <c r="P20" s="39">
        <f t="shared" si="2"/>
        <v>16</v>
      </c>
      <c r="Q20" s="40">
        <f t="shared" si="3"/>
        <v>8</v>
      </c>
      <c r="R20" s="7"/>
      <c r="S20" s="6">
        <v>8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0.66666666666666663</v>
      </c>
      <c r="AD20" s="10">
        <f>AC20*AB20*(1-O20)</f>
        <v>0.66666666666666663</v>
      </c>
      <c r="AE20" s="36">
        <f t="shared" si="7"/>
        <v>0.37239583333333337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0.37239583333333337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901800</v>
      </c>
      <c r="J22" s="19">
        <f t="shared" si="10"/>
        <v>127235</v>
      </c>
      <c r="K22" s="20">
        <f t="shared" si="10"/>
        <v>809177</v>
      </c>
      <c r="L22" s="21">
        <f t="shared" si="10"/>
        <v>94118</v>
      </c>
      <c r="M22" s="20">
        <f t="shared" si="10"/>
        <v>94118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143</v>
      </c>
      <c r="Q22" s="43">
        <f t="shared" si="11"/>
        <v>241</v>
      </c>
      <c r="R22" s="23">
        <f t="shared" si="11"/>
        <v>0</v>
      </c>
      <c r="S22" s="24">
        <f t="shared" si="11"/>
        <v>87</v>
      </c>
      <c r="T22" s="24">
        <f t="shared" si="11"/>
        <v>10</v>
      </c>
      <c r="U22" s="24">
        <f t="shared" si="11"/>
        <v>0</v>
      </c>
      <c r="V22" s="25">
        <f t="shared" si="11"/>
        <v>48</v>
      </c>
      <c r="W22" s="26">
        <f t="shared" si="11"/>
        <v>72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0.4375</v>
      </c>
      <c r="AC22" s="4">
        <f>AVERAGE(AC6:AC21)</f>
        <v>0.37239583333333337</v>
      </c>
      <c r="AD22" s="4">
        <f>AVERAGE(AD6:AD21)</f>
        <v>0.37239583333333337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552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559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421" t="s">
        <v>46</v>
      </c>
      <c r="D51" s="421" t="s">
        <v>47</v>
      </c>
      <c r="E51" s="421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421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118</v>
      </c>
      <c r="B52" s="513"/>
      <c r="C52" s="420" t="s">
        <v>411</v>
      </c>
      <c r="D52" s="420" t="s">
        <v>115</v>
      </c>
      <c r="E52" s="417" t="s">
        <v>482</v>
      </c>
      <c r="F52" s="500" t="s">
        <v>553</v>
      </c>
      <c r="G52" s="501"/>
      <c r="H52" s="501"/>
      <c r="I52" s="501"/>
      <c r="J52" s="501"/>
      <c r="K52" s="501"/>
      <c r="L52" s="501"/>
      <c r="M52" s="502"/>
      <c r="N52" s="416" t="s">
        <v>432</v>
      </c>
      <c r="O52" s="414" t="s">
        <v>190</v>
      </c>
      <c r="P52" s="514" t="s">
        <v>115</v>
      </c>
      <c r="Q52" s="515"/>
      <c r="R52" s="514" t="s">
        <v>544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118</v>
      </c>
      <c r="B53" s="513"/>
      <c r="C53" s="420" t="s">
        <v>306</v>
      </c>
      <c r="D53" s="420" t="s">
        <v>129</v>
      </c>
      <c r="E53" s="417" t="s">
        <v>554</v>
      </c>
      <c r="F53" s="500" t="s">
        <v>141</v>
      </c>
      <c r="G53" s="501"/>
      <c r="H53" s="501"/>
      <c r="I53" s="501"/>
      <c r="J53" s="501"/>
      <c r="K53" s="501"/>
      <c r="L53" s="501"/>
      <c r="M53" s="502"/>
      <c r="N53" s="416" t="s">
        <v>119</v>
      </c>
      <c r="O53" s="414" t="s">
        <v>332</v>
      </c>
      <c r="P53" s="514" t="s">
        <v>471</v>
      </c>
      <c r="Q53" s="515"/>
      <c r="R53" s="514" t="s">
        <v>536</v>
      </c>
      <c r="S53" s="516"/>
      <c r="T53" s="516"/>
      <c r="U53" s="515"/>
      <c r="V53" s="487" t="s">
        <v>130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119</v>
      </c>
      <c r="B54" s="513"/>
      <c r="C54" s="420" t="s">
        <v>332</v>
      </c>
      <c r="D54" s="420" t="s">
        <v>550</v>
      </c>
      <c r="E54" s="417" t="s">
        <v>536</v>
      </c>
      <c r="F54" s="500" t="s">
        <v>555</v>
      </c>
      <c r="G54" s="501"/>
      <c r="H54" s="501"/>
      <c r="I54" s="501"/>
      <c r="J54" s="501"/>
      <c r="K54" s="501"/>
      <c r="L54" s="501"/>
      <c r="M54" s="502"/>
      <c r="N54" s="416" t="s">
        <v>118</v>
      </c>
      <c r="O54" s="414" t="s">
        <v>411</v>
      </c>
      <c r="P54" s="514" t="s">
        <v>115</v>
      </c>
      <c r="Q54" s="515"/>
      <c r="R54" s="514" t="s">
        <v>482</v>
      </c>
      <c r="S54" s="516"/>
      <c r="T54" s="516"/>
      <c r="U54" s="515"/>
      <c r="V54" s="487" t="s">
        <v>130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432</v>
      </c>
      <c r="B55" s="513"/>
      <c r="C55" s="420" t="s">
        <v>190</v>
      </c>
      <c r="D55" s="420" t="s">
        <v>115</v>
      </c>
      <c r="E55" s="417" t="s">
        <v>544</v>
      </c>
      <c r="F55" s="500" t="s">
        <v>556</v>
      </c>
      <c r="G55" s="501"/>
      <c r="H55" s="501"/>
      <c r="I55" s="501"/>
      <c r="J55" s="501"/>
      <c r="K55" s="501"/>
      <c r="L55" s="501"/>
      <c r="M55" s="502"/>
      <c r="N55" s="416" t="s">
        <v>432</v>
      </c>
      <c r="O55" s="414" t="s">
        <v>242</v>
      </c>
      <c r="P55" s="514" t="s">
        <v>115</v>
      </c>
      <c r="Q55" s="515"/>
      <c r="R55" s="514" t="s">
        <v>430</v>
      </c>
      <c r="S55" s="516"/>
      <c r="T55" s="516"/>
      <c r="U55" s="515"/>
      <c r="V55" s="487" t="s">
        <v>378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118</v>
      </c>
      <c r="B56" s="513"/>
      <c r="C56" s="420" t="s">
        <v>151</v>
      </c>
      <c r="D56" s="420" t="s">
        <v>551</v>
      </c>
      <c r="E56" s="417" t="s">
        <v>557</v>
      </c>
      <c r="F56" s="500" t="s">
        <v>141</v>
      </c>
      <c r="G56" s="501"/>
      <c r="H56" s="501"/>
      <c r="I56" s="501"/>
      <c r="J56" s="501"/>
      <c r="K56" s="501"/>
      <c r="L56" s="501"/>
      <c r="M56" s="502"/>
      <c r="N56" s="416"/>
      <c r="O56" s="414"/>
      <c r="P56" s="514"/>
      <c r="Q56" s="515"/>
      <c r="R56" s="514"/>
      <c r="S56" s="516"/>
      <c r="T56" s="516"/>
      <c r="U56" s="515"/>
      <c r="V56" s="487"/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498" t="s">
        <v>121</v>
      </c>
      <c r="B57" s="499"/>
      <c r="C57" s="417" t="s">
        <v>180</v>
      </c>
      <c r="D57" s="417"/>
      <c r="E57" s="417" t="s">
        <v>381</v>
      </c>
      <c r="F57" s="500" t="s">
        <v>558</v>
      </c>
      <c r="G57" s="501"/>
      <c r="H57" s="501"/>
      <c r="I57" s="501"/>
      <c r="J57" s="501"/>
      <c r="K57" s="501"/>
      <c r="L57" s="501"/>
      <c r="M57" s="502"/>
      <c r="N57" s="416"/>
      <c r="O57" s="414"/>
      <c r="P57" s="514"/>
      <c r="Q57" s="515"/>
      <c r="R57" s="514"/>
      <c r="S57" s="516"/>
      <c r="T57" s="516"/>
      <c r="U57" s="515"/>
      <c r="V57" s="487"/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/>
      <c r="B58" s="513"/>
      <c r="C58" s="420"/>
      <c r="D58" s="420"/>
      <c r="E58" s="417"/>
      <c r="F58" s="500"/>
      <c r="G58" s="501"/>
      <c r="H58" s="501"/>
      <c r="I58" s="501"/>
      <c r="J58" s="501"/>
      <c r="K58" s="501"/>
      <c r="L58" s="501"/>
      <c r="M58" s="502"/>
      <c r="N58" s="416"/>
      <c r="O58" s="414"/>
      <c r="P58" s="514"/>
      <c r="Q58" s="515"/>
      <c r="R58" s="499"/>
      <c r="S58" s="499"/>
      <c r="T58" s="499"/>
      <c r="U58" s="499"/>
      <c r="V58" s="487"/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420"/>
      <c r="D59" s="420"/>
      <c r="E59" s="417"/>
      <c r="F59" s="500"/>
      <c r="G59" s="501"/>
      <c r="H59" s="501"/>
      <c r="I59" s="501"/>
      <c r="J59" s="501"/>
      <c r="K59" s="501"/>
      <c r="L59" s="501"/>
      <c r="M59" s="502"/>
      <c r="N59" s="416"/>
      <c r="O59" s="414"/>
      <c r="P59" s="514"/>
      <c r="Q59" s="515"/>
      <c r="R59" s="499"/>
      <c r="S59" s="499"/>
      <c r="T59" s="499"/>
      <c r="U59" s="499"/>
      <c r="V59" s="487"/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417"/>
      <c r="D60" s="417"/>
      <c r="E60" s="417"/>
      <c r="F60" s="500"/>
      <c r="G60" s="501"/>
      <c r="H60" s="501"/>
      <c r="I60" s="501"/>
      <c r="J60" s="501"/>
      <c r="K60" s="501"/>
      <c r="L60" s="501"/>
      <c r="M60" s="502"/>
      <c r="N60" s="416"/>
      <c r="O60" s="414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418"/>
      <c r="D61" s="419"/>
      <c r="E61" s="419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560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415" t="s">
        <v>2</v>
      </c>
      <c r="D63" s="415" t="s">
        <v>37</v>
      </c>
      <c r="E63" s="415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415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118</v>
      </c>
      <c r="D64" s="410"/>
      <c r="E64" s="413" t="s">
        <v>127</v>
      </c>
      <c r="F64" s="488" t="s">
        <v>561</v>
      </c>
      <c r="G64" s="489"/>
      <c r="H64" s="489"/>
      <c r="I64" s="489"/>
      <c r="J64" s="490"/>
      <c r="K64" s="476" t="s">
        <v>562</v>
      </c>
      <c r="L64" s="476"/>
      <c r="M64" s="51" t="s">
        <v>195</v>
      </c>
      <c r="N64" s="485" t="s">
        <v>140</v>
      </c>
      <c r="O64" s="485"/>
      <c r="P64" s="486">
        <v>50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 t="s">
        <v>118</v>
      </c>
      <c r="D65" s="410"/>
      <c r="E65" s="413" t="s">
        <v>127</v>
      </c>
      <c r="F65" s="488" t="s">
        <v>472</v>
      </c>
      <c r="G65" s="489"/>
      <c r="H65" s="489"/>
      <c r="I65" s="489"/>
      <c r="J65" s="490"/>
      <c r="K65" s="476" t="s">
        <v>473</v>
      </c>
      <c r="L65" s="476"/>
      <c r="M65" s="51" t="s">
        <v>195</v>
      </c>
      <c r="N65" s="485" t="s">
        <v>371</v>
      </c>
      <c r="O65" s="485"/>
      <c r="P65" s="486">
        <v>50</v>
      </c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 t="s">
        <v>121</v>
      </c>
      <c r="D66" s="410"/>
      <c r="E66" s="413"/>
      <c r="F66" s="488" t="s">
        <v>563</v>
      </c>
      <c r="G66" s="489"/>
      <c r="H66" s="489"/>
      <c r="I66" s="489"/>
      <c r="J66" s="490"/>
      <c r="K66" s="476" t="s">
        <v>156</v>
      </c>
      <c r="L66" s="476"/>
      <c r="M66" s="51" t="s">
        <v>225</v>
      </c>
      <c r="N66" s="485" t="s">
        <v>269</v>
      </c>
      <c r="O66" s="485"/>
      <c r="P66" s="486">
        <v>50</v>
      </c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410"/>
      <c r="E67" s="413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410"/>
      <c r="E68" s="413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410"/>
      <c r="E69" s="413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410"/>
      <c r="E70" s="413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410"/>
      <c r="E71" s="413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410"/>
      <c r="E72" s="413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410"/>
      <c r="E73" s="413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564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412" t="s">
        <v>2</v>
      </c>
      <c r="D75" s="412" t="s">
        <v>37</v>
      </c>
      <c r="E75" s="412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411" t="s">
        <v>112</v>
      </c>
      <c r="D76" s="411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410"/>
      <c r="D77" s="410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410"/>
      <c r="D78" s="410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410"/>
      <c r="D79" s="410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410"/>
      <c r="D80" s="410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410"/>
      <c r="D81" s="410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410"/>
      <c r="D82" s="410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565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2"/>
      <c r="U85" s="452"/>
      <c r="V85" s="453"/>
      <c r="W85" s="453"/>
      <c r="X85" s="453"/>
      <c r="Y85" s="454"/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AFF2-8C2D-4AEF-A390-6A5B2B69FB7B}">
  <dimension ref="A1:AF87"/>
  <sheetViews>
    <sheetView tabSelected="1"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5" t="s">
        <v>566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46"/>
      <c r="B3" s="546"/>
      <c r="C3" s="546"/>
      <c r="D3" s="546"/>
      <c r="E3" s="546"/>
      <c r="F3" s="546"/>
      <c r="G3" s="5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47" t="s">
        <v>0</v>
      </c>
      <c r="B4" s="549" t="s">
        <v>1</v>
      </c>
      <c r="C4" s="549" t="s">
        <v>2</v>
      </c>
      <c r="D4" s="552" t="s">
        <v>3</v>
      </c>
      <c r="E4" s="554" t="s">
        <v>4</v>
      </c>
      <c r="F4" s="552" t="s">
        <v>5</v>
      </c>
      <c r="G4" s="549" t="s">
        <v>6</v>
      </c>
      <c r="H4" s="555" t="s">
        <v>7</v>
      </c>
      <c r="I4" s="535" t="s">
        <v>8</v>
      </c>
      <c r="J4" s="536"/>
      <c r="K4" s="536"/>
      <c r="L4" s="536"/>
      <c r="M4" s="536"/>
      <c r="N4" s="536"/>
      <c r="O4" s="537"/>
      <c r="P4" s="538" t="s">
        <v>9</v>
      </c>
      <c r="Q4" s="539"/>
      <c r="R4" s="540" t="s">
        <v>10</v>
      </c>
      <c r="S4" s="540"/>
      <c r="T4" s="540"/>
      <c r="U4" s="540"/>
      <c r="V4" s="540"/>
      <c r="W4" s="541" t="s">
        <v>11</v>
      </c>
      <c r="X4" s="540"/>
      <c r="Y4" s="540"/>
      <c r="Z4" s="540"/>
      <c r="AA4" s="542"/>
      <c r="AB4" s="543" t="s">
        <v>12</v>
      </c>
      <c r="AC4" s="517" t="s">
        <v>13</v>
      </c>
      <c r="AD4" s="517" t="s">
        <v>14</v>
      </c>
      <c r="AE4" s="54"/>
    </row>
    <row r="5" spans="1:32" ht="51" customHeight="1" thickBot="1">
      <c r="A5" s="548"/>
      <c r="B5" s="550"/>
      <c r="C5" s="551"/>
      <c r="D5" s="553"/>
      <c r="E5" s="553"/>
      <c r="F5" s="553"/>
      <c r="G5" s="550"/>
      <c r="H5" s="556"/>
      <c r="I5" s="55" t="s">
        <v>15</v>
      </c>
      <c r="J5" s="56" t="s">
        <v>16</v>
      </c>
      <c r="K5" s="423" t="s">
        <v>17</v>
      </c>
      <c r="L5" s="423" t="s">
        <v>18</v>
      </c>
      <c r="M5" s="423" t="s">
        <v>19</v>
      </c>
      <c r="N5" s="42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4"/>
      <c r="AC5" s="518"/>
      <c r="AD5" s="518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/>
      <c r="E6" s="53" t="s">
        <v>414</v>
      </c>
      <c r="F6" s="12" t="s">
        <v>156</v>
      </c>
      <c r="G6" s="12">
        <v>2</v>
      </c>
      <c r="H6" s="13">
        <v>24</v>
      </c>
      <c r="I6" s="31">
        <v>23500</v>
      </c>
      <c r="J6" s="14">
        <v>5160</v>
      </c>
      <c r="K6" s="15">
        <f>L6+9388+9240+10442+5160</f>
        <v>34230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0.4140625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119</v>
      </c>
      <c r="D7" s="52" t="s">
        <v>144</v>
      </c>
      <c r="E7" s="53" t="s">
        <v>161</v>
      </c>
      <c r="F7" s="12" t="s">
        <v>146</v>
      </c>
      <c r="G7" s="12">
        <v>1</v>
      </c>
      <c r="H7" s="13">
        <v>24</v>
      </c>
      <c r="I7" s="31">
        <v>50000</v>
      </c>
      <c r="J7" s="14">
        <v>2421</v>
      </c>
      <c r="K7" s="15">
        <f>L7+3683+2801+972+5614+6047+6028+2698+3397+3300+6010+4686+5374+5266+2421</f>
        <v>58297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0.4140625</v>
      </c>
      <c r="AF7" s="84">
        <f t="shared" si="8"/>
        <v>2</v>
      </c>
    </row>
    <row r="8" spans="1:32" ht="27" customHeight="1">
      <c r="A8" s="113">
        <v>3</v>
      </c>
      <c r="B8" s="11" t="s">
        <v>57</v>
      </c>
      <c r="C8" s="11" t="s">
        <v>118</v>
      </c>
      <c r="D8" s="52" t="s">
        <v>115</v>
      </c>
      <c r="E8" s="53" t="s">
        <v>482</v>
      </c>
      <c r="F8" s="30" t="s">
        <v>128</v>
      </c>
      <c r="G8" s="33">
        <v>1</v>
      </c>
      <c r="H8" s="35">
        <v>24</v>
      </c>
      <c r="I8" s="7">
        <v>13000</v>
      </c>
      <c r="J8" s="14">
        <v>2745</v>
      </c>
      <c r="K8" s="15">
        <f>L8+2807+1599+5435+2500+3414</f>
        <v>18500</v>
      </c>
      <c r="L8" s="15">
        <f>1089+1656</f>
        <v>2745</v>
      </c>
      <c r="M8" s="15">
        <f t="shared" si="0"/>
        <v>2745</v>
      </c>
      <c r="N8" s="15">
        <v>0</v>
      </c>
      <c r="O8" s="58">
        <f t="shared" si="1"/>
        <v>0</v>
      </c>
      <c r="P8" s="39">
        <f t="shared" si="2"/>
        <v>15</v>
      </c>
      <c r="Q8" s="40">
        <f t="shared" si="3"/>
        <v>9</v>
      </c>
      <c r="R8" s="7"/>
      <c r="S8" s="6">
        <v>9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0.625</v>
      </c>
      <c r="AD8" s="10">
        <f t="shared" si="6"/>
        <v>0.625</v>
      </c>
      <c r="AE8" s="36">
        <f t="shared" si="7"/>
        <v>0.4140625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463</v>
      </c>
      <c r="E9" s="53" t="s">
        <v>464</v>
      </c>
      <c r="F9" s="30" t="s">
        <v>477</v>
      </c>
      <c r="G9" s="33">
        <v>10</v>
      </c>
      <c r="H9" s="35">
        <v>24</v>
      </c>
      <c r="I9" s="7">
        <f>150000+250000</f>
        <v>400000</v>
      </c>
      <c r="J9" s="5">
        <v>69880</v>
      </c>
      <c r="K9" s="15">
        <f>L9+52210+54460+33320+83080+68690</f>
        <v>361640</v>
      </c>
      <c r="L9" s="15">
        <f>2977*10+4011*10</f>
        <v>69880</v>
      </c>
      <c r="M9" s="15">
        <f t="shared" si="0"/>
        <v>69880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>AC9*AB9*(1-O9)</f>
        <v>1</v>
      </c>
      <c r="AE9" s="36">
        <f t="shared" si="7"/>
        <v>0.4140625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129</v>
      </c>
      <c r="E10" s="53" t="s">
        <v>549</v>
      </c>
      <c r="F10" s="30" t="s">
        <v>158</v>
      </c>
      <c r="G10" s="33">
        <v>1</v>
      </c>
      <c r="H10" s="35">
        <v>24</v>
      </c>
      <c r="I10" s="7">
        <v>4000</v>
      </c>
      <c r="J10" s="14">
        <v>5144</v>
      </c>
      <c r="K10" s="15">
        <f>L10+3571</f>
        <v>8715</v>
      </c>
      <c r="L10" s="15">
        <f>1839+3305</f>
        <v>5144</v>
      </c>
      <c r="M10" s="15">
        <f t="shared" si="0"/>
        <v>5144</v>
      </c>
      <c r="N10" s="15">
        <v>0</v>
      </c>
      <c r="O10" s="58">
        <f t="shared" si="1"/>
        <v>0</v>
      </c>
      <c r="P10" s="39">
        <f t="shared" si="2"/>
        <v>21</v>
      </c>
      <c r="Q10" s="40">
        <f t="shared" si="3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0.875</v>
      </c>
      <c r="AD10" s="10">
        <f t="shared" ref="AD10:AD14" si="9">AC10*AB10*(1-O10)</f>
        <v>0.875</v>
      </c>
      <c r="AE10" s="36">
        <f t="shared" si="7"/>
        <v>0.4140625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550</v>
      </c>
      <c r="E11" s="53" t="s">
        <v>536</v>
      </c>
      <c r="F11" s="30" t="s">
        <v>145</v>
      </c>
      <c r="G11" s="33">
        <v>2</v>
      </c>
      <c r="H11" s="35">
        <v>24</v>
      </c>
      <c r="I11" s="7">
        <v>15000</v>
      </c>
      <c r="J11" s="14">
        <v>10616</v>
      </c>
      <c r="K11" s="15">
        <f>L11</f>
        <v>10616</v>
      </c>
      <c r="L11" s="15">
        <f>3266*2+2042*2</f>
        <v>10616</v>
      </c>
      <c r="M11" s="15">
        <f t="shared" si="0"/>
        <v>10616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si="9"/>
        <v>0.91666666666666663</v>
      </c>
      <c r="AE11" s="36">
        <f t="shared" si="7"/>
        <v>0.4140625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432</v>
      </c>
      <c r="D12" s="52" t="s">
        <v>115</v>
      </c>
      <c r="E12" s="53" t="s">
        <v>544</v>
      </c>
      <c r="F12" s="30" t="s">
        <v>283</v>
      </c>
      <c r="G12" s="12">
        <v>1</v>
      </c>
      <c r="H12" s="13">
        <v>22</v>
      </c>
      <c r="I12" s="31">
        <v>4500</v>
      </c>
      <c r="J12" s="5">
        <v>4017</v>
      </c>
      <c r="K12" s="15">
        <f>L12</f>
        <v>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0.4140625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506</v>
      </c>
      <c r="E13" s="53" t="s">
        <v>507</v>
      </c>
      <c r="F13" s="30" t="s">
        <v>508</v>
      </c>
      <c r="G13" s="12">
        <v>1</v>
      </c>
      <c r="H13" s="13">
        <v>28</v>
      </c>
      <c r="I13" s="31">
        <v>500</v>
      </c>
      <c r="J13" s="5">
        <v>650</v>
      </c>
      <c r="K13" s="15">
        <f>L13+650</f>
        <v>650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0.4140625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432</v>
      </c>
      <c r="D14" s="52" t="s">
        <v>115</v>
      </c>
      <c r="E14" s="53" t="s">
        <v>430</v>
      </c>
      <c r="F14" s="30" t="s">
        <v>385</v>
      </c>
      <c r="G14" s="33">
        <v>1</v>
      </c>
      <c r="H14" s="35">
        <v>60</v>
      </c>
      <c r="I14" s="7">
        <v>150</v>
      </c>
      <c r="J14" s="5">
        <v>308</v>
      </c>
      <c r="K14" s="15">
        <f>L14</f>
        <v>308</v>
      </c>
      <c r="L14" s="15">
        <v>308</v>
      </c>
      <c r="M14" s="15">
        <f t="shared" si="0"/>
        <v>308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9"/>
        <v>0.25</v>
      </c>
      <c r="AE14" s="36">
        <f t="shared" si="7"/>
        <v>0.4140625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127</v>
      </c>
      <c r="E15" s="53" t="s">
        <v>154</v>
      </c>
      <c r="F15" s="12" t="s">
        <v>156</v>
      </c>
      <c r="G15" s="12">
        <v>1</v>
      </c>
      <c r="H15" s="13">
        <v>24</v>
      </c>
      <c r="I15" s="31">
        <f>11500+7500</f>
        <v>19000</v>
      </c>
      <c r="J15" s="14">
        <v>5080</v>
      </c>
      <c r="K15" s="15">
        <f>L15+2898+5234+1444+2583+5198+5277+2596+3070+5080</f>
        <v>33380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0.4140625</v>
      </c>
      <c r="AF15" s="84">
        <f t="shared" si="8"/>
        <v>10</v>
      </c>
    </row>
    <row r="16" spans="1:32" ht="30" customHeight="1">
      <c r="A16" s="113">
        <v>11</v>
      </c>
      <c r="B16" s="11" t="s">
        <v>57</v>
      </c>
      <c r="C16" s="34" t="s">
        <v>118</v>
      </c>
      <c r="D16" s="52" t="s">
        <v>144</v>
      </c>
      <c r="E16" s="53" t="s">
        <v>402</v>
      </c>
      <c r="F16" s="30" t="s">
        <v>409</v>
      </c>
      <c r="G16" s="12">
        <v>1</v>
      </c>
      <c r="H16" s="13">
        <v>24</v>
      </c>
      <c r="I16" s="7">
        <v>33000</v>
      </c>
      <c r="J16" s="14">
        <v>5768</v>
      </c>
      <c r="K16" s="15">
        <f>L16+3599+5250+5336+5402+5766+5931+3420+5712+5574</f>
        <v>51758</v>
      </c>
      <c r="L16" s="15">
        <f>2860+2908</f>
        <v>5768</v>
      </c>
      <c r="M16" s="15">
        <f t="shared" si="0"/>
        <v>5768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0.4140625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127</v>
      </c>
      <c r="E17" s="53" t="s">
        <v>434</v>
      </c>
      <c r="F17" s="30" t="s">
        <v>445</v>
      </c>
      <c r="G17" s="12">
        <v>1</v>
      </c>
      <c r="H17" s="13">
        <v>24</v>
      </c>
      <c r="I17" s="7">
        <v>1000</v>
      </c>
      <c r="J17" s="14">
        <v>1088</v>
      </c>
      <c r="K17" s="15">
        <f>L17+1088</f>
        <v>1088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0.4140625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416</v>
      </c>
      <c r="F18" s="30" t="s">
        <v>128</v>
      </c>
      <c r="G18" s="33">
        <v>1</v>
      </c>
      <c r="H18" s="35">
        <v>24</v>
      </c>
      <c r="I18" s="7">
        <v>30000</v>
      </c>
      <c r="J18" s="14">
        <v>5722</v>
      </c>
      <c r="K18" s="15">
        <f>L18+5205+5220+5357+5490+4105+5456+5974+5581</f>
        <v>48110</v>
      </c>
      <c r="L18" s="15">
        <f>2848+2874</f>
        <v>5722</v>
      </c>
      <c r="M18" s="15">
        <f t="shared" si="0"/>
        <v>5722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0.4140625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129</v>
      </c>
      <c r="E19" s="53" t="s">
        <v>567</v>
      </c>
      <c r="F19" s="30" t="s">
        <v>128</v>
      </c>
      <c r="G19" s="33">
        <v>1</v>
      </c>
      <c r="H19" s="35">
        <v>24</v>
      </c>
      <c r="I19" s="7">
        <v>2200</v>
      </c>
      <c r="J19" s="14">
        <v>2361</v>
      </c>
      <c r="K19" s="15">
        <f>L19</f>
        <v>2361</v>
      </c>
      <c r="L19" s="15">
        <f>928+1433</f>
        <v>2361</v>
      </c>
      <c r="M19" s="15">
        <f t="shared" si="0"/>
        <v>2361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/>
      <c r="T19" s="16">
        <v>5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0.4140625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121</v>
      </c>
      <c r="D20" s="52"/>
      <c r="E20" s="53" t="s">
        <v>381</v>
      </c>
      <c r="F20" s="30" t="s">
        <v>394</v>
      </c>
      <c r="G20" s="12">
        <v>1</v>
      </c>
      <c r="H20" s="13">
        <v>28</v>
      </c>
      <c r="I20" s="31">
        <v>7500</v>
      </c>
      <c r="J20" s="5">
        <v>686</v>
      </c>
      <c r="K20" s="15">
        <f>L20+2730+5301+3143</f>
        <v>11860</v>
      </c>
      <c r="L20" s="15">
        <v>686</v>
      </c>
      <c r="M20" s="15">
        <f t="shared" si="0"/>
        <v>686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>
        <v>20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>AC20*AB20*(1-O20)</f>
        <v>0.16666666666666666</v>
      </c>
      <c r="AE20" s="36">
        <f t="shared" si="7"/>
        <v>0.4140625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0.4140625</v>
      </c>
      <c r="AF21" s="84">
        <f t="shared" si="8"/>
        <v>16</v>
      </c>
    </row>
    <row r="22" spans="1:32" ht="31.5" customHeight="1" thickBot="1">
      <c r="A22" s="519" t="s">
        <v>34</v>
      </c>
      <c r="B22" s="520"/>
      <c r="C22" s="520"/>
      <c r="D22" s="520"/>
      <c r="E22" s="520"/>
      <c r="F22" s="520"/>
      <c r="G22" s="520"/>
      <c r="H22" s="521"/>
      <c r="I22" s="22">
        <f t="shared" ref="I22:N22" si="10">SUM(I6:I21)</f>
        <v>903350</v>
      </c>
      <c r="J22" s="19">
        <f t="shared" si="10"/>
        <v>125650</v>
      </c>
      <c r="K22" s="20">
        <f t="shared" si="10"/>
        <v>907901</v>
      </c>
      <c r="L22" s="21">
        <f t="shared" si="10"/>
        <v>103230</v>
      </c>
      <c r="M22" s="20">
        <f t="shared" si="10"/>
        <v>103230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159</v>
      </c>
      <c r="Q22" s="43">
        <f t="shared" si="11"/>
        <v>225</v>
      </c>
      <c r="R22" s="23">
        <f t="shared" si="11"/>
        <v>0</v>
      </c>
      <c r="S22" s="24">
        <f t="shared" si="11"/>
        <v>58</v>
      </c>
      <c r="T22" s="24">
        <f t="shared" si="11"/>
        <v>5</v>
      </c>
      <c r="U22" s="24">
        <f t="shared" si="11"/>
        <v>0</v>
      </c>
      <c r="V22" s="25">
        <f t="shared" si="11"/>
        <v>48</v>
      </c>
      <c r="W22" s="26">
        <f t="shared" si="11"/>
        <v>90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0.5625</v>
      </c>
      <c r="AC22" s="4">
        <f>AVERAGE(AC6:AC21)</f>
        <v>0.4140625</v>
      </c>
      <c r="AD22" s="4">
        <f>AVERAGE(AD6:AD21)</f>
        <v>0.4140625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22" t="s">
        <v>45</v>
      </c>
      <c r="B49" s="522"/>
      <c r="C49" s="522"/>
      <c r="D49" s="522"/>
      <c r="E49" s="52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23" t="s">
        <v>568</v>
      </c>
      <c r="B50" s="524"/>
      <c r="C50" s="524"/>
      <c r="D50" s="524"/>
      <c r="E50" s="524"/>
      <c r="F50" s="524"/>
      <c r="G50" s="524"/>
      <c r="H50" s="524"/>
      <c r="I50" s="524"/>
      <c r="J50" s="524"/>
      <c r="K50" s="524"/>
      <c r="L50" s="524"/>
      <c r="M50" s="525"/>
      <c r="N50" s="526" t="s">
        <v>233</v>
      </c>
      <c r="O50" s="527"/>
      <c r="P50" s="527"/>
      <c r="Q50" s="527"/>
      <c r="R50" s="527"/>
      <c r="S50" s="527"/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8"/>
    </row>
    <row r="51" spans="1:32" ht="27" customHeight="1">
      <c r="A51" s="529" t="s">
        <v>2</v>
      </c>
      <c r="B51" s="530"/>
      <c r="C51" s="424" t="s">
        <v>46</v>
      </c>
      <c r="D51" s="424" t="s">
        <v>47</v>
      </c>
      <c r="E51" s="424" t="s">
        <v>107</v>
      </c>
      <c r="F51" s="531" t="s">
        <v>106</v>
      </c>
      <c r="G51" s="532"/>
      <c r="H51" s="532"/>
      <c r="I51" s="532"/>
      <c r="J51" s="532"/>
      <c r="K51" s="532"/>
      <c r="L51" s="532"/>
      <c r="M51" s="533"/>
      <c r="N51" s="67" t="s">
        <v>110</v>
      </c>
      <c r="O51" s="424" t="s">
        <v>46</v>
      </c>
      <c r="P51" s="531" t="s">
        <v>47</v>
      </c>
      <c r="Q51" s="534"/>
      <c r="R51" s="531" t="s">
        <v>38</v>
      </c>
      <c r="S51" s="532"/>
      <c r="T51" s="532"/>
      <c r="U51" s="534"/>
      <c r="V51" s="531" t="s">
        <v>48</v>
      </c>
      <c r="W51" s="532"/>
      <c r="X51" s="532"/>
      <c r="Y51" s="532"/>
      <c r="Z51" s="532"/>
      <c r="AA51" s="532"/>
      <c r="AB51" s="532"/>
      <c r="AC51" s="532"/>
      <c r="AD51" s="533"/>
    </row>
    <row r="52" spans="1:32" ht="27" customHeight="1">
      <c r="A52" s="512" t="s">
        <v>118</v>
      </c>
      <c r="B52" s="513"/>
      <c r="C52" s="425" t="s">
        <v>411</v>
      </c>
      <c r="D52" s="425" t="s">
        <v>115</v>
      </c>
      <c r="E52" s="426" t="s">
        <v>482</v>
      </c>
      <c r="F52" s="500" t="s">
        <v>569</v>
      </c>
      <c r="G52" s="501"/>
      <c r="H52" s="501"/>
      <c r="I52" s="501"/>
      <c r="J52" s="501"/>
      <c r="K52" s="501"/>
      <c r="L52" s="501"/>
      <c r="M52" s="502"/>
      <c r="N52" s="430" t="s">
        <v>432</v>
      </c>
      <c r="O52" s="432" t="s">
        <v>190</v>
      </c>
      <c r="P52" s="514" t="s">
        <v>115</v>
      </c>
      <c r="Q52" s="515"/>
      <c r="R52" s="514" t="s">
        <v>544</v>
      </c>
      <c r="S52" s="516"/>
      <c r="T52" s="516"/>
      <c r="U52" s="515"/>
      <c r="V52" s="487" t="s">
        <v>130</v>
      </c>
      <c r="W52" s="487"/>
      <c r="X52" s="487"/>
      <c r="Y52" s="487"/>
      <c r="Z52" s="487"/>
      <c r="AA52" s="487"/>
      <c r="AB52" s="487"/>
      <c r="AC52" s="487"/>
      <c r="AD52" s="503"/>
    </row>
    <row r="53" spans="1:32" ht="27" customHeight="1">
      <c r="A53" s="512" t="s">
        <v>118</v>
      </c>
      <c r="B53" s="513"/>
      <c r="C53" s="425" t="s">
        <v>306</v>
      </c>
      <c r="D53" s="425" t="s">
        <v>129</v>
      </c>
      <c r="E53" s="426" t="s">
        <v>554</v>
      </c>
      <c r="F53" s="500" t="s">
        <v>202</v>
      </c>
      <c r="G53" s="501"/>
      <c r="H53" s="501"/>
      <c r="I53" s="501"/>
      <c r="J53" s="501"/>
      <c r="K53" s="501"/>
      <c r="L53" s="501"/>
      <c r="M53" s="502"/>
      <c r="N53" s="430" t="s">
        <v>118</v>
      </c>
      <c r="O53" s="432" t="s">
        <v>306</v>
      </c>
      <c r="P53" s="514" t="s">
        <v>129</v>
      </c>
      <c r="Q53" s="515"/>
      <c r="R53" s="514" t="s">
        <v>169</v>
      </c>
      <c r="S53" s="516"/>
      <c r="T53" s="516"/>
      <c r="U53" s="515"/>
      <c r="V53" s="487" t="s">
        <v>130</v>
      </c>
      <c r="W53" s="487"/>
      <c r="X53" s="487"/>
      <c r="Y53" s="487"/>
      <c r="Z53" s="487"/>
      <c r="AA53" s="487"/>
      <c r="AB53" s="487"/>
      <c r="AC53" s="487"/>
      <c r="AD53" s="503"/>
    </row>
    <row r="54" spans="1:32" ht="27" customHeight="1">
      <c r="A54" s="512" t="s">
        <v>119</v>
      </c>
      <c r="B54" s="513"/>
      <c r="C54" s="425" t="s">
        <v>332</v>
      </c>
      <c r="D54" s="425" t="s">
        <v>550</v>
      </c>
      <c r="E54" s="426" t="s">
        <v>536</v>
      </c>
      <c r="F54" s="500" t="s">
        <v>130</v>
      </c>
      <c r="G54" s="501"/>
      <c r="H54" s="501"/>
      <c r="I54" s="501"/>
      <c r="J54" s="501"/>
      <c r="K54" s="501"/>
      <c r="L54" s="501"/>
      <c r="M54" s="502"/>
      <c r="N54" s="430" t="s">
        <v>118</v>
      </c>
      <c r="O54" s="432" t="s">
        <v>142</v>
      </c>
      <c r="P54" s="514" t="s">
        <v>115</v>
      </c>
      <c r="Q54" s="515"/>
      <c r="R54" s="514" t="s">
        <v>148</v>
      </c>
      <c r="S54" s="516"/>
      <c r="T54" s="516"/>
      <c r="U54" s="515"/>
      <c r="V54" s="487" t="s">
        <v>141</v>
      </c>
      <c r="W54" s="487"/>
      <c r="X54" s="487"/>
      <c r="Y54" s="487"/>
      <c r="Z54" s="487"/>
      <c r="AA54" s="487"/>
      <c r="AB54" s="487"/>
      <c r="AC54" s="487"/>
      <c r="AD54" s="503"/>
    </row>
    <row r="55" spans="1:32" ht="27" customHeight="1">
      <c r="A55" s="512" t="s">
        <v>432</v>
      </c>
      <c r="B55" s="513"/>
      <c r="C55" s="425" t="s">
        <v>190</v>
      </c>
      <c r="D55" s="425" t="s">
        <v>115</v>
      </c>
      <c r="E55" s="426" t="s">
        <v>544</v>
      </c>
      <c r="F55" s="500" t="s">
        <v>570</v>
      </c>
      <c r="G55" s="501"/>
      <c r="H55" s="501"/>
      <c r="I55" s="501"/>
      <c r="J55" s="501"/>
      <c r="K55" s="501"/>
      <c r="L55" s="501"/>
      <c r="M55" s="502"/>
      <c r="N55" s="430" t="s">
        <v>112</v>
      </c>
      <c r="O55" s="432" t="s">
        <v>371</v>
      </c>
      <c r="P55" s="514" t="s">
        <v>127</v>
      </c>
      <c r="Q55" s="515"/>
      <c r="R55" s="514" t="s">
        <v>571</v>
      </c>
      <c r="S55" s="516"/>
      <c r="T55" s="516"/>
      <c r="U55" s="515"/>
      <c r="V55" s="487" t="s">
        <v>141</v>
      </c>
      <c r="W55" s="487"/>
      <c r="X55" s="487"/>
      <c r="Y55" s="487"/>
      <c r="Z55" s="487"/>
      <c r="AA55" s="487"/>
      <c r="AB55" s="487"/>
      <c r="AC55" s="487"/>
      <c r="AD55" s="503"/>
    </row>
    <row r="56" spans="1:32" ht="27" customHeight="1">
      <c r="A56" s="512" t="s">
        <v>112</v>
      </c>
      <c r="B56" s="513"/>
      <c r="C56" s="425" t="s">
        <v>151</v>
      </c>
      <c r="D56" s="425" t="s">
        <v>129</v>
      </c>
      <c r="E56" s="426" t="s">
        <v>567</v>
      </c>
      <c r="F56" s="500" t="s">
        <v>141</v>
      </c>
      <c r="G56" s="501"/>
      <c r="H56" s="501"/>
      <c r="I56" s="501"/>
      <c r="J56" s="501"/>
      <c r="K56" s="501"/>
      <c r="L56" s="501"/>
      <c r="M56" s="502"/>
      <c r="N56" s="430" t="s">
        <v>112</v>
      </c>
      <c r="O56" s="432" t="s">
        <v>151</v>
      </c>
      <c r="P56" s="514" t="s">
        <v>115</v>
      </c>
      <c r="Q56" s="515"/>
      <c r="R56" s="514" t="s">
        <v>572</v>
      </c>
      <c r="S56" s="516"/>
      <c r="T56" s="516"/>
      <c r="U56" s="515"/>
      <c r="V56" s="487" t="s">
        <v>573</v>
      </c>
      <c r="W56" s="487"/>
      <c r="X56" s="487"/>
      <c r="Y56" s="487"/>
      <c r="Z56" s="487"/>
      <c r="AA56" s="487"/>
      <c r="AB56" s="487"/>
      <c r="AC56" s="487"/>
      <c r="AD56" s="503"/>
    </row>
    <row r="57" spans="1:32" ht="27" customHeight="1">
      <c r="A57" s="498" t="s">
        <v>121</v>
      </c>
      <c r="B57" s="499"/>
      <c r="C57" s="426" t="s">
        <v>180</v>
      </c>
      <c r="D57" s="426"/>
      <c r="E57" s="426" t="s">
        <v>381</v>
      </c>
      <c r="F57" s="500" t="s">
        <v>433</v>
      </c>
      <c r="G57" s="501"/>
      <c r="H57" s="501"/>
      <c r="I57" s="501"/>
      <c r="J57" s="501"/>
      <c r="K57" s="501"/>
      <c r="L57" s="501"/>
      <c r="M57" s="502"/>
      <c r="N57" s="430" t="s">
        <v>118</v>
      </c>
      <c r="O57" s="432" t="s">
        <v>180</v>
      </c>
      <c r="P57" s="514" t="s">
        <v>115</v>
      </c>
      <c r="Q57" s="515"/>
      <c r="R57" s="514" t="s">
        <v>416</v>
      </c>
      <c r="S57" s="516"/>
      <c r="T57" s="516"/>
      <c r="U57" s="515"/>
      <c r="V57" s="487" t="s">
        <v>256</v>
      </c>
      <c r="W57" s="487"/>
      <c r="X57" s="487"/>
      <c r="Y57" s="487"/>
      <c r="Z57" s="487"/>
      <c r="AA57" s="487"/>
      <c r="AB57" s="487"/>
      <c r="AC57" s="487"/>
      <c r="AD57" s="503"/>
    </row>
    <row r="58" spans="1:32" ht="27" customHeight="1">
      <c r="A58" s="512" t="s">
        <v>432</v>
      </c>
      <c r="B58" s="513"/>
      <c r="C58" s="425" t="s">
        <v>242</v>
      </c>
      <c r="D58" s="425" t="s">
        <v>115</v>
      </c>
      <c r="E58" s="426" t="s">
        <v>430</v>
      </c>
      <c r="F58" s="500" t="s">
        <v>141</v>
      </c>
      <c r="G58" s="501"/>
      <c r="H58" s="501"/>
      <c r="I58" s="501"/>
      <c r="J58" s="501"/>
      <c r="K58" s="501"/>
      <c r="L58" s="501"/>
      <c r="M58" s="502"/>
      <c r="N58" s="430" t="s">
        <v>112</v>
      </c>
      <c r="O58" s="432" t="s">
        <v>155</v>
      </c>
      <c r="P58" s="514" t="s">
        <v>217</v>
      </c>
      <c r="Q58" s="515"/>
      <c r="R58" s="499" t="s">
        <v>267</v>
      </c>
      <c r="S58" s="499"/>
      <c r="T58" s="499"/>
      <c r="U58" s="499"/>
      <c r="V58" s="487" t="s">
        <v>141</v>
      </c>
      <c r="W58" s="487"/>
      <c r="X58" s="487"/>
      <c r="Y58" s="487"/>
      <c r="Z58" s="487"/>
      <c r="AA58" s="487"/>
      <c r="AB58" s="487"/>
      <c r="AC58" s="487"/>
      <c r="AD58" s="503"/>
    </row>
    <row r="59" spans="1:32" ht="27" customHeight="1">
      <c r="A59" s="512"/>
      <c r="B59" s="513"/>
      <c r="C59" s="425"/>
      <c r="D59" s="425"/>
      <c r="E59" s="426"/>
      <c r="F59" s="500"/>
      <c r="G59" s="501"/>
      <c r="H59" s="501"/>
      <c r="I59" s="501"/>
      <c r="J59" s="501"/>
      <c r="K59" s="501"/>
      <c r="L59" s="501"/>
      <c r="M59" s="502"/>
      <c r="N59" s="430" t="s">
        <v>119</v>
      </c>
      <c r="O59" s="432" t="s">
        <v>140</v>
      </c>
      <c r="P59" s="514" t="s">
        <v>144</v>
      </c>
      <c r="Q59" s="515"/>
      <c r="R59" s="499" t="s">
        <v>174</v>
      </c>
      <c r="S59" s="499"/>
      <c r="T59" s="499"/>
      <c r="U59" s="499"/>
      <c r="V59" s="487" t="s">
        <v>141</v>
      </c>
      <c r="W59" s="487"/>
      <c r="X59" s="487"/>
      <c r="Y59" s="487"/>
      <c r="Z59" s="487"/>
      <c r="AA59" s="487"/>
      <c r="AB59" s="487"/>
      <c r="AC59" s="487"/>
      <c r="AD59" s="503"/>
    </row>
    <row r="60" spans="1:32" ht="27" customHeight="1">
      <c r="A60" s="498"/>
      <c r="B60" s="499"/>
      <c r="C60" s="426"/>
      <c r="D60" s="426"/>
      <c r="E60" s="426"/>
      <c r="F60" s="500"/>
      <c r="G60" s="501"/>
      <c r="H60" s="501"/>
      <c r="I60" s="501"/>
      <c r="J60" s="501"/>
      <c r="K60" s="501"/>
      <c r="L60" s="501"/>
      <c r="M60" s="502"/>
      <c r="N60" s="430"/>
      <c r="O60" s="432"/>
      <c r="P60" s="499"/>
      <c r="Q60" s="499"/>
      <c r="R60" s="499"/>
      <c r="S60" s="499"/>
      <c r="T60" s="499"/>
      <c r="U60" s="499"/>
      <c r="V60" s="487"/>
      <c r="W60" s="487"/>
      <c r="X60" s="487"/>
      <c r="Y60" s="487"/>
      <c r="Z60" s="487"/>
      <c r="AA60" s="487"/>
      <c r="AB60" s="487"/>
      <c r="AC60" s="487"/>
      <c r="AD60" s="503"/>
      <c r="AF60" s="84">
        <f>8*3000</f>
        <v>24000</v>
      </c>
    </row>
    <row r="61" spans="1:32" ht="27" customHeight="1" thickBot="1">
      <c r="A61" s="504"/>
      <c r="B61" s="505"/>
      <c r="C61" s="427"/>
      <c r="D61" s="428"/>
      <c r="E61" s="428"/>
      <c r="F61" s="506"/>
      <c r="G61" s="507"/>
      <c r="H61" s="507"/>
      <c r="I61" s="507"/>
      <c r="J61" s="507"/>
      <c r="K61" s="507"/>
      <c r="L61" s="507"/>
      <c r="M61" s="508"/>
      <c r="N61" s="112"/>
      <c r="O61" s="103"/>
      <c r="P61" s="509"/>
      <c r="Q61" s="509"/>
      <c r="R61" s="509"/>
      <c r="S61" s="509"/>
      <c r="T61" s="509"/>
      <c r="U61" s="509"/>
      <c r="V61" s="510"/>
      <c r="W61" s="510"/>
      <c r="X61" s="510"/>
      <c r="Y61" s="510"/>
      <c r="Z61" s="510"/>
      <c r="AA61" s="510"/>
      <c r="AB61" s="510"/>
      <c r="AC61" s="510"/>
      <c r="AD61" s="511"/>
      <c r="AF61" s="84">
        <f>16*3000</f>
        <v>48000</v>
      </c>
    </row>
    <row r="62" spans="1:32" ht="27.75" thickBot="1">
      <c r="A62" s="496" t="s">
        <v>574</v>
      </c>
      <c r="B62" s="496"/>
      <c r="C62" s="496"/>
      <c r="D62" s="496"/>
      <c r="E62" s="496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7" t="s">
        <v>111</v>
      </c>
      <c r="B63" s="494"/>
      <c r="C63" s="429" t="s">
        <v>2</v>
      </c>
      <c r="D63" s="429" t="s">
        <v>37</v>
      </c>
      <c r="E63" s="429" t="s">
        <v>3</v>
      </c>
      <c r="F63" s="494" t="s">
        <v>109</v>
      </c>
      <c r="G63" s="494"/>
      <c r="H63" s="494"/>
      <c r="I63" s="494"/>
      <c r="J63" s="494"/>
      <c r="K63" s="494" t="s">
        <v>39</v>
      </c>
      <c r="L63" s="494"/>
      <c r="M63" s="429" t="s">
        <v>40</v>
      </c>
      <c r="N63" s="494" t="s">
        <v>41</v>
      </c>
      <c r="O63" s="494"/>
      <c r="P63" s="491" t="s">
        <v>42</v>
      </c>
      <c r="Q63" s="493"/>
      <c r="R63" s="491" t="s">
        <v>43</v>
      </c>
      <c r="S63" s="492"/>
      <c r="T63" s="492"/>
      <c r="U63" s="492"/>
      <c r="V63" s="492"/>
      <c r="W63" s="492"/>
      <c r="X63" s="492"/>
      <c r="Y63" s="492"/>
      <c r="Z63" s="492"/>
      <c r="AA63" s="493"/>
      <c r="AB63" s="494" t="s">
        <v>44</v>
      </c>
      <c r="AC63" s="494"/>
      <c r="AD63" s="495"/>
      <c r="AF63" s="84">
        <f>SUM(AF60:AF62)</f>
        <v>96000</v>
      </c>
    </row>
    <row r="64" spans="1:32" ht="25.5" customHeight="1">
      <c r="A64" s="482">
        <v>1</v>
      </c>
      <c r="B64" s="483"/>
      <c r="C64" s="105" t="s">
        <v>119</v>
      </c>
      <c r="D64" s="434"/>
      <c r="E64" s="431" t="s">
        <v>281</v>
      </c>
      <c r="F64" s="488" t="s">
        <v>496</v>
      </c>
      <c r="G64" s="489"/>
      <c r="H64" s="489"/>
      <c r="I64" s="489"/>
      <c r="J64" s="490"/>
      <c r="K64" s="476" t="s">
        <v>122</v>
      </c>
      <c r="L64" s="476"/>
      <c r="M64" s="51" t="s">
        <v>195</v>
      </c>
      <c r="N64" s="485" t="s">
        <v>152</v>
      </c>
      <c r="O64" s="485"/>
      <c r="P64" s="486">
        <v>200</v>
      </c>
      <c r="Q64" s="486"/>
      <c r="R64" s="487"/>
      <c r="S64" s="487"/>
      <c r="T64" s="487"/>
      <c r="U64" s="487"/>
      <c r="V64" s="487"/>
      <c r="W64" s="487"/>
      <c r="X64" s="487"/>
      <c r="Y64" s="487"/>
      <c r="Z64" s="487"/>
      <c r="AA64" s="487"/>
      <c r="AB64" s="476"/>
      <c r="AC64" s="476"/>
      <c r="AD64" s="477"/>
      <c r="AF64" s="50"/>
    </row>
    <row r="65" spans="1:32" ht="25.5" customHeight="1">
      <c r="A65" s="482">
        <v>2</v>
      </c>
      <c r="B65" s="483"/>
      <c r="C65" s="105"/>
      <c r="D65" s="434"/>
      <c r="E65" s="431"/>
      <c r="F65" s="488"/>
      <c r="G65" s="489"/>
      <c r="H65" s="489"/>
      <c r="I65" s="489"/>
      <c r="J65" s="490"/>
      <c r="K65" s="476"/>
      <c r="L65" s="476"/>
      <c r="M65" s="51"/>
      <c r="N65" s="485"/>
      <c r="O65" s="485"/>
      <c r="P65" s="486"/>
      <c r="Q65" s="486"/>
      <c r="R65" s="487"/>
      <c r="S65" s="487"/>
      <c r="T65" s="487"/>
      <c r="U65" s="487"/>
      <c r="V65" s="487"/>
      <c r="W65" s="487"/>
      <c r="X65" s="487"/>
      <c r="Y65" s="487"/>
      <c r="Z65" s="487"/>
      <c r="AA65" s="487"/>
      <c r="AB65" s="476"/>
      <c r="AC65" s="476"/>
      <c r="AD65" s="477"/>
      <c r="AF65" s="50"/>
    </row>
    <row r="66" spans="1:32" ht="25.5" customHeight="1">
      <c r="A66" s="482">
        <v>3</v>
      </c>
      <c r="B66" s="483"/>
      <c r="C66" s="105"/>
      <c r="D66" s="434"/>
      <c r="E66" s="431"/>
      <c r="F66" s="488"/>
      <c r="G66" s="489"/>
      <c r="H66" s="489"/>
      <c r="I66" s="489"/>
      <c r="J66" s="490"/>
      <c r="K66" s="476"/>
      <c r="L66" s="476"/>
      <c r="M66" s="51"/>
      <c r="N66" s="485"/>
      <c r="O66" s="485"/>
      <c r="P66" s="486"/>
      <c r="Q66" s="486"/>
      <c r="R66" s="487"/>
      <c r="S66" s="487"/>
      <c r="T66" s="487"/>
      <c r="U66" s="487"/>
      <c r="V66" s="487"/>
      <c r="W66" s="487"/>
      <c r="X66" s="487"/>
      <c r="Y66" s="487"/>
      <c r="Z66" s="487"/>
      <c r="AA66" s="487"/>
      <c r="AB66" s="476"/>
      <c r="AC66" s="476"/>
      <c r="AD66" s="477"/>
      <c r="AF66" s="50"/>
    </row>
    <row r="67" spans="1:32" ht="25.5" customHeight="1">
      <c r="A67" s="482">
        <v>4</v>
      </c>
      <c r="B67" s="483"/>
      <c r="C67" s="105"/>
      <c r="D67" s="434"/>
      <c r="E67" s="431"/>
      <c r="F67" s="488"/>
      <c r="G67" s="489"/>
      <c r="H67" s="489"/>
      <c r="I67" s="489"/>
      <c r="J67" s="490"/>
      <c r="K67" s="476"/>
      <c r="L67" s="476"/>
      <c r="M67" s="51"/>
      <c r="N67" s="485"/>
      <c r="O67" s="485"/>
      <c r="P67" s="486"/>
      <c r="Q67" s="486"/>
      <c r="R67" s="487"/>
      <c r="S67" s="487"/>
      <c r="T67" s="487"/>
      <c r="U67" s="487"/>
      <c r="V67" s="487"/>
      <c r="W67" s="487"/>
      <c r="X67" s="487"/>
      <c r="Y67" s="487"/>
      <c r="Z67" s="487"/>
      <c r="AA67" s="487"/>
      <c r="AB67" s="476"/>
      <c r="AC67" s="476"/>
      <c r="AD67" s="477"/>
      <c r="AF67" s="50"/>
    </row>
    <row r="68" spans="1:32" ht="25.5" customHeight="1">
      <c r="A68" s="482">
        <v>5</v>
      </c>
      <c r="B68" s="483"/>
      <c r="C68" s="105"/>
      <c r="D68" s="434"/>
      <c r="E68" s="431"/>
      <c r="F68" s="488"/>
      <c r="G68" s="489"/>
      <c r="H68" s="489"/>
      <c r="I68" s="489"/>
      <c r="J68" s="490"/>
      <c r="K68" s="476"/>
      <c r="L68" s="476"/>
      <c r="M68" s="51"/>
      <c r="N68" s="485"/>
      <c r="O68" s="485"/>
      <c r="P68" s="486"/>
      <c r="Q68" s="486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76"/>
      <c r="AC68" s="476"/>
      <c r="AD68" s="477"/>
      <c r="AF68" s="50"/>
    </row>
    <row r="69" spans="1:32" ht="25.5" customHeight="1">
      <c r="A69" s="482">
        <v>6</v>
      </c>
      <c r="B69" s="483"/>
      <c r="C69" s="105"/>
      <c r="D69" s="434"/>
      <c r="E69" s="431"/>
      <c r="F69" s="488"/>
      <c r="G69" s="489"/>
      <c r="H69" s="489"/>
      <c r="I69" s="489"/>
      <c r="J69" s="490"/>
      <c r="K69" s="476"/>
      <c r="L69" s="476"/>
      <c r="M69" s="51"/>
      <c r="N69" s="485"/>
      <c r="O69" s="485"/>
      <c r="P69" s="486"/>
      <c r="Q69" s="486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76"/>
      <c r="AC69" s="476"/>
      <c r="AD69" s="477"/>
      <c r="AF69" s="50"/>
    </row>
    <row r="70" spans="1:32" ht="25.5" customHeight="1">
      <c r="A70" s="482">
        <v>7</v>
      </c>
      <c r="B70" s="483"/>
      <c r="C70" s="105"/>
      <c r="D70" s="434"/>
      <c r="E70" s="431"/>
      <c r="F70" s="484"/>
      <c r="G70" s="476"/>
      <c r="H70" s="476"/>
      <c r="I70" s="476"/>
      <c r="J70" s="476"/>
      <c r="K70" s="476"/>
      <c r="L70" s="476"/>
      <c r="M70" s="51"/>
      <c r="N70" s="485"/>
      <c r="O70" s="485"/>
      <c r="P70" s="486"/>
      <c r="Q70" s="486"/>
      <c r="R70" s="487"/>
      <c r="S70" s="487"/>
      <c r="T70" s="487"/>
      <c r="U70" s="487"/>
      <c r="V70" s="487"/>
      <c r="W70" s="487"/>
      <c r="X70" s="487"/>
      <c r="Y70" s="487"/>
      <c r="Z70" s="487"/>
      <c r="AA70" s="487"/>
      <c r="AB70" s="476"/>
      <c r="AC70" s="476"/>
      <c r="AD70" s="477"/>
      <c r="AF70" s="50"/>
    </row>
    <row r="71" spans="1:32" ht="25.5" customHeight="1">
      <c r="A71" s="482">
        <v>8</v>
      </c>
      <c r="B71" s="483"/>
      <c r="C71" s="105"/>
      <c r="D71" s="434"/>
      <c r="E71" s="431"/>
      <c r="F71" s="484"/>
      <c r="G71" s="476"/>
      <c r="H71" s="476"/>
      <c r="I71" s="476"/>
      <c r="J71" s="476"/>
      <c r="K71" s="476"/>
      <c r="L71" s="476"/>
      <c r="M71" s="51"/>
      <c r="N71" s="485"/>
      <c r="O71" s="485"/>
      <c r="P71" s="486"/>
      <c r="Q71" s="486"/>
      <c r="R71" s="487"/>
      <c r="S71" s="487"/>
      <c r="T71" s="487"/>
      <c r="U71" s="487"/>
      <c r="V71" s="487"/>
      <c r="W71" s="487"/>
      <c r="X71" s="487"/>
      <c r="Y71" s="487"/>
      <c r="Z71" s="487"/>
      <c r="AA71" s="487"/>
      <c r="AB71" s="476"/>
      <c r="AC71" s="476"/>
      <c r="AD71" s="477"/>
      <c r="AF71" s="50"/>
    </row>
    <row r="72" spans="1:32" ht="25.5" customHeight="1">
      <c r="A72" s="482">
        <v>9</v>
      </c>
      <c r="B72" s="483"/>
      <c r="C72" s="105"/>
      <c r="D72" s="434"/>
      <c r="E72" s="431"/>
      <c r="F72" s="484"/>
      <c r="G72" s="476"/>
      <c r="H72" s="476"/>
      <c r="I72" s="476"/>
      <c r="J72" s="476"/>
      <c r="K72" s="476"/>
      <c r="L72" s="476"/>
      <c r="M72" s="51"/>
      <c r="N72" s="485"/>
      <c r="O72" s="485"/>
      <c r="P72" s="486"/>
      <c r="Q72" s="486"/>
      <c r="R72" s="487"/>
      <c r="S72" s="487"/>
      <c r="T72" s="487"/>
      <c r="U72" s="487"/>
      <c r="V72" s="487"/>
      <c r="W72" s="487"/>
      <c r="X72" s="487"/>
      <c r="Y72" s="487"/>
      <c r="Z72" s="487"/>
      <c r="AA72" s="487"/>
      <c r="AB72" s="476"/>
      <c r="AC72" s="476"/>
      <c r="AD72" s="477"/>
      <c r="AF72" s="50"/>
    </row>
    <row r="73" spans="1:32" ht="25.5" customHeight="1">
      <c r="A73" s="482">
        <v>10</v>
      </c>
      <c r="B73" s="483"/>
      <c r="C73" s="105"/>
      <c r="D73" s="434"/>
      <c r="E73" s="431"/>
      <c r="F73" s="484"/>
      <c r="G73" s="476"/>
      <c r="H73" s="476"/>
      <c r="I73" s="476"/>
      <c r="J73" s="476"/>
      <c r="K73" s="476"/>
      <c r="L73" s="476"/>
      <c r="M73" s="51"/>
      <c r="N73" s="485"/>
      <c r="O73" s="485"/>
      <c r="P73" s="486"/>
      <c r="Q73" s="486"/>
      <c r="R73" s="487"/>
      <c r="S73" s="487"/>
      <c r="T73" s="487"/>
      <c r="U73" s="487"/>
      <c r="V73" s="487"/>
      <c r="W73" s="487"/>
      <c r="X73" s="487"/>
      <c r="Y73" s="487"/>
      <c r="Z73" s="487"/>
      <c r="AA73" s="487"/>
      <c r="AB73" s="476"/>
      <c r="AC73" s="476"/>
      <c r="AD73" s="477"/>
      <c r="AF73" s="50"/>
    </row>
    <row r="74" spans="1:32" ht="26.25" customHeight="1" thickBot="1">
      <c r="A74" s="456" t="s">
        <v>575</v>
      </c>
      <c r="B74" s="456"/>
      <c r="C74" s="456"/>
      <c r="D74" s="456"/>
      <c r="E74" s="45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57" t="s">
        <v>149</v>
      </c>
      <c r="B75" s="458"/>
      <c r="C75" s="433" t="s">
        <v>2</v>
      </c>
      <c r="D75" s="433" t="s">
        <v>37</v>
      </c>
      <c r="E75" s="433" t="s">
        <v>135</v>
      </c>
      <c r="F75" s="458" t="s">
        <v>38</v>
      </c>
      <c r="G75" s="458"/>
      <c r="H75" s="458"/>
      <c r="I75" s="458"/>
      <c r="J75" s="458"/>
      <c r="K75" s="478" t="s">
        <v>58</v>
      </c>
      <c r="L75" s="479"/>
      <c r="M75" s="479"/>
      <c r="N75" s="479"/>
      <c r="O75" s="479"/>
      <c r="P75" s="479"/>
      <c r="Q75" s="479"/>
      <c r="R75" s="479"/>
      <c r="S75" s="480"/>
      <c r="T75" s="458" t="s">
        <v>49</v>
      </c>
      <c r="U75" s="458"/>
      <c r="V75" s="478" t="s">
        <v>50</v>
      </c>
      <c r="W75" s="480"/>
      <c r="X75" s="479" t="s">
        <v>51</v>
      </c>
      <c r="Y75" s="479"/>
      <c r="Z75" s="479"/>
      <c r="AA75" s="479"/>
      <c r="AB75" s="479"/>
      <c r="AC75" s="479"/>
      <c r="AD75" s="481"/>
      <c r="AF75" s="50"/>
    </row>
    <row r="76" spans="1:32" ht="33.75" customHeight="1">
      <c r="A76" s="450">
        <v>1</v>
      </c>
      <c r="B76" s="451"/>
      <c r="C76" s="435" t="s">
        <v>112</v>
      </c>
      <c r="D76" s="435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43675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43">
        <f>A76+1</f>
        <v>2</v>
      </c>
      <c r="B77" s="444"/>
      <c r="C77" s="434"/>
      <c r="D77" s="434"/>
      <c r="E77" s="32"/>
      <c r="F77" s="444"/>
      <c r="G77" s="444"/>
      <c r="H77" s="444"/>
      <c r="I77" s="444"/>
      <c r="J77" s="444"/>
      <c r="K77" s="459"/>
      <c r="L77" s="460"/>
      <c r="M77" s="460"/>
      <c r="N77" s="460"/>
      <c r="O77" s="460"/>
      <c r="P77" s="460"/>
      <c r="Q77" s="460"/>
      <c r="R77" s="460"/>
      <c r="S77" s="461"/>
      <c r="T77" s="462"/>
      <c r="U77" s="462"/>
      <c r="V77" s="462"/>
      <c r="W77" s="462"/>
      <c r="X77" s="463"/>
      <c r="Y77" s="463"/>
      <c r="Z77" s="463"/>
      <c r="AA77" s="463"/>
      <c r="AB77" s="463"/>
      <c r="AC77" s="463"/>
      <c r="AD77" s="464"/>
      <c r="AF77" s="50"/>
    </row>
    <row r="78" spans="1:32" ht="30" customHeight="1">
      <c r="A78" s="443">
        <f t="shared" ref="A78:A82" si="12">A77+1</f>
        <v>3</v>
      </c>
      <c r="B78" s="444"/>
      <c r="C78" s="434"/>
      <c r="D78" s="434"/>
      <c r="E78" s="32"/>
      <c r="F78" s="444"/>
      <c r="G78" s="444"/>
      <c r="H78" s="444"/>
      <c r="I78" s="444"/>
      <c r="J78" s="444"/>
      <c r="K78" s="459"/>
      <c r="L78" s="460"/>
      <c r="M78" s="460"/>
      <c r="N78" s="460"/>
      <c r="O78" s="460"/>
      <c r="P78" s="460"/>
      <c r="Q78" s="460"/>
      <c r="R78" s="460"/>
      <c r="S78" s="461"/>
      <c r="T78" s="462"/>
      <c r="U78" s="462"/>
      <c r="V78" s="462"/>
      <c r="W78" s="462"/>
      <c r="X78" s="463"/>
      <c r="Y78" s="463"/>
      <c r="Z78" s="463"/>
      <c r="AA78" s="463"/>
      <c r="AB78" s="463"/>
      <c r="AC78" s="463"/>
      <c r="AD78" s="464"/>
      <c r="AF78" s="50"/>
    </row>
    <row r="79" spans="1:32" ht="30" customHeight="1">
      <c r="A79" s="443">
        <f t="shared" si="12"/>
        <v>4</v>
      </c>
      <c r="B79" s="444"/>
      <c r="C79" s="434"/>
      <c r="D79" s="434"/>
      <c r="E79" s="32"/>
      <c r="F79" s="444"/>
      <c r="G79" s="444"/>
      <c r="H79" s="444"/>
      <c r="I79" s="444"/>
      <c r="J79" s="444"/>
      <c r="K79" s="459"/>
      <c r="L79" s="460"/>
      <c r="M79" s="460"/>
      <c r="N79" s="460"/>
      <c r="O79" s="460"/>
      <c r="P79" s="460"/>
      <c r="Q79" s="460"/>
      <c r="R79" s="460"/>
      <c r="S79" s="461"/>
      <c r="T79" s="462"/>
      <c r="U79" s="462"/>
      <c r="V79" s="462"/>
      <c r="W79" s="462"/>
      <c r="X79" s="463"/>
      <c r="Y79" s="463"/>
      <c r="Z79" s="463"/>
      <c r="AA79" s="463"/>
      <c r="AB79" s="463"/>
      <c r="AC79" s="463"/>
      <c r="AD79" s="464"/>
      <c r="AF79" s="50"/>
    </row>
    <row r="80" spans="1:32" ht="30" customHeight="1">
      <c r="A80" s="443">
        <f t="shared" si="12"/>
        <v>5</v>
      </c>
      <c r="B80" s="444"/>
      <c r="C80" s="434"/>
      <c r="D80" s="434"/>
      <c r="E80" s="32"/>
      <c r="F80" s="444"/>
      <c r="G80" s="444"/>
      <c r="H80" s="444"/>
      <c r="I80" s="444"/>
      <c r="J80" s="444"/>
      <c r="K80" s="459"/>
      <c r="L80" s="460"/>
      <c r="M80" s="460"/>
      <c r="N80" s="460"/>
      <c r="O80" s="460"/>
      <c r="P80" s="460"/>
      <c r="Q80" s="460"/>
      <c r="R80" s="460"/>
      <c r="S80" s="461"/>
      <c r="T80" s="462"/>
      <c r="U80" s="462"/>
      <c r="V80" s="462"/>
      <c r="W80" s="462"/>
      <c r="X80" s="463"/>
      <c r="Y80" s="463"/>
      <c r="Z80" s="463"/>
      <c r="AA80" s="463"/>
      <c r="AB80" s="463"/>
      <c r="AC80" s="463"/>
      <c r="AD80" s="464"/>
      <c r="AF80" s="50"/>
    </row>
    <row r="81" spans="1:32" ht="30" customHeight="1">
      <c r="A81" s="443">
        <f t="shared" si="12"/>
        <v>6</v>
      </c>
      <c r="B81" s="444"/>
      <c r="C81" s="434"/>
      <c r="D81" s="434"/>
      <c r="E81" s="32"/>
      <c r="F81" s="444"/>
      <c r="G81" s="444"/>
      <c r="H81" s="444"/>
      <c r="I81" s="444"/>
      <c r="J81" s="444"/>
      <c r="K81" s="459"/>
      <c r="L81" s="460"/>
      <c r="M81" s="460"/>
      <c r="N81" s="460"/>
      <c r="O81" s="460"/>
      <c r="P81" s="460"/>
      <c r="Q81" s="460"/>
      <c r="R81" s="460"/>
      <c r="S81" s="461"/>
      <c r="T81" s="462"/>
      <c r="U81" s="462"/>
      <c r="V81" s="462"/>
      <c r="W81" s="462"/>
      <c r="X81" s="463"/>
      <c r="Y81" s="463"/>
      <c r="Z81" s="463"/>
      <c r="AA81" s="463"/>
      <c r="AB81" s="463"/>
      <c r="AC81" s="463"/>
      <c r="AD81" s="464"/>
      <c r="AF81" s="50"/>
    </row>
    <row r="82" spans="1:32" ht="30" customHeight="1">
      <c r="A82" s="443">
        <f t="shared" si="12"/>
        <v>7</v>
      </c>
      <c r="B82" s="444"/>
      <c r="C82" s="434"/>
      <c r="D82" s="434"/>
      <c r="E82" s="32"/>
      <c r="F82" s="444"/>
      <c r="G82" s="444"/>
      <c r="H82" s="444"/>
      <c r="I82" s="444"/>
      <c r="J82" s="444"/>
      <c r="K82" s="459"/>
      <c r="L82" s="460"/>
      <c r="M82" s="460"/>
      <c r="N82" s="460"/>
      <c r="O82" s="460"/>
      <c r="P82" s="460"/>
      <c r="Q82" s="460"/>
      <c r="R82" s="460"/>
      <c r="S82" s="461"/>
      <c r="T82" s="462"/>
      <c r="U82" s="462"/>
      <c r="V82" s="462"/>
      <c r="W82" s="462"/>
      <c r="X82" s="463"/>
      <c r="Y82" s="463"/>
      <c r="Z82" s="463"/>
      <c r="AA82" s="463"/>
      <c r="AB82" s="463"/>
      <c r="AC82" s="463"/>
      <c r="AD82" s="464"/>
      <c r="AF82" s="50"/>
    </row>
    <row r="83" spans="1:32" ht="36" thickBot="1">
      <c r="A83" s="456" t="s">
        <v>576</v>
      </c>
      <c r="B83" s="456"/>
      <c r="C83" s="456"/>
      <c r="D83" s="456"/>
      <c r="E83" s="45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57" t="s">
        <v>111</v>
      </c>
      <c r="B84" s="458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0"/>
    </row>
    <row r="85" spans="1:32" ht="30.75" customHeight="1">
      <c r="A85" s="450">
        <v>1</v>
      </c>
      <c r="B85" s="451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2"/>
      <c r="U85" s="452"/>
      <c r="V85" s="453"/>
      <c r="W85" s="453"/>
      <c r="X85" s="453"/>
      <c r="Y85" s="454"/>
      <c r="Z85" s="454"/>
      <c r="AA85" s="454"/>
      <c r="AB85" s="454"/>
      <c r="AC85" s="454"/>
      <c r="AD85" s="455"/>
      <c r="AF85" s="50"/>
    </row>
    <row r="86" spans="1:32" ht="30.75" customHeight="1">
      <c r="A86" s="443">
        <v>2</v>
      </c>
      <c r="B86" s="444"/>
      <c r="C86" s="445"/>
      <c r="D86" s="445"/>
      <c r="E86" s="445"/>
      <c r="F86" s="445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6"/>
      <c r="U86" s="446"/>
      <c r="V86" s="447"/>
      <c r="W86" s="447"/>
      <c r="X86" s="447"/>
      <c r="Y86" s="436"/>
      <c r="Z86" s="436"/>
      <c r="AA86" s="436"/>
      <c r="AB86" s="436"/>
      <c r="AC86" s="436"/>
      <c r="AD86" s="437"/>
      <c r="AF86" s="50"/>
    </row>
    <row r="87" spans="1:32" ht="30.75" customHeight="1" thickBot="1">
      <c r="A87" s="438">
        <v>3</v>
      </c>
      <c r="B87" s="439"/>
      <c r="C87" s="440"/>
      <c r="D87" s="440"/>
      <c r="E87" s="440"/>
      <c r="F87" s="440"/>
      <c r="G87" s="440"/>
      <c r="H87" s="440"/>
      <c r="I87" s="440"/>
      <c r="J87" s="440"/>
      <c r="K87" s="440"/>
      <c r="L87" s="440"/>
      <c r="M87" s="440"/>
      <c r="N87" s="440"/>
      <c r="O87" s="440"/>
      <c r="P87" s="440"/>
      <c r="Q87" s="440"/>
      <c r="R87" s="440"/>
      <c r="S87" s="440"/>
      <c r="T87" s="440"/>
      <c r="U87" s="440"/>
      <c r="V87" s="440"/>
      <c r="W87" s="440"/>
      <c r="X87" s="440"/>
      <c r="Y87" s="441"/>
      <c r="Z87" s="441"/>
      <c r="AA87" s="441"/>
      <c r="AB87" s="441"/>
      <c r="AC87" s="441"/>
      <c r="AD87" s="442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E11" sqref="AE11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57" t="s">
        <v>172</v>
      </c>
      <c r="B1" s="557"/>
      <c r="C1" s="557"/>
      <c r="D1" s="557"/>
      <c r="E1" s="557"/>
      <c r="F1" s="557"/>
      <c r="G1" s="557"/>
      <c r="H1" s="557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4" t="s">
        <v>60</v>
      </c>
      <c r="B3" s="115">
        <f>'01'!AD6</f>
        <v>1</v>
      </c>
      <c r="C3" s="115">
        <f>'02'!AD6</f>
        <v>0.91666666666666663</v>
      </c>
      <c r="D3" s="116">
        <f>'03'!AD6+'03'!AD7</f>
        <v>0.33333333333333331</v>
      </c>
      <c r="E3" s="116">
        <f>'04'!AD6</f>
        <v>0</v>
      </c>
      <c r="F3" s="116">
        <f>'05'!AD6</f>
        <v>0</v>
      </c>
      <c r="G3" s="116"/>
      <c r="H3" s="116">
        <f>'07'!AD6</f>
        <v>0</v>
      </c>
      <c r="I3" s="116">
        <f>'08'!AD6</f>
        <v>0</v>
      </c>
      <c r="J3" s="116">
        <f>'09'!AD6</f>
        <v>0</v>
      </c>
      <c r="K3" s="116">
        <f>'10'!AD6</f>
        <v>0</v>
      </c>
      <c r="L3" s="116">
        <f>'11'!AD6</f>
        <v>0</v>
      </c>
      <c r="M3" s="116">
        <f>'12'!AD6</f>
        <v>0</v>
      </c>
      <c r="N3" s="117"/>
      <c r="O3" s="116">
        <f>'14'!AD6</f>
        <v>1</v>
      </c>
      <c r="P3" s="116">
        <f>'15'!AD6</f>
        <v>1</v>
      </c>
      <c r="Q3" s="116">
        <f>'16'!AD6</f>
        <v>0.95833333333333337</v>
      </c>
      <c r="R3" s="116">
        <f>'17'!AD6</f>
        <v>0.58333333333333337</v>
      </c>
      <c r="S3" s="116">
        <f>'18'!AD6</f>
        <v>0.91666666666666663</v>
      </c>
      <c r="T3" s="116"/>
      <c r="U3" s="116"/>
      <c r="V3" s="116">
        <f>'21'!AD6</f>
        <v>0.875</v>
      </c>
      <c r="W3" s="117">
        <f>'22'!AD6</f>
        <v>0.875</v>
      </c>
      <c r="X3" s="116">
        <f>'23'!AD6</f>
        <v>0.625</v>
      </c>
      <c r="Y3" s="116">
        <f>'24'!AD6</f>
        <v>0</v>
      </c>
      <c r="Z3" s="116">
        <f>'25'!AD6</f>
        <v>0</v>
      </c>
      <c r="AA3" s="116">
        <f>'26'!AD6</f>
        <v>0</v>
      </c>
      <c r="AB3" s="116">
        <f>'27'!AD6</f>
        <v>0</v>
      </c>
      <c r="AC3" s="116">
        <f>'28'!AD6</f>
        <v>0</v>
      </c>
      <c r="AD3" s="116">
        <f>'29'!AD6</f>
        <v>0</v>
      </c>
      <c r="AE3" s="116"/>
      <c r="AF3" s="118"/>
      <c r="AG3" s="119">
        <f>SUM(B3:AF3)/30</f>
        <v>0.30277777777777776</v>
      </c>
    </row>
    <row r="4" spans="1:33" ht="21.75" customHeight="1">
      <c r="A4" s="101" t="s">
        <v>61</v>
      </c>
      <c r="B4" s="98">
        <f>'01'!AD7</f>
        <v>0.625</v>
      </c>
      <c r="C4" s="98">
        <f>'02'!AD7</f>
        <v>0.54166666666666663</v>
      </c>
      <c r="D4" s="77">
        <f>'03'!AD8</f>
        <v>0</v>
      </c>
      <c r="E4" s="77">
        <f>'04'!AD7</f>
        <v>0</v>
      </c>
      <c r="F4" s="77">
        <f>'05'!AD7</f>
        <v>0.29166666666666669</v>
      </c>
      <c r="G4" s="77"/>
      <c r="H4" s="77">
        <f>'07'!AD7</f>
        <v>1</v>
      </c>
      <c r="I4" s="77">
        <f>'08'!AD7</f>
        <v>1</v>
      </c>
      <c r="J4" s="77">
        <f>'09'!AD7</f>
        <v>1</v>
      </c>
      <c r="K4" s="77">
        <f>'10'!AD7</f>
        <v>0.54166666666666663</v>
      </c>
      <c r="L4" s="77">
        <f>'11'!AD7</f>
        <v>0</v>
      </c>
      <c r="M4" s="77">
        <f>'12'!AD7</f>
        <v>0</v>
      </c>
      <c r="N4" s="77"/>
      <c r="O4" s="77">
        <f>'14'!AD7</f>
        <v>0</v>
      </c>
      <c r="P4" s="77">
        <f>'15'!AD7</f>
        <v>0.58333333333333337</v>
      </c>
      <c r="Q4" s="77">
        <f>'16'!AD7</f>
        <v>0.54166666666666663</v>
      </c>
      <c r="R4" s="77">
        <f>'17'!AD7</f>
        <v>0.54166666666666663</v>
      </c>
      <c r="S4" s="77">
        <f>'18'!AD7</f>
        <v>0.875</v>
      </c>
      <c r="T4" s="77"/>
      <c r="U4" s="77"/>
      <c r="V4" s="77">
        <f>'21'!AD7</f>
        <v>1</v>
      </c>
      <c r="W4" s="77">
        <f>'22'!AD7</f>
        <v>0.91666666666666663</v>
      </c>
      <c r="X4" s="77">
        <f>'23'!AD7</f>
        <v>0.5</v>
      </c>
      <c r="Y4" s="77">
        <f>'24'!AD7</f>
        <v>0</v>
      </c>
      <c r="Z4" s="77">
        <f>'25'!AD7</f>
        <v>0</v>
      </c>
      <c r="AA4" s="77">
        <f>'26'!AD7</f>
        <v>0</v>
      </c>
      <c r="AB4" s="77">
        <f>'27'!AD7</f>
        <v>0</v>
      </c>
      <c r="AC4" s="77">
        <f>'28'!AD7</f>
        <v>0</v>
      </c>
      <c r="AD4" s="77">
        <f>'29'!AD7</f>
        <v>0</v>
      </c>
      <c r="AE4" s="77"/>
      <c r="AF4" s="78"/>
      <c r="AG4" s="79">
        <f t="shared" ref="AG4:AG19" si="0">SUM(B4:AF4)/30</f>
        <v>0.33194444444444449</v>
      </c>
    </row>
    <row r="5" spans="1:33" ht="21.75" customHeight="1">
      <c r="A5" s="100" t="s">
        <v>62</v>
      </c>
      <c r="B5" s="97">
        <f>'01'!AD8</f>
        <v>1</v>
      </c>
      <c r="C5" s="97">
        <f>'02'!AD8</f>
        <v>0.83333333333333337</v>
      </c>
      <c r="D5" s="74">
        <f>'03'!AD9</f>
        <v>1</v>
      </c>
      <c r="E5" s="74">
        <f>'04'!AD8</f>
        <v>1</v>
      </c>
      <c r="F5" s="74">
        <f>'05'!AD8</f>
        <v>0.45833333333333331</v>
      </c>
      <c r="G5" s="74"/>
      <c r="H5" s="74">
        <f>'07'!AD8</f>
        <v>1</v>
      </c>
      <c r="I5" s="74">
        <f>'08'!AD8</f>
        <v>1</v>
      </c>
      <c r="J5" s="74">
        <f>'09'!AD8</f>
        <v>1</v>
      </c>
      <c r="K5" s="74">
        <f>'10'!AD8</f>
        <v>1</v>
      </c>
      <c r="L5" s="74">
        <f>'11'!AD8</f>
        <v>0.25</v>
      </c>
      <c r="M5" s="74">
        <f>'12'!AD8</f>
        <v>0</v>
      </c>
      <c r="N5" s="74"/>
      <c r="O5" s="74">
        <f>'14'!AD8</f>
        <v>0</v>
      </c>
      <c r="P5" s="74">
        <f>'15'!AD8</f>
        <v>0</v>
      </c>
      <c r="Q5" s="74">
        <f>'16'!AD8</f>
        <v>0</v>
      </c>
      <c r="R5" s="74">
        <f>'17'!AD8</f>
        <v>0</v>
      </c>
      <c r="S5" s="74">
        <f>'18'!AD8</f>
        <v>0.54166666666666663</v>
      </c>
      <c r="T5" s="74"/>
      <c r="U5" s="74"/>
      <c r="V5" s="74">
        <f>'21'!AD8</f>
        <v>0.83333333333333337</v>
      </c>
      <c r="W5" s="104">
        <f>'22'!AD8</f>
        <v>1</v>
      </c>
      <c r="X5" s="74">
        <f>'23'!AD8</f>
        <v>0.75</v>
      </c>
      <c r="Y5" s="74">
        <f>'24'!AD8</f>
        <v>0.625</v>
      </c>
      <c r="Z5" s="74">
        <f>'25'!AD8</f>
        <v>0.33333333333333331</v>
      </c>
      <c r="AA5" s="74">
        <f>'26'!AD8</f>
        <v>1</v>
      </c>
      <c r="AB5" s="74">
        <f>'27'!AD8</f>
        <v>0.5</v>
      </c>
      <c r="AC5" s="74">
        <f>'28'!AD8</f>
        <v>0.70833333333333337</v>
      </c>
      <c r="AD5" s="74">
        <f>'29'!AD8</f>
        <v>0.625</v>
      </c>
      <c r="AE5" s="74"/>
      <c r="AF5" s="75"/>
      <c r="AG5" s="76">
        <f t="shared" si="0"/>
        <v>0.51527777777777783</v>
      </c>
    </row>
    <row r="6" spans="1:33" ht="21.75" customHeight="1">
      <c r="A6" s="101" t="s">
        <v>63</v>
      </c>
      <c r="B6" s="98">
        <f>'01'!AD9</f>
        <v>0.375</v>
      </c>
      <c r="C6" s="98">
        <f>'02'!AD9</f>
        <v>0.79166666666666663</v>
      </c>
      <c r="D6" s="77">
        <f>'03'!AD10</f>
        <v>0</v>
      </c>
      <c r="E6" s="77">
        <f>'04'!AD9</f>
        <v>0.25</v>
      </c>
      <c r="F6" s="77">
        <f>'05'!AD9</f>
        <v>0</v>
      </c>
      <c r="G6" s="77"/>
      <c r="H6" s="77">
        <f>'07'!AD9</f>
        <v>0.66666666666666663</v>
      </c>
      <c r="I6" s="77">
        <f>'08'!AD9</f>
        <v>0.79166666666666663</v>
      </c>
      <c r="J6" s="77">
        <f>'09'!AD9</f>
        <v>0.83333333333333337</v>
      </c>
      <c r="K6" s="77">
        <f>'10'!AD9</f>
        <v>0.75</v>
      </c>
      <c r="L6" s="77">
        <f>'11'!AD9</f>
        <v>0.875</v>
      </c>
      <c r="M6" s="77">
        <f>'12'!AD9</f>
        <v>0</v>
      </c>
      <c r="N6" s="77"/>
      <c r="O6" s="77">
        <f>'14'!AD9</f>
        <v>0.91666666666666663</v>
      </c>
      <c r="P6" s="77">
        <f>'15'!AD9</f>
        <v>1</v>
      </c>
      <c r="Q6" s="77">
        <f>'16'!AD9</f>
        <v>0.75</v>
      </c>
      <c r="R6" s="77">
        <f>'17'!AD9</f>
        <v>0.95833333333333337</v>
      </c>
      <c r="S6" s="77">
        <f>'18'!AD9</f>
        <v>0.95833333333333337</v>
      </c>
      <c r="T6" s="77"/>
      <c r="U6" s="77"/>
      <c r="V6" s="77">
        <f>'21'!AD9</f>
        <v>1</v>
      </c>
      <c r="W6" s="77">
        <f>'22'!AD9</f>
        <v>1</v>
      </c>
      <c r="X6" s="77">
        <f>'23'!AD9</f>
        <v>0.95833333333333337</v>
      </c>
      <c r="Y6" s="77">
        <f>'24'!AD9</f>
        <v>1</v>
      </c>
      <c r="Z6" s="77">
        <f>'25'!AD9</f>
        <v>0.66666666666666663</v>
      </c>
      <c r="AA6" s="77">
        <f>'26'!AD9</f>
        <v>1</v>
      </c>
      <c r="AB6" s="77">
        <f>'27'!AD9</f>
        <v>0</v>
      </c>
      <c r="AC6" s="77">
        <f>'28'!AD9</f>
        <v>1</v>
      </c>
      <c r="AD6" s="77">
        <f>'29'!AD9</f>
        <v>1</v>
      </c>
      <c r="AE6" s="77"/>
      <c r="AF6" s="78"/>
      <c r="AG6" s="79">
        <f t="shared" si="0"/>
        <v>0.58472222222222225</v>
      </c>
    </row>
    <row r="7" spans="1:33" ht="21.75" customHeight="1">
      <c r="A7" s="101" t="s">
        <v>64</v>
      </c>
      <c r="B7" s="98">
        <f>'01'!AD10</f>
        <v>1</v>
      </c>
      <c r="C7" s="98">
        <f>'02'!AD10</f>
        <v>1</v>
      </c>
      <c r="D7" s="77">
        <f>'03'!AD11</f>
        <v>1</v>
      </c>
      <c r="E7" s="77">
        <f>'04'!AD10</f>
        <v>1</v>
      </c>
      <c r="F7" s="77">
        <f>'05'!AD10</f>
        <v>0.45833333333333331</v>
      </c>
      <c r="G7" s="77"/>
      <c r="H7" s="77">
        <f>'07'!AD10</f>
        <v>1</v>
      </c>
      <c r="I7" s="77">
        <f>'08'!AD10</f>
        <v>1</v>
      </c>
      <c r="J7" s="77">
        <f>'09'!AD10</f>
        <v>1</v>
      </c>
      <c r="K7" s="77">
        <f>'10'!AD10</f>
        <v>0.33333333333333331</v>
      </c>
      <c r="L7" s="77">
        <f>'11'!AD10</f>
        <v>0.45833333333333331</v>
      </c>
      <c r="M7" s="77">
        <f>'12'!AD10</f>
        <v>0</v>
      </c>
      <c r="N7" s="77"/>
      <c r="O7" s="77">
        <f>'14'!AD10</f>
        <v>0.54166666666666663</v>
      </c>
      <c r="P7" s="77">
        <f>'15'!AD10</f>
        <v>1</v>
      </c>
      <c r="Q7" s="77">
        <f>'16'!AD10</f>
        <v>1</v>
      </c>
      <c r="R7" s="77">
        <f>'17'!AD10</f>
        <v>1</v>
      </c>
      <c r="S7" s="77">
        <f>'18'!AD10</f>
        <v>1</v>
      </c>
      <c r="T7" s="77"/>
      <c r="U7" s="77"/>
      <c r="V7" s="77">
        <f>'21'!AD10</f>
        <v>0.29166666666666669</v>
      </c>
      <c r="W7" s="77">
        <f>'22'!AD10</f>
        <v>0</v>
      </c>
      <c r="X7" s="77">
        <f>'23'!AD10</f>
        <v>0.70833333333333337</v>
      </c>
      <c r="Y7" s="77">
        <f>'24'!AD10+'24'!AD11</f>
        <v>0.91666666666666663</v>
      </c>
      <c r="Z7" s="77">
        <f>'25'!AD10</f>
        <v>1</v>
      </c>
      <c r="AA7" s="77">
        <f>'26'!AD10</f>
        <v>1</v>
      </c>
      <c r="AB7" s="77">
        <f>'27'!AD10</f>
        <v>0.5</v>
      </c>
      <c r="AC7" s="77">
        <f>'28'!AD10</f>
        <v>0.75</v>
      </c>
      <c r="AD7" s="77">
        <f>'29'!AD10</f>
        <v>0.875</v>
      </c>
      <c r="AE7" s="77"/>
      <c r="AF7" s="78"/>
      <c r="AG7" s="79">
        <f t="shared" si="0"/>
        <v>0.62777777777777777</v>
      </c>
    </row>
    <row r="8" spans="1:33" ht="21.75" customHeight="1">
      <c r="A8" s="101" t="s">
        <v>65</v>
      </c>
      <c r="B8" s="98">
        <f>'01'!AD11</f>
        <v>0</v>
      </c>
      <c r="C8" s="98">
        <f>'02'!AD11</f>
        <v>0</v>
      </c>
      <c r="D8" s="77">
        <f>'03'!AD12</f>
        <v>0</v>
      </c>
      <c r="E8" s="77">
        <f>'04'!AD11</f>
        <v>0</v>
      </c>
      <c r="F8" s="77">
        <f>'05'!AD11</f>
        <v>0</v>
      </c>
      <c r="G8" s="77"/>
      <c r="H8" s="77">
        <f>'07'!AD11</f>
        <v>0</v>
      </c>
      <c r="I8" s="77">
        <f>'08'!AD11</f>
        <v>0</v>
      </c>
      <c r="J8" s="77">
        <f>'09'!AD11</f>
        <v>0</v>
      </c>
      <c r="K8" s="77">
        <f>'10'!AD11</f>
        <v>0</v>
      </c>
      <c r="L8" s="77">
        <f>'11'!AD11</f>
        <v>0</v>
      </c>
      <c r="M8" s="77">
        <f>'12'!AD11</f>
        <v>0</v>
      </c>
      <c r="N8" s="77"/>
      <c r="O8" s="77">
        <f>'14'!AD11</f>
        <v>0</v>
      </c>
      <c r="P8" s="77">
        <f>'15'!AD11</f>
        <v>0</v>
      </c>
      <c r="Q8" s="77">
        <f>'16'!AD11</f>
        <v>0</v>
      </c>
      <c r="R8" s="77">
        <f>'17'!AD11</f>
        <v>0</v>
      </c>
      <c r="S8" s="77">
        <f>'18'!AD11</f>
        <v>0</v>
      </c>
      <c r="T8" s="77"/>
      <c r="U8" s="77"/>
      <c r="V8" s="77">
        <f>'21'!AD11</f>
        <v>0</v>
      </c>
      <c r="W8" s="77">
        <f>'22'!AD11</f>
        <v>0</v>
      </c>
      <c r="X8" s="77">
        <f>'23'!AD11</f>
        <v>0.91666666666666663</v>
      </c>
      <c r="Y8" s="77">
        <f>'24'!AD12</f>
        <v>1</v>
      </c>
      <c r="Z8" s="77">
        <f>'25'!AD11</f>
        <v>1</v>
      </c>
      <c r="AA8" s="77">
        <f>'26'!AD11</f>
        <v>0</v>
      </c>
      <c r="AB8" s="77">
        <f>'27'!AD11</f>
        <v>0</v>
      </c>
      <c r="AC8" s="77">
        <f>'28'!AD11</f>
        <v>0</v>
      </c>
      <c r="AD8" s="77">
        <f>'29'!AD11</f>
        <v>0.91666666666666663</v>
      </c>
      <c r="AE8" s="77"/>
      <c r="AF8" s="78"/>
      <c r="AG8" s="79">
        <f t="shared" si="0"/>
        <v>0.12777777777777777</v>
      </c>
    </row>
    <row r="9" spans="1:33" ht="21.75" customHeight="1">
      <c r="A9" s="101" t="s">
        <v>66</v>
      </c>
      <c r="B9" s="98">
        <f>'01'!AD12</f>
        <v>0.29166666666666669</v>
      </c>
      <c r="C9" s="98">
        <f>'02'!AD12+'02'!AD13</f>
        <v>0.95833333333333326</v>
      </c>
      <c r="D9" s="77">
        <f>'03'!AD13+'03'!AD14</f>
        <v>0.5</v>
      </c>
      <c r="E9" s="77">
        <f>'04'!AD12</f>
        <v>0.16666666666666666</v>
      </c>
      <c r="F9" s="77">
        <f>'05'!AD12</f>
        <v>0</v>
      </c>
      <c r="G9" s="77"/>
      <c r="H9" s="77">
        <f>'07'!AD12</f>
        <v>0</v>
      </c>
      <c r="I9" s="77">
        <f>'08'!AD12</f>
        <v>0</v>
      </c>
      <c r="J9" s="77">
        <f>'09'!AD12</f>
        <v>0.16666666666666666</v>
      </c>
      <c r="K9" s="77">
        <f>'10'!AD12</f>
        <v>0.20833333333333334</v>
      </c>
      <c r="L9" s="77">
        <f>'11'!AD12</f>
        <v>0.79166666666666663</v>
      </c>
      <c r="M9" s="77">
        <f>'12'!AD12</f>
        <v>1</v>
      </c>
      <c r="N9" s="77"/>
      <c r="O9" s="77">
        <f>'14'!AD12</f>
        <v>0.20833333333333334</v>
      </c>
      <c r="P9" s="77">
        <f>'15'!AD12</f>
        <v>0.16666666666666666</v>
      </c>
      <c r="Q9" s="77">
        <f>'16'!AD12</f>
        <v>0.83333333333333337</v>
      </c>
      <c r="R9" s="77">
        <f>'17'!AD12</f>
        <v>1</v>
      </c>
      <c r="S9" s="77">
        <f>'18'!AD12</f>
        <v>1</v>
      </c>
      <c r="T9" s="77"/>
      <c r="U9" s="77"/>
      <c r="V9" s="77">
        <f>'21'!AD12</f>
        <v>1</v>
      </c>
      <c r="W9" s="77">
        <f>'22'!AD12+'22'!AD13</f>
        <v>0.91666666666666674</v>
      </c>
      <c r="X9" s="77">
        <f>'23'!AD12</f>
        <v>0.875</v>
      </c>
      <c r="Y9" s="77">
        <f>'24'!AD13</f>
        <v>0</v>
      </c>
      <c r="Z9" s="77">
        <f>'25'!AD12</f>
        <v>0</v>
      </c>
      <c r="AA9" s="77">
        <f>'26'!AD12</f>
        <v>0</v>
      </c>
      <c r="AB9" s="77">
        <f>'27'!AD12</f>
        <v>0</v>
      </c>
      <c r="AC9" s="77">
        <f>'28'!AD12</f>
        <v>0</v>
      </c>
      <c r="AD9" s="77">
        <f>'29'!AD12</f>
        <v>0</v>
      </c>
      <c r="AE9" s="77"/>
      <c r="AF9" s="78"/>
      <c r="AG9" s="79">
        <f t="shared" si="0"/>
        <v>0.33611111111111114</v>
      </c>
    </row>
    <row r="10" spans="1:33" ht="21.75" customHeight="1">
      <c r="A10" s="101" t="s">
        <v>67</v>
      </c>
      <c r="B10" s="98">
        <f>'01'!AD13</f>
        <v>0.125</v>
      </c>
      <c r="C10" s="98">
        <f>'02'!AD14</f>
        <v>0</v>
      </c>
      <c r="D10" s="77">
        <f>'03'!AD15</f>
        <v>0</v>
      </c>
      <c r="E10" s="77">
        <f>'04'!AD13</f>
        <v>0</v>
      </c>
      <c r="F10" s="77">
        <f>'05'!AD13</f>
        <v>0</v>
      </c>
      <c r="G10" s="77"/>
      <c r="H10" s="77">
        <f>'07'!AD13</f>
        <v>0</v>
      </c>
      <c r="I10" s="77">
        <f>'08'!AD13</f>
        <v>0</v>
      </c>
      <c r="J10" s="77">
        <f>'09'!AD13</f>
        <v>0</v>
      </c>
      <c r="K10" s="77">
        <f>'10'!AD13</f>
        <v>0.625</v>
      </c>
      <c r="L10" s="77">
        <f>'11'!AD13</f>
        <v>0.875</v>
      </c>
      <c r="M10" s="77">
        <f>'12'!AD13</f>
        <v>1</v>
      </c>
      <c r="N10" s="77"/>
      <c r="O10" s="77">
        <f>'14'!AD13</f>
        <v>1</v>
      </c>
      <c r="P10" s="77">
        <f>'15'!AD13</f>
        <v>1</v>
      </c>
      <c r="Q10" s="77">
        <f>'16'!AD13</f>
        <v>0</v>
      </c>
      <c r="R10" s="77">
        <f>'17'!AD13</f>
        <v>0</v>
      </c>
      <c r="S10" s="77">
        <f>'18'!AD13</f>
        <v>0</v>
      </c>
      <c r="T10" s="77"/>
      <c r="U10" s="77"/>
      <c r="V10" s="77">
        <f>'21'!AD13</f>
        <v>0</v>
      </c>
      <c r="W10" s="77">
        <f>'22'!AD14</f>
        <v>0</v>
      </c>
      <c r="X10" s="77">
        <f>'23'!AD13</f>
        <v>0</v>
      </c>
      <c r="Y10" s="77">
        <f>'24'!AD14</f>
        <v>0</v>
      </c>
      <c r="Z10" s="77">
        <f>'25'!AD13</f>
        <v>0.16666666666666666</v>
      </c>
      <c r="AA10" s="77">
        <f>'26'!AD13</f>
        <v>0</v>
      </c>
      <c r="AB10" s="77">
        <f>'27'!AD13</f>
        <v>0</v>
      </c>
      <c r="AC10" s="77">
        <f>'28'!AD13</f>
        <v>0</v>
      </c>
      <c r="AD10" s="77">
        <f>'29'!AD13</f>
        <v>0</v>
      </c>
      <c r="AE10" s="77"/>
      <c r="AF10" s="78"/>
      <c r="AG10" s="79">
        <f t="shared" si="0"/>
        <v>0.15972222222222224</v>
      </c>
    </row>
    <row r="11" spans="1:33" ht="21.75" customHeight="1">
      <c r="A11" s="107" t="s">
        <v>68</v>
      </c>
      <c r="B11" s="108">
        <f>'01'!AD14</f>
        <v>0</v>
      </c>
      <c r="C11" s="108">
        <f>'02'!AD15</f>
        <v>0</v>
      </c>
      <c r="D11" s="109">
        <f>'03'!AD16</f>
        <v>0</v>
      </c>
      <c r="E11" s="109">
        <f>'04'!AD14</f>
        <v>0</v>
      </c>
      <c r="F11" s="109">
        <f>'05'!AD14</f>
        <v>0</v>
      </c>
      <c r="G11" s="109"/>
      <c r="H11" s="109">
        <f>'07'!AD14</f>
        <v>0</v>
      </c>
      <c r="I11" s="109">
        <f>'08'!AD14</f>
        <v>0</v>
      </c>
      <c r="J11" s="109">
        <f>'09'!AD14</f>
        <v>0</v>
      </c>
      <c r="K11" s="109">
        <f>'10'!AD14</f>
        <v>0</v>
      </c>
      <c r="L11" s="109">
        <f>'11'!AD14</f>
        <v>0</v>
      </c>
      <c r="M11" s="109">
        <f>'12'!AD14</f>
        <v>0</v>
      </c>
      <c r="N11" s="109"/>
      <c r="O11" s="109">
        <f>'14'!AD14</f>
        <v>0</v>
      </c>
      <c r="P11" s="109">
        <f>'15'!AD14</f>
        <v>0</v>
      </c>
      <c r="Q11" s="109">
        <f>'16'!AD14</f>
        <v>0</v>
      </c>
      <c r="R11" s="109">
        <f>'17'!AD14</f>
        <v>0</v>
      </c>
      <c r="S11" s="109">
        <f>'18'!AD14</f>
        <v>0</v>
      </c>
      <c r="T11" s="109"/>
      <c r="U11" s="109"/>
      <c r="V11" s="109">
        <f>'21'!AD14</f>
        <v>0.20833333333333334</v>
      </c>
      <c r="W11" s="109">
        <f>'22'!AD15</f>
        <v>0</v>
      </c>
      <c r="X11" s="109">
        <f>'23'!AD14</f>
        <v>0</v>
      </c>
      <c r="Y11" s="109">
        <f>'24'!AD15</f>
        <v>0.16666666666666666</v>
      </c>
      <c r="Z11" s="109">
        <f>'25'!AD14</f>
        <v>0.25</v>
      </c>
      <c r="AA11" s="109">
        <f>'26'!AD14</f>
        <v>0</v>
      </c>
      <c r="AB11" s="109">
        <f>'27'!AD14</f>
        <v>0</v>
      </c>
      <c r="AC11" s="109">
        <f>'28'!AD14</f>
        <v>0</v>
      </c>
      <c r="AD11" s="109">
        <f>'29'!AD14</f>
        <v>0.25</v>
      </c>
      <c r="AE11" s="109"/>
      <c r="AF11" s="110"/>
      <c r="AG11" s="111">
        <f t="shared" si="0"/>
        <v>2.9166666666666667E-2</v>
      </c>
    </row>
    <row r="12" spans="1:33" ht="21.75" customHeight="1">
      <c r="A12" s="100" t="s">
        <v>69</v>
      </c>
      <c r="B12" s="97">
        <f>'01'!AD15</f>
        <v>0</v>
      </c>
      <c r="C12" s="97">
        <f>'02'!AD16</f>
        <v>0</v>
      </c>
      <c r="D12" s="74">
        <f>'03'!AD17</f>
        <v>0</v>
      </c>
      <c r="E12" s="74">
        <f>'04'!AD15</f>
        <v>0</v>
      </c>
      <c r="F12" s="74">
        <f>'05'!AD15</f>
        <v>0</v>
      </c>
      <c r="G12" s="74"/>
      <c r="H12" s="74">
        <f>'07'!AD15</f>
        <v>0</v>
      </c>
      <c r="I12" s="74">
        <f>'08'!AD15</f>
        <v>0.66666666666666663</v>
      </c>
      <c r="J12" s="74">
        <f>'09'!AD15</f>
        <v>0</v>
      </c>
      <c r="K12" s="74">
        <f>'10'!AD15</f>
        <v>0</v>
      </c>
      <c r="L12" s="74">
        <f>'11'!AD15</f>
        <v>0.70833333333333337</v>
      </c>
      <c r="M12" s="74">
        <f>'12'!AD15</f>
        <v>1</v>
      </c>
      <c r="N12" s="74"/>
      <c r="O12" s="74">
        <f>'14'!AD15</f>
        <v>1</v>
      </c>
      <c r="P12" s="74">
        <f>'15'!AD15</f>
        <v>0.58333333333333337</v>
      </c>
      <c r="Q12" s="74">
        <f>'16'!AD15</f>
        <v>1</v>
      </c>
      <c r="R12" s="74">
        <f>'17'!AD15</f>
        <v>0.33333333333333331</v>
      </c>
      <c r="S12" s="74">
        <f>'18'!AD15</f>
        <v>0</v>
      </c>
      <c r="T12" s="74"/>
      <c r="U12" s="74"/>
      <c r="V12" s="74">
        <f>'21'!AD15</f>
        <v>0.54166666666666663</v>
      </c>
      <c r="W12" s="74">
        <f>'22'!AD16</f>
        <v>1</v>
      </c>
      <c r="X12" s="74">
        <f>'23'!AD15</f>
        <v>1</v>
      </c>
      <c r="Y12" s="74">
        <f>'24'!AD16</f>
        <v>0.45833333333333331</v>
      </c>
      <c r="Z12" s="74">
        <f>'25'!AD15</f>
        <v>0.58333333333333337</v>
      </c>
      <c r="AA12" s="74">
        <f>'26'!AD15</f>
        <v>1</v>
      </c>
      <c r="AB12" s="74">
        <f>'27'!AD15</f>
        <v>0</v>
      </c>
      <c r="AC12" s="74">
        <f>'28'!AD15</f>
        <v>0</v>
      </c>
      <c r="AD12" s="74">
        <f>'29'!AD15</f>
        <v>0</v>
      </c>
      <c r="AE12" s="74"/>
      <c r="AF12" s="75"/>
      <c r="AG12" s="76">
        <f t="shared" si="0"/>
        <v>0.32916666666666672</v>
      </c>
    </row>
    <row r="13" spans="1:33" ht="21.75" customHeight="1">
      <c r="A13" s="100" t="s">
        <v>70</v>
      </c>
      <c r="B13" s="97">
        <f>'01'!AD16</f>
        <v>0</v>
      </c>
      <c r="C13" s="97">
        <f>'02'!AD17</f>
        <v>0</v>
      </c>
      <c r="D13" s="74">
        <f>'03'!AD18</f>
        <v>0</v>
      </c>
      <c r="E13" s="74">
        <f>'04'!AD16</f>
        <v>0</v>
      </c>
      <c r="F13" s="74">
        <f>'05'!AD16</f>
        <v>0</v>
      </c>
      <c r="G13" s="74"/>
      <c r="H13" s="74">
        <f>'07'!AD16</f>
        <v>0</v>
      </c>
      <c r="I13" s="74">
        <f>'08'!AD16</f>
        <v>0</v>
      </c>
      <c r="J13" s="74">
        <f>'09'!AD16</f>
        <v>0</v>
      </c>
      <c r="K13" s="74">
        <f>'10'!AD16</f>
        <v>0</v>
      </c>
      <c r="L13" s="74">
        <f>'11'!AD16</f>
        <v>0</v>
      </c>
      <c r="M13" s="74">
        <f>'12'!AD16</f>
        <v>0</v>
      </c>
      <c r="N13" s="74"/>
      <c r="O13" s="74">
        <f>'14'!AD16</f>
        <v>0</v>
      </c>
      <c r="P13" s="74">
        <f>'15'!AD16</f>
        <v>0</v>
      </c>
      <c r="Q13" s="74">
        <f>'16'!AD16</f>
        <v>0</v>
      </c>
      <c r="R13" s="74">
        <f>'17'!AD16</f>
        <v>0.75</v>
      </c>
      <c r="S13" s="74">
        <f>'18'!AD16</f>
        <v>0.95833333333333337</v>
      </c>
      <c r="T13" s="74"/>
      <c r="U13" s="74"/>
      <c r="V13" s="74">
        <f>'21'!AD16</f>
        <v>1</v>
      </c>
      <c r="W13" s="74">
        <f>'22'!AD17</f>
        <v>1</v>
      </c>
      <c r="X13" s="74">
        <f>'23'!AD16</f>
        <v>1</v>
      </c>
      <c r="Y13" s="74">
        <f>'24'!AD17</f>
        <v>1</v>
      </c>
      <c r="Z13" s="74">
        <f>'25'!AD16</f>
        <v>0.70833333333333337</v>
      </c>
      <c r="AA13" s="74">
        <f>'26'!AD16</f>
        <v>1</v>
      </c>
      <c r="AB13" s="74">
        <f>'27'!AD16</f>
        <v>0</v>
      </c>
      <c r="AC13" s="74">
        <f>'28'!AD16</f>
        <v>1</v>
      </c>
      <c r="AD13" s="74">
        <f>'29'!AD16</f>
        <v>1</v>
      </c>
      <c r="AE13" s="74"/>
      <c r="AF13" s="75"/>
      <c r="AG13" s="76">
        <f t="shared" si="0"/>
        <v>0.31388888888888894</v>
      </c>
    </row>
    <row r="14" spans="1:33" ht="21.75" customHeight="1">
      <c r="A14" s="100" t="s">
        <v>71</v>
      </c>
      <c r="B14" s="97">
        <f>'01'!AD17</f>
        <v>0</v>
      </c>
      <c r="C14" s="97">
        <f>'02'!AD18</f>
        <v>0</v>
      </c>
      <c r="D14" s="74">
        <f>'03'!AD19</f>
        <v>0</v>
      </c>
      <c r="E14" s="74">
        <f>'04'!AD17</f>
        <v>0</v>
      </c>
      <c r="F14" s="74">
        <f>'05'!AD17</f>
        <v>0</v>
      </c>
      <c r="G14" s="74"/>
      <c r="H14" s="74">
        <f>'07'!AD17</f>
        <v>0</v>
      </c>
      <c r="I14" s="74">
        <f>'08'!AD17</f>
        <v>0</v>
      </c>
      <c r="J14" s="74">
        <f>'09'!AD17</f>
        <v>0</v>
      </c>
      <c r="K14" s="74">
        <f>'10'!AD17</f>
        <v>0</v>
      </c>
      <c r="L14" s="74">
        <f>'11'!AD17</f>
        <v>0</v>
      </c>
      <c r="M14" s="74">
        <f>'12'!AD17</f>
        <v>0</v>
      </c>
      <c r="N14" s="74"/>
      <c r="O14" s="74">
        <f>'14'!AD17</f>
        <v>0</v>
      </c>
      <c r="P14" s="74">
        <f>'15'!AD17</f>
        <v>0</v>
      </c>
      <c r="Q14" s="74">
        <f>'16'!AD17</f>
        <v>0</v>
      </c>
      <c r="R14" s="74">
        <f>'17'!AD17</f>
        <v>0.16666666666666666</v>
      </c>
      <c r="S14" s="74">
        <f>'18'!AD17</f>
        <v>0.29166666666666669</v>
      </c>
      <c r="T14" s="74"/>
      <c r="U14" s="74"/>
      <c r="V14" s="74">
        <f>'21'!AD17</f>
        <v>0.41666666666666669</v>
      </c>
      <c r="W14" s="74">
        <f>'22'!AD18</f>
        <v>0</v>
      </c>
      <c r="X14" s="74">
        <f>'23'!AD17</f>
        <v>0</v>
      </c>
      <c r="Y14" s="74">
        <f>'24'!AD18</f>
        <v>0</v>
      </c>
      <c r="Z14" s="74">
        <f>'25'!AD17</f>
        <v>0</v>
      </c>
      <c r="AA14" s="74">
        <f>'26'!AD17</f>
        <v>0</v>
      </c>
      <c r="AB14" s="74">
        <f>'27'!AD17</f>
        <v>0</v>
      </c>
      <c r="AC14" s="74">
        <f>'28'!AD17</f>
        <v>0</v>
      </c>
      <c r="AD14" s="74">
        <f>'29'!AD17</f>
        <v>0</v>
      </c>
      <c r="AE14" s="74"/>
      <c r="AF14" s="75"/>
      <c r="AG14" s="76">
        <f t="shared" si="0"/>
        <v>2.9166666666666667E-2</v>
      </c>
    </row>
    <row r="15" spans="1:33" ht="21.75" customHeight="1">
      <c r="A15" s="101" t="s">
        <v>72</v>
      </c>
      <c r="B15" s="98">
        <f>'01'!AD18</f>
        <v>0.83333333333333337</v>
      </c>
      <c r="C15" s="98">
        <f>'02'!AD19</f>
        <v>1</v>
      </c>
      <c r="D15" s="77">
        <f>'03'!AD20</f>
        <v>0.95833333333333337</v>
      </c>
      <c r="E15" s="77">
        <f>'04'!AD18</f>
        <v>0.58333333333333337</v>
      </c>
      <c r="F15" s="77">
        <f>'05'!AD18</f>
        <v>0.45833333333333331</v>
      </c>
      <c r="G15" s="77"/>
      <c r="H15" s="77">
        <f>'07'!AD18</f>
        <v>0.70833333333333337</v>
      </c>
      <c r="I15" s="77">
        <f>'08'!AD18+'08'!AD19</f>
        <v>0.625</v>
      </c>
      <c r="J15" s="77">
        <f>'09'!AD18</f>
        <v>0.70833333333333337</v>
      </c>
      <c r="K15" s="77">
        <f>'10'!AD18</f>
        <v>0.375</v>
      </c>
      <c r="L15" s="77">
        <f>'11'!AD18</f>
        <v>0.625</v>
      </c>
      <c r="M15" s="77">
        <f>'12'!AD18</f>
        <v>0</v>
      </c>
      <c r="N15" s="77"/>
      <c r="O15" s="77">
        <f>'14'!AD18</f>
        <v>0.20833333333333334</v>
      </c>
      <c r="P15" s="77">
        <f>'15'!AD18</f>
        <v>0.70833333333333337</v>
      </c>
      <c r="Q15" s="77">
        <f>'16'!AD18</f>
        <v>0.16666666666666666</v>
      </c>
      <c r="R15" s="77">
        <f>'17'!AD18</f>
        <v>0.91666666666666663</v>
      </c>
      <c r="S15" s="77">
        <f>'18'!AD18</f>
        <v>0.95833333333333337</v>
      </c>
      <c r="T15" s="77"/>
      <c r="U15" s="77"/>
      <c r="V15" s="77">
        <f>'21'!AD18</f>
        <v>1</v>
      </c>
      <c r="W15" s="77">
        <f>'22'!AD19</f>
        <v>1</v>
      </c>
      <c r="X15" s="77">
        <f>'23'!AD18</f>
        <v>1</v>
      </c>
      <c r="Y15" s="77">
        <f>'24'!AD19</f>
        <v>0.75</v>
      </c>
      <c r="Z15" s="77">
        <f>'25'!AD18</f>
        <v>1</v>
      </c>
      <c r="AA15" s="77">
        <f>'26'!AD18</f>
        <v>1</v>
      </c>
      <c r="AB15" s="77">
        <f>'27'!AD18</f>
        <v>0</v>
      </c>
      <c r="AC15" s="77">
        <f>'28'!AD18</f>
        <v>1</v>
      </c>
      <c r="AD15" s="77">
        <f>'29'!AD18</f>
        <v>1</v>
      </c>
      <c r="AE15" s="77"/>
      <c r="AF15" s="78"/>
      <c r="AG15" s="79">
        <f t="shared" si="0"/>
        <v>0.58611111111111114</v>
      </c>
    </row>
    <row r="16" spans="1:33" ht="21.75" customHeight="1">
      <c r="A16" s="101" t="s">
        <v>123</v>
      </c>
      <c r="B16" s="98">
        <f>'01'!AD19</f>
        <v>0.79166666666666663</v>
      </c>
      <c r="C16" s="98">
        <f>'02'!AD20</f>
        <v>0.875</v>
      </c>
      <c r="D16" s="77">
        <f>'03'!AD21</f>
        <v>0.625</v>
      </c>
      <c r="E16" s="77">
        <f>'04'!AD19</f>
        <v>1</v>
      </c>
      <c r="F16" s="77">
        <f>'05'!AD19</f>
        <v>0.45833333333333331</v>
      </c>
      <c r="G16" s="77"/>
      <c r="H16" s="77">
        <f>'07'!AD19</f>
        <v>0.625</v>
      </c>
      <c r="I16" s="77">
        <f>'08'!AD20</f>
        <v>0.875</v>
      </c>
      <c r="J16" s="77">
        <f>'09'!AD19</f>
        <v>0.91666666666666663</v>
      </c>
      <c r="K16" s="77">
        <f>'10'!AD19</f>
        <v>0.75</v>
      </c>
      <c r="L16" s="77">
        <f>'11'!AD19</f>
        <v>0.91666666666666663</v>
      </c>
      <c r="M16" s="77">
        <f>'12'!AD19</f>
        <v>1</v>
      </c>
      <c r="N16" s="77"/>
      <c r="O16" s="77">
        <f>'14'!AD19</f>
        <v>0.79166666666666663</v>
      </c>
      <c r="P16" s="77">
        <f>'15'!AD19</f>
        <v>0.5</v>
      </c>
      <c r="Q16" s="77">
        <f>'16'!AD19</f>
        <v>1</v>
      </c>
      <c r="R16" s="77">
        <f>'17'!AD19</f>
        <v>0.66666666666666663</v>
      </c>
      <c r="S16" s="77">
        <f>'18'!AD19</f>
        <v>0.79166666666666663</v>
      </c>
      <c r="T16" s="77"/>
      <c r="U16" s="77"/>
      <c r="V16" s="77">
        <f>'21'!AD19</f>
        <v>1</v>
      </c>
      <c r="W16" s="77">
        <f>'22'!AD20</f>
        <v>0.54166666666666663</v>
      </c>
      <c r="X16" s="77">
        <f>'23'!AD19</f>
        <v>0</v>
      </c>
      <c r="Y16" s="77">
        <f>'24'!AD20</f>
        <v>0</v>
      </c>
      <c r="Z16" s="77">
        <f>'25'!AD19</f>
        <v>1</v>
      </c>
      <c r="AA16" s="77">
        <f>'26'!AD19</f>
        <v>0</v>
      </c>
      <c r="AB16" s="77">
        <f>'27'!AD19</f>
        <v>0</v>
      </c>
      <c r="AC16" s="77">
        <f>'28'!AD19</f>
        <v>0.83333333333333337</v>
      </c>
      <c r="AD16" s="77">
        <f>'29'!AD19</f>
        <v>0.79166666666666663</v>
      </c>
      <c r="AE16" s="77"/>
      <c r="AF16" s="78"/>
      <c r="AG16" s="79">
        <f t="shared" si="0"/>
        <v>0.55833333333333335</v>
      </c>
    </row>
    <row r="17" spans="1:33" ht="21.75" customHeight="1">
      <c r="A17" s="101" t="s">
        <v>124</v>
      </c>
      <c r="B17" s="98">
        <f>'01'!AD20</f>
        <v>1</v>
      </c>
      <c r="C17" s="98">
        <f>'02'!AD21</f>
        <v>1</v>
      </c>
      <c r="D17" s="77">
        <f>'03'!AD22</f>
        <v>1</v>
      </c>
      <c r="E17" s="77">
        <f>'04'!AD20</f>
        <v>0.58333333333333337</v>
      </c>
      <c r="F17" s="77">
        <f>'05'!AD20</f>
        <v>0.45833333333333331</v>
      </c>
      <c r="G17" s="77"/>
      <c r="H17" s="77">
        <f>'07'!AD20</f>
        <v>0.79166666666666663</v>
      </c>
      <c r="I17" s="77">
        <f>'08'!AD21</f>
        <v>0.875</v>
      </c>
      <c r="J17" s="77">
        <f>'09'!AD20</f>
        <v>0.54166666666666663</v>
      </c>
      <c r="K17" s="77">
        <f>'10'!AD20</f>
        <v>1</v>
      </c>
      <c r="L17" s="77">
        <f>'11'!AD20</f>
        <v>1</v>
      </c>
      <c r="M17" s="77">
        <f>'12'!AD20</f>
        <v>0.875</v>
      </c>
      <c r="N17" s="77"/>
      <c r="O17" s="77">
        <f>'14'!AD20</f>
        <v>1</v>
      </c>
      <c r="P17" s="77">
        <f>'15'!AD20</f>
        <v>1</v>
      </c>
      <c r="Q17" s="77">
        <f>'16'!AD20</f>
        <v>0.95833333333333337</v>
      </c>
      <c r="R17" s="77">
        <f>'17'!AD20</f>
        <v>1</v>
      </c>
      <c r="S17" s="77">
        <f>'18'!AD20</f>
        <v>0.91666666666666663</v>
      </c>
      <c r="T17" s="77"/>
      <c r="U17" s="77"/>
      <c r="V17" s="77">
        <f>'21'!AD20+'21'!AD21</f>
        <v>0.66666666666666674</v>
      </c>
      <c r="W17" s="77">
        <f>'22'!AD21</f>
        <v>0.83333333333333337</v>
      </c>
      <c r="X17" s="77">
        <f>'23'!AD20</f>
        <v>1</v>
      </c>
      <c r="Y17" s="77">
        <f>'24'!AD21</f>
        <v>1</v>
      </c>
      <c r="Z17" s="77">
        <f>'25'!AD20+'25'!AD21</f>
        <v>0.66666666666666663</v>
      </c>
      <c r="AA17" s="77">
        <f>'26'!AD20</f>
        <v>1.9417582417582417</v>
      </c>
      <c r="AB17" s="77">
        <f>'27'!AD20</f>
        <v>0</v>
      </c>
      <c r="AC17" s="77">
        <f>'28'!AD20</f>
        <v>0.66666666666666663</v>
      </c>
      <c r="AD17" s="77">
        <f>'29'!AD20</f>
        <v>0.16666666666666666</v>
      </c>
      <c r="AE17" s="77"/>
      <c r="AF17" s="78"/>
      <c r="AG17" s="79">
        <f t="shared" si="0"/>
        <v>0.69805860805860809</v>
      </c>
    </row>
    <row r="18" spans="1:33" ht="21.75" customHeight="1" thickBot="1">
      <c r="A18" s="102" t="s">
        <v>125</v>
      </c>
      <c r="B18" s="99">
        <f>'01'!AD21</f>
        <v>0.41666666666666669</v>
      </c>
      <c r="C18" s="99">
        <f>'02'!AD22</f>
        <v>0.45833333333333331</v>
      </c>
      <c r="D18" s="80">
        <f>'03'!AD23</f>
        <v>0.45833333333333331</v>
      </c>
      <c r="E18" s="80">
        <f>'04'!AD21</f>
        <v>0.45833333333333331</v>
      </c>
      <c r="F18" s="80">
        <f>'05'!AD21</f>
        <v>0</v>
      </c>
      <c r="G18" s="80"/>
      <c r="H18" s="80">
        <f>'07'!AD21</f>
        <v>0.41666666666666669</v>
      </c>
      <c r="I18" s="80">
        <f>'08'!AD22</f>
        <v>0.5</v>
      </c>
      <c r="J18" s="80">
        <f>'09'!AD21</f>
        <v>0.5</v>
      </c>
      <c r="K18" s="80">
        <f>'10'!AD21</f>
        <v>0.5</v>
      </c>
      <c r="L18" s="80">
        <f>'11'!AD21</f>
        <v>0.5</v>
      </c>
      <c r="M18" s="80">
        <f>'12'!AD21</f>
        <v>0.41666666666666669</v>
      </c>
      <c r="N18" s="80"/>
      <c r="O18" s="80">
        <f>'14'!AD21</f>
        <v>0.45833333333333331</v>
      </c>
      <c r="P18" s="80">
        <f>'15'!AD21</f>
        <v>0.54166666666666663</v>
      </c>
      <c r="Q18" s="80">
        <f>'16'!AD21</f>
        <v>0.16666666666666666</v>
      </c>
      <c r="R18" s="80">
        <f>'17'!AD21</f>
        <v>0</v>
      </c>
      <c r="S18" s="80">
        <f>'18'!AD21</f>
        <v>0</v>
      </c>
      <c r="T18" s="80"/>
      <c r="U18" s="80"/>
      <c r="V18" s="80">
        <f>'21'!AD22</f>
        <v>0</v>
      </c>
      <c r="W18" s="80">
        <f>'22'!AD22</f>
        <v>0</v>
      </c>
      <c r="X18" s="80">
        <f>'23'!AD21</f>
        <v>0</v>
      </c>
      <c r="Y18" s="80">
        <f>'24'!AD22</f>
        <v>0</v>
      </c>
      <c r="Z18" s="80">
        <f>'25'!AD22</f>
        <v>0</v>
      </c>
      <c r="AA18" s="80">
        <f>'26'!AD21</f>
        <v>0</v>
      </c>
      <c r="AB18" s="80">
        <f>'27'!AD21</f>
        <v>0</v>
      </c>
      <c r="AC18" s="80">
        <f>'28'!AD21</f>
        <v>0</v>
      </c>
      <c r="AD18" s="80">
        <f>'29'!AD21</f>
        <v>0</v>
      </c>
      <c r="AE18" s="80"/>
      <c r="AF18" s="81"/>
      <c r="AG18" s="82">
        <f t="shared" si="0"/>
        <v>0.19305555555555556</v>
      </c>
    </row>
    <row r="19" spans="1:33" s="83" customFormat="1" ht="21.75" customHeight="1">
      <c r="A19" s="87" t="s">
        <v>104</v>
      </c>
      <c r="B19" s="91">
        <f>'01'!AD22</f>
        <v>0.46614583333333337</v>
      </c>
      <c r="C19" s="91">
        <f>'02'!AD23</f>
        <v>0.49264705882352944</v>
      </c>
      <c r="D19" s="92">
        <f>'03'!AD24</f>
        <v>0.32638888888888884</v>
      </c>
      <c r="E19" s="92">
        <f>'04'!AD22</f>
        <v>0.31510416666666663</v>
      </c>
      <c r="F19" s="92">
        <f>'05'!AD22</f>
        <v>0.16145833333333334</v>
      </c>
      <c r="G19" s="92"/>
      <c r="H19" s="92">
        <f>'07'!AD22</f>
        <v>0.38802083333333337</v>
      </c>
      <c r="I19" s="92">
        <f>'08'!AD23</f>
        <v>0.43137254901960781</v>
      </c>
      <c r="J19" s="92">
        <f>'09'!AD22</f>
        <v>0.41666666666666669</v>
      </c>
      <c r="K19" s="92">
        <f>'10'!AD22</f>
        <v>0.38020833333333337</v>
      </c>
      <c r="L19" s="92">
        <f>'11'!AD22</f>
        <v>0.43750000000000006</v>
      </c>
      <c r="M19" s="92">
        <f>'12'!AD22</f>
        <v>0.33072916666666669</v>
      </c>
      <c r="N19" s="92"/>
      <c r="O19" s="92">
        <f>'14'!AD22</f>
        <v>0.44531249999999994</v>
      </c>
      <c r="P19" s="92">
        <f>'15'!AD22</f>
        <v>0.50520833333333326</v>
      </c>
      <c r="Q19" s="92">
        <f>'16'!AD22</f>
        <v>0.4609375</v>
      </c>
      <c r="R19" s="92">
        <f>'17'!AD22</f>
        <v>0.49479166666666674</v>
      </c>
      <c r="S19" s="92">
        <f>'18'!AD22</f>
        <v>0.57552083333333326</v>
      </c>
      <c r="T19" s="92"/>
      <c r="U19" s="92"/>
      <c r="V19" s="92">
        <f>'21'!AD23</f>
        <v>0.57843137254901966</v>
      </c>
      <c r="W19" s="92">
        <f>'22'!AD23</f>
        <v>0.53431372549019607</v>
      </c>
      <c r="X19" s="92">
        <f>'23'!AD22</f>
        <v>0.58333333333333337</v>
      </c>
      <c r="Y19" s="92">
        <f>'24'!AD23</f>
        <v>0.40686274509803916</v>
      </c>
      <c r="Z19" s="92">
        <f>'25'!AD23</f>
        <v>0.43382352941176472</v>
      </c>
      <c r="AA19" s="92">
        <f>'26'!AD22</f>
        <v>0.49635989010989012</v>
      </c>
      <c r="AB19" s="92">
        <f>'27'!AD22</f>
        <v>6.25E-2</v>
      </c>
      <c r="AC19" s="92">
        <f>'28'!AD22</f>
        <v>0.37239583333333337</v>
      </c>
      <c r="AD19" s="92">
        <f>'29'!AD22</f>
        <v>0.4140625</v>
      </c>
      <c r="AE19" s="92"/>
      <c r="AF19" s="93"/>
      <c r="AG19" s="94">
        <f t="shared" si="0"/>
        <v>0.3503365197574756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26</vt:i4>
      </vt:variant>
      <vt:variant>
        <vt:lpstr>이름 지정된 범위</vt:lpstr>
      </vt:variant>
      <vt:variant>
        <vt:i4>50</vt:i4>
      </vt:variant>
    </vt:vector>
  </HeadingPairs>
  <TitlesOfParts>
    <vt:vector size="76" baseType="lpstr">
      <vt:lpstr>01</vt:lpstr>
      <vt:lpstr>02</vt:lpstr>
      <vt:lpstr>03</vt:lpstr>
      <vt:lpstr>04</vt:lpstr>
      <vt:lpstr>05</vt:lpstr>
      <vt:lpstr>07</vt:lpstr>
      <vt:lpstr>08</vt:lpstr>
      <vt:lpstr>09</vt:lpstr>
      <vt:lpstr>10</vt:lpstr>
      <vt:lpstr>11</vt:lpstr>
      <vt:lpstr>12</vt:lpstr>
      <vt:lpstr>14</vt:lpstr>
      <vt:lpstr>15</vt:lpstr>
      <vt:lpstr>16</vt:lpstr>
      <vt:lpstr>17</vt:lpstr>
      <vt:lpstr>18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총괄</vt:lpstr>
      <vt:lpstr>'01'!Print_Area</vt:lpstr>
      <vt:lpstr>'02'!Print_Area</vt:lpstr>
      <vt:lpstr>'03'!Print_Area</vt:lpstr>
      <vt:lpstr>'04'!Print_Area</vt:lpstr>
      <vt:lpstr>'05'!Print_Area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'14'!Print_Area</vt:lpstr>
      <vt:lpstr>'15'!Print_Area</vt:lpstr>
      <vt:lpstr>'16'!Print_Area</vt:lpstr>
      <vt:lpstr>'17'!Print_Area</vt:lpstr>
      <vt:lpstr>'18'!Print_Area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'01'!ㅁ1</vt:lpstr>
      <vt:lpstr>'02'!ㅁ1</vt:lpstr>
      <vt:lpstr>'03'!ㅁ1</vt:lpstr>
      <vt:lpstr>'04'!ㅁ1</vt:lpstr>
      <vt:lpstr>'05'!ㅁ1</vt:lpstr>
      <vt:lpstr>'07'!ㅁ1</vt:lpstr>
      <vt:lpstr>'08'!ㅁ1</vt:lpstr>
      <vt:lpstr>'09'!ㅁ1</vt:lpstr>
      <vt:lpstr>'10'!ㅁ1</vt:lpstr>
      <vt:lpstr>'11'!ㅁ1</vt:lpstr>
      <vt:lpstr>'12'!ㅁ1</vt:lpstr>
      <vt:lpstr>'14'!ㅁ1</vt:lpstr>
      <vt:lpstr>'15'!ㅁ1</vt:lpstr>
      <vt:lpstr>'16'!ㅁ1</vt:lpstr>
      <vt:lpstr>'17'!ㅁ1</vt:lpstr>
      <vt:lpstr>'18'!ㅁ1</vt:lpstr>
      <vt:lpstr>'21'!ㅁ1</vt:lpstr>
      <vt:lpstr>'22'!ㅁ1</vt:lpstr>
      <vt:lpstr>'23'!ㅁ1</vt:lpstr>
      <vt:lpstr>'24'!ㅁ1</vt:lpstr>
      <vt:lpstr>'25'!ㅁ1</vt:lpstr>
      <vt:lpstr>'26'!ㅁ1</vt:lpstr>
      <vt:lpstr>'27'!ㅁ1</vt:lpstr>
      <vt:lpstr>'28'!ㅁ1</vt:lpstr>
      <vt:lpstr>'29'!ㅁ1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2020-03-30T05:00:42Z</cp:lastPrinted>
  <dcterms:created xsi:type="dcterms:W3CDTF">2014-05-16T00:06:55Z</dcterms:created>
  <dcterms:modified xsi:type="dcterms:W3CDTF">2020-10-03T05:50:41Z</dcterms:modified>
</cp:coreProperties>
</file>