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21년도\일일업무\생산일보\"/>
    </mc:Choice>
  </mc:AlternateContent>
  <xr:revisionPtr revIDLastSave="0" documentId="13_ncr:1_{74D7EA82-9C81-4DFF-AB98-9157B92A861B}" xr6:coauthVersionLast="46" xr6:coauthVersionMax="46" xr10:uidLastSave="{00000000-0000-0000-0000-000000000000}"/>
  <bookViews>
    <workbookView xWindow="-120" yWindow="-120" windowWidth="29040" windowHeight="15840" firstSheet="1" activeTab="23" xr2:uid="{00000000-000D-0000-FFFF-FFFF00000000}"/>
  </bookViews>
  <sheets>
    <sheet name="01" sheetId="1908" r:id="rId1"/>
    <sheet name="02" sheetId="1909" r:id="rId2"/>
    <sheet name="04" sheetId="1910" r:id="rId3"/>
    <sheet name="05" sheetId="1911" r:id="rId4"/>
    <sheet name="06" sheetId="1912" r:id="rId5"/>
    <sheet name="07" sheetId="1913" r:id="rId6"/>
    <sheet name="08" sheetId="1914" r:id="rId7"/>
    <sheet name="09" sheetId="1915" r:id="rId8"/>
    <sheet name="11" sheetId="1916" r:id="rId9"/>
    <sheet name="12" sheetId="1917" r:id="rId10"/>
    <sheet name="13" sheetId="1918" r:id="rId11"/>
    <sheet name="14" sheetId="1919" r:id="rId12"/>
    <sheet name="15" sheetId="1920" r:id="rId13"/>
    <sheet name="18" sheetId="1921" r:id="rId14"/>
    <sheet name="19" sheetId="1922" r:id="rId15"/>
    <sheet name="20" sheetId="1923" r:id="rId16"/>
    <sheet name="21" sheetId="1924" r:id="rId17"/>
    <sheet name="22" sheetId="1925" r:id="rId18"/>
    <sheet name="23" sheetId="1926" r:id="rId19"/>
    <sheet name="25" sheetId="1927" r:id="rId20"/>
    <sheet name="26" sheetId="1928" r:id="rId21"/>
    <sheet name="27" sheetId="1929" r:id="rId22"/>
    <sheet name="28" sheetId="1930" r:id="rId23"/>
    <sheet name="29" sheetId="1931" r:id="rId24"/>
    <sheet name="총괄" sheetId="16" r:id="rId25"/>
  </sheets>
  <definedNames>
    <definedName name="_xlnm.Print_Area" localSheetId="0">'01'!$A$1:$AD$88</definedName>
    <definedName name="_xlnm.Print_Area" localSheetId="1">'02'!$A$1:$AD$87</definedName>
    <definedName name="_xlnm.Print_Area" localSheetId="2">'04'!$A$1:$AD$90</definedName>
    <definedName name="_xlnm.Print_Area" localSheetId="3">'05'!$A$1:$AD$87</definedName>
    <definedName name="_xlnm.Print_Area" localSheetId="4">'06'!$A$1:$AD$89</definedName>
    <definedName name="_xlnm.Print_Area" localSheetId="5">'07'!$A$1:$AD$90</definedName>
    <definedName name="_xlnm.Print_Area" localSheetId="6">'08'!$A$1:$AD$87</definedName>
    <definedName name="_xlnm.Print_Area" localSheetId="7">'09'!$A$1:$AD$88</definedName>
    <definedName name="_xlnm.Print_Area" localSheetId="8">'11'!$A$1:$AD$88</definedName>
    <definedName name="_xlnm.Print_Area" localSheetId="9">'12'!$A$1:$AD$88</definedName>
    <definedName name="_xlnm.Print_Area" localSheetId="10">'13'!$A$1:$AD$88</definedName>
    <definedName name="_xlnm.Print_Area" localSheetId="11">'14'!$A$1:$AD$89</definedName>
    <definedName name="_xlnm.Print_Area" localSheetId="12">'15'!$A$1:$AD$87</definedName>
    <definedName name="_xlnm.Print_Area" localSheetId="13">'18'!$A$1:$AD$88</definedName>
    <definedName name="_xlnm.Print_Area" localSheetId="14">'19'!$A$1:$AD$87</definedName>
    <definedName name="_xlnm.Print_Area" localSheetId="15">'20'!$A$1:$AD$87</definedName>
    <definedName name="_xlnm.Print_Area" localSheetId="16">'21'!$A$1:$AD$87</definedName>
    <definedName name="_xlnm.Print_Area" localSheetId="17">'22'!$A$1:$AD$87</definedName>
    <definedName name="_xlnm.Print_Area" localSheetId="18">'23'!$A$1:$AD$87</definedName>
    <definedName name="_xlnm.Print_Area" localSheetId="19">'25'!$A$1:$AD$87</definedName>
    <definedName name="_xlnm.Print_Area" localSheetId="20">'26'!$A$1:$AD$87</definedName>
    <definedName name="_xlnm.Print_Area" localSheetId="21">'27'!$A$1:$AD$88</definedName>
    <definedName name="_xlnm.Print_Area" localSheetId="22">'28'!$A$1:$AD$87</definedName>
    <definedName name="_xlnm.Print_Area" localSheetId="23">'29'!$A$1:$AD$88</definedName>
    <definedName name="ㅁ1" localSheetId="0">'01'!$M$1048523:$M$1048576</definedName>
    <definedName name="ㅁ1" localSheetId="1">'02'!$M$1048522:$M$1048576</definedName>
    <definedName name="ㅁ1" localSheetId="2">'04'!$M$1048525:$M$1048576</definedName>
    <definedName name="ㅁ1" localSheetId="3">'05'!$M$1048522:$M$1048576</definedName>
    <definedName name="ㅁ1" localSheetId="4">'06'!$M$1048524:$M$1048576</definedName>
    <definedName name="ㅁ1" localSheetId="5">'07'!$M$1048525:$M$1048576</definedName>
    <definedName name="ㅁ1" localSheetId="6">'08'!$M$1048522:$M$1048576</definedName>
    <definedName name="ㅁ1" localSheetId="7">'09'!$M$1048523:$M$1048576</definedName>
    <definedName name="ㅁ1" localSheetId="8">'11'!$M$1048523:$M$1048576</definedName>
    <definedName name="ㅁ1" localSheetId="9">'12'!$M$1048523:$M$1048576</definedName>
    <definedName name="ㅁ1" localSheetId="10">'13'!$M$1048523:$M$1048576</definedName>
    <definedName name="ㅁ1" localSheetId="11">'14'!$M$1048524:$M$1048576</definedName>
    <definedName name="ㅁ1" localSheetId="12">'15'!$M$1048522:$M$1048576</definedName>
    <definedName name="ㅁ1" localSheetId="13">'18'!$M$1048523:$M$1048576</definedName>
    <definedName name="ㅁ1" localSheetId="14">'19'!$M$1048522:$M$1048576</definedName>
    <definedName name="ㅁ1" localSheetId="15">'20'!$M$1048522:$M$1048576</definedName>
    <definedName name="ㅁ1" localSheetId="16">'21'!$M$1048522:$M$1048576</definedName>
    <definedName name="ㅁ1" localSheetId="17">'22'!$M$1048522:$M$1048576</definedName>
    <definedName name="ㅁ1" localSheetId="18">'23'!$M$1048522:$M$1048576</definedName>
    <definedName name="ㅁ1" localSheetId="19">'25'!$M$1048522:$M$1048576</definedName>
    <definedName name="ㅁ1" localSheetId="20">'26'!$M$1048522:$M$1048576</definedName>
    <definedName name="ㅁ1" localSheetId="21">'27'!$M$1048523:$M$1048576</definedName>
    <definedName name="ㅁ1" localSheetId="22">'28'!$M$1048522:$M$1048576</definedName>
    <definedName name="ㅁ1" localSheetId="23">'29'!$M$1048523:$M$1048576</definedName>
    <definedName name="ㅁ1">#REF!</definedName>
  </definedNames>
  <calcPr calcId="181029"/>
</workbook>
</file>

<file path=xl/calcChain.xml><?xml version="1.0" encoding="utf-8"?>
<calcChain xmlns="http://schemas.openxmlformats.org/spreadsheetml/2006/main">
  <c r="AD19" i="16" l="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2" i="1931"/>
  <c r="M22" i="1931" s="1"/>
  <c r="L21" i="1931"/>
  <c r="L20" i="1931"/>
  <c r="AB20" i="1931" s="1"/>
  <c r="K20" i="1931"/>
  <c r="L19" i="1931"/>
  <c r="L18" i="1931"/>
  <c r="K17" i="1931"/>
  <c r="L16" i="1931"/>
  <c r="M16" i="1931" s="1"/>
  <c r="K14" i="1931"/>
  <c r="AF14" i="1931"/>
  <c r="AB14" i="1931"/>
  <c r="Q14" i="1931"/>
  <c r="P14" i="1931" s="1"/>
  <c r="AC14" i="1931" s="1"/>
  <c r="AD14" i="1931" s="1"/>
  <c r="O14" i="1931"/>
  <c r="M14" i="1931"/>
  <c r="L12" i="1931"/>
  <c r="M12" i="1931" s="1"/>
  <c r="L10" i="1931"/>
  <c r="M10" i="1931" s="1"/>
  <c r="L9" i="1931"/>
  <c r="M9" i="1931" s="1"/>
  <c r="L7" i="1931"/>
  <c r="K7" i="1931"/>
  <c r="K6" i="1931"/>
  <c r="K21" i="1931"/>
  <c r="K19" i="1931"/>
  <c r="K18" i="1931"/>
  <c r="K16" i="1931"/>
  <c r="K13" i="1931"/>
  <c r="K12" i="1931"/>
  <c r="K10" i="1931"/>
  <c r="K9" i="1931"/>
  <c r="A78" i="1931"/>
  <c r="A79" i="1931" s="1"/>
  <c r="A80" i="1931" s="1"/>
  <c r="A81" i="1931" s="1"/>
  <c r="A82" i="1931" s="1"/>
  <c r="A83" i="1931" s="1"/>
  <c r="AF62" i="1931"/>
  <c r="AF61" i="1931"/>
  <c r="AA23" i="1931"/>
  <c r="Z23" i="1931"/>
  <c r="Y23" i="1931"/>
  <c r="X23" i="1931"/>
  <c r="W23" i="1931"/>
  <c r="V23" i="1931"/>
  <c r="U23" i="1931"/>
  <c r="T23" i="1931"/>
  <c r="S23" i="1931"/>
  <c r="R23" i="1931"/>
  <c r="N23" i="1931"/>
  <c r="J23" i="1931"/>
  <c r="AF22" i="1931"/>
  <c r="AB22" i="1931"/>
  <c r="Q22" i="1931"/>
  <c r="AF21" i="1931"/>
  <c r="Q21" i="1931"/>
  <c r="P21" i="1931" s="1"/>
  <c r="AC21" i="1931" s="1"/>
  <c r="AF20" i="1931"/>
  <c r="Q20" i="1931"/>
  <c r="P20" i="1931"/>
  <c r="AC20" i="1931" s="1"/>
  <c r="O20" i="1931"/>
  <c r="AF19" i="1931"/>
  <c r="AB19" i="1931"/>
  <c r="Q19" i="1931"/>
  <c r="M19" i="1931"/>
  <c r="AF18" i="1931"/>
  <c r="Q18" i="1931"/>
  <c r="P18" i="1931" s="1"/>
  <c r="AC18" i="1931" s="1"/>
  <c r="AF17" i="1931"/>
  <c r="AB17" i="1931"/>
  <c r="Q17" i="1931"/>
  <c r="P17" i="1931" s="1"/>
  <c r="AC17" i="1931" s="1"/>
  <c r="O17" i="1931"/>
  <c r="M17" i="1931"/>
  <c r="AF16" i="1931"/>
  <c r="AB16" i="1931"/>
  <c r="Q16" i="1931"/>
  <c r="AF15" i="1931"/>
  <c r="AB15" i="1931"/>
  <c r="Q15" i="1931"/>
  <c r="P15" i="1931"/>
  <c r="AC15" i="1931" s="1"/>
  <c r="O15" i="1931"/>
  <c r="M15" i="1931"/>
  <c r="K15" i="1931"/>
  <c r="AF13" i="1931"/>
  <c r="AB13" i="1931"/>
  <c r="Q13" i="1931"/>
  <c r="P13" i="1931" s="1"/>
  <c r="AC13" i="1931" s="1"/>
  <c r="O13" i="1931"/>
  <c r="M13" i="1931"/>
  <c r="AF12" i="1931"/>
  <c r="AB12" i="1931"/>
  <c r="Q12" i="1931"/>
  <c r="P12" i="1931" s="1"/>
  <c r="AC12" i="1931" s="1"/>
  <c r="AF11" i="1931"/>
  <c r="AB11" i="1931"/>
  <c r="Q11" i="1931"/>
  <c r="P11" i="1931"/>
  <c r="AC11" i="1931" s="1"/>
  <c r="O11" i="1931"/>
  <c r="M11" i="1931"/>
  <c r="K11" i="1931"/>
  <c r="AF10" i="1931"/>
  <c r="Q10" i="1931"/>
  <c r="O10" i="1931"/>
  <c r="AF9" i="1931"/>
  <c r="AB9" i="1931"/>
  <c r="Q9" i="1931"/>
  <c r="P9" i="1931" s="1"/>
  <c r="AC9" i="1931" s="1"/>
  <c r="I9" i="1931"/>
  <c r="I23" i="1931" s="1"/>
  <c r="AF8" i="1931"/>
  <c r="AB8" i="1931"/>
  <c r="Q8" i="1931"/>
  <c r="P8" i="1931"/>
  <c r="AC8" i="1931" s="1"/>
  <c r="O8" i="1931"/>
  <c r="M8" i="1931"/>
  <c r="K8" i="1931"/>
  <c r="AF7" i="1931"/>
  <c r="AB7" i="1931"/>
  <c r="Q7" i="1931"/>
  <c r="O7" i="1931"/>
  <c r="M7" i="1931"/>
  <c r="AF6" i="1931"/>
  <c r="AB6" i="1931"/>
  <c r="Q6" i="1931"/>
  <c r="O6" i="1931"/>
  <c r="M6" i="1931"/>
  <c r="AC19" i="16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L21" i="1930"/>
  <c r="L20" i="1930"/>
  <c r="K20" i="1930" s="1"/>
  <c r="L18" i="1930"/>
  <c r="L17" i="1930"/>
  <c r="L15" i="1930"/>
  <c r="K15" i="1930"/>
  <c r="L13" i="1930"/>
  <c r="K13" i="1930" s="1"/>
  <c r="L12" i="1930"/>
  <c r="L10" i="1930"/>
  <c r="L9" i="1930"/>
  <c r="P22" i="1931" l="1"/>
  <c r="AC22" i="1931" s="1"/>
  <c r="K22" i="1931"/>
  <c r="M20" i="1931"/>
  <c r="P19" i="1931"/>
  <c r="AC19" i="1931" s="1"/>
  <c r="AC23" i="1931" s="1"/>
  <c r="P16" i="1931"/>
  <c r="AC16" i="1931" s="1"/>
  <c r="AB10" i="1931"/>
  <c r="AF64" i="1931"/>
  <c r="P10" i="1931"/>
  <c r="AC10" i="1931" s="1"/>
  <c r="AD10" i="1931"/>
  <c r="P7" i="1931"/>
  <c r="AC7" i="1931" s="1"/>
  <c r="Q23" i="1931"/>
  <c r="P6" i="1931"/>
  <c r="AC6" i="1931" s="1"/>
  <c r="AD11" i="1931"/>
  <c r="AD8" i="1931"/>
  <c r="AD13" i="1931"/>
  <c r="AD20" i="1931"/>
  <c r="AD7" i="1931"/>
  <c r="AD15" i="1931"/>
  <c r="AD17" i="1931"/>
  <c r="AD6" i="1931"/>
  <c r="L23" i="1931"/>
  <c r="O23" i="1931" s="1"/>
  <c r="O9" i="1931"/>
  <c r="AD9" i="1931" s="1"/>
  <c r="O12" i="1931"/>
  <c r="AD12" i="1931" s="1"/>
  <c r="K23" i="1931"/>
  <c r="O16" i="1931"/>
  <c r="M18" i="1931"/>
  <c r="AB18" i="1931"/>
  <c r="O19" i="1931"/>
  <c r="M21" i="1931"/>
  <c r="AB21" i="1931"/>
  <c r="O22" i="1931"/>
  <c r="AD22" i="1931" s="1"/>
  <c r="O18" i="1931"/>
  <c r="O21" i="1931"/>
  <c r="K21" i="1930"/>
  <c r="K19" i="1930"/>
  <c r="K18" i="1930"/>
  <c r="K17" i="1930"/>
  <c r="K16" i="1930"/>
  <c r="K12" i="1930"/>
  <c r="K11" i="1930"/>
  <c r="K10" i="1930"/>
  <c r="K9" i="1930"/>
  <c r="K6" i="1930"/>
  <c r="A77" i="1930"/>
  <c r="A78" i="1930" s="1"/>
  <c r="A79" i="1930" s="1"/>
  <c r="A80" i="1930" s="1"/>
  <c r="A81" i="1930" s="1"/>
  <c r="A82" i="1930" s="1"/>
  <c r="AF61" i="1930"/>
  <c r="AF60" i="1930"/>
  <c r="AF63" i="1930" s="1"/>
  <c r="AA22" i="1930"/>
  <c r="Z22" i="1930"/>
  <c r="Y22" i="1930"/>
  <c r="X22" i="1930"/>
  <c r="W22" i="1930"/>
  <c r="V22" i="1930"/>
  <c r="U22" i="1930"/>
  <c r="T22" i="1930"/>
  <c r="S22" i="1930"/>
  <c r="R22" i="1930"/>
  <c r="N22" i="1930"/>
  <c r="J22" i="1930"/>
  <c r="AF21" i="1930"/>
  <c r="AB21" i="1930"/>
  <c r="Q21" i="1930"/>
  <c r="M21" i="1930"/>
  <c r="O21" i="1930"/>
  <c r="AF20" i="1930"/>
  <c r="AB20" i="1930"/>
  <c r="Q20" i="1930"/>
  <c r="P20" i="1930" s="1"/>
  <c r="AC20" i="1930" s="1"/>
  <c r="O20" i="1930"/>
  <c r="M20" i="1930"/>
  <c r="AF19" i="1930"/>
  <c r="AB19" i="1930"/>
  <c r="Q19" i="1930"/>
  <c r="O19" i="1930"/>
  <c r="M19" i="1930"/>
  <c r="P19" i="1930"/>
  <c r="AC19" i="1930" s="1"/>
  <c r="AF18" i="1930"/>
  <c r="Q18" i="1930"/>
  <c r="O18" i="1930"/>
  <c r="AF17" i="1930"/>
  <c r="Q17" i="1930"/>
  <c r="AB17" i="1930"/>
  <c r="AF16" i="1930"/>
  <c r="AB16" i="1930"/>
  <c r="Q16" i="1930"/>
  <c r="P16" i="1930"/>
  <c r="AC16" i="1930" s="1"/>
  <c r="O16" i="1930"/>
  <c r="M16" i="1930"/>
  <c r="AF15" i="1930"/>
  <c r="Q15" i="1930"/>
  <c r="O15" i="1930"/>
  <c r="AF14" i="1930"/>
  <c r="AB14" i="1930"/>
  <c r="Q14" i="1930"/>
  <c r="P14" i="1930"/>
  <c r="AC14" i="1930" s="1"/>
  <c r="O14" i="1930"/>
  <c r="M14" i="1930"/>
  <c r="K14" i="1930"/>
  <c r="AF13" i="1930"/>
  <c r="AB13" i="1930"/>
  <c r="Q13" i="1930"/>
  <c r="P13" i="1930" s="1"/>
  <c r="AC13" i="1930" s="1"/>
  <c r="O13" i="1930"/>
  <c r="M13" i="1930"/>
  <c r="AF12" i="1930"/>
  <c r="AB12" i="1930"/>
  <c r="Q12" i="1930"/>
  <c r="P12" i="1930" s="1"/>
  <c r="AC12" i="1930" s="1"/>
  <c r="O12" i="1930"/>
  <c r="M12" i="1930"/>
  <c r="AF11" i="1930"/>
  <c r="Q11" i="1930"/>
  <c r="O11" i="1930"/>
  <c r="AF10" i="1930"/>
  <c r="Q10" i="1930"/>
  <c r="P10" i="1930" s="1"/>
  <c r="AC10" i="1930" s="1"/>
  <c r="AB10" i="1930"/>
  <c r="AF9" i="1930"/>
  <c r="AB9" i="1930"/>
  <c r="Q9" i="1930"/>
  <c r="P9" i="1930" s="1"/>
  <c r="AC9" i="1930" s="1"/>
  <c r="O9" i="1930"/>
  <c r="M9" i="1930"/>
  <c r="I9" i="1930"/>
  <c r="I22" i="1930" s="1"/>
  <c r="AF8" i="1930"/>
  <c r="AB8" i="1930"/>
  <c r="Q8" i="1930"/>
  <c r="P8" i="1930"/>
  <c r="AC8" i="1930" s="1"/>
  <c r="O8" i="1930"/>
  <c r="M8" i="1930"/>
  <c r="K8" i="1930"/>
  <c r="AF7" i="1930"/>
  <c r="AB7" i="1930"/>
  <c r="Q7" i="1930"/>
  <c r="P7" i="1930"/>
  <c r="AC7" i="1930" s="1"/>
  <c r="AD7" i="1930" s="1"/>
  <c r="O7" i="1930"/>
  <c r="M7" i="1930"/>
  <c r="K7" i="1930"/>
  <c r="AF6" i="1930"/>
  <c r="AB6" i="1930"/>
  <c r="Q6" i="1930"/>
  <c r="P6" i="1930"/>
  <c r="O6" i="1930"/>
  <c r="M6" i="1930"/>
  <c r="L22" i="1930"/>
  <c r="O22" i="1930" s="1"/>
  <c r="AB19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P71" i="1929"/>
  <c r="P66" i="1929"/>
  <c r="L22" i="1929"/>
  <c r="L20" i="1929"/>
  <c r="K20" i="1929"/>
  <c r="L19" i="1929"/>
  <c r="K19" i="1929" s="1"/>
  <c r="L18" i="1929"/>
  <c r="K18" i="1929" s="1"/>
  <c r="L16" i="1929"/>
  <c r="O16" i="1929" s="1"/>
  <c r="K16" i="1929"/>
  <c r="AF14" i="1929"/>
  <c r="AB14" i="1929"/>
  <c r="Q14" i="1929"/>
  <c r="P14" i="1929" s="1"/>
  <c r="AC14" i="1929" s="1"/>
  <c r="O14" i="1929"/>
  <c r="M14" i="1929"/>
  <c r="K14" i="1929"/>
  <c r="K13" i="1929"/>
  <c r="L12" i="1929"/>
  <c r="K12" i="1929" s="1"/>
  <c r="L11" i="1929"/>
  <c r="K11" i="1929" s="1"/>
  <c r="L10" i="1929"/>
  <c r="P10" i="1929" s="1"/>
  <c r="AC10" i="1929" s="1"/>
  <c r="L9" i="1929"/>
  <c r="M9" i="1929" s="1"/>
  <c r="L6" i="1929"/>
  <c r="K6" i="1929" s="1"/>
  <c r="K22" i="1929"/>
  <c r="K17" i="1929"/>
  <c r="K10" i="1929"/>
  <c r="A78" i="1929"/>
  <c r="A79" i="1929" s="1"/>
  <c r="A80" i="1929" s="1"/>
  <c r="A81" i="1929" s="1"/>
  <c r="A82" i="1929" s="1"/>
  <c r="A83" i="1929" s="1"/>
  <c r="AF62" i="1929"/>
  <c r="AF61" i="1929"/>
  <c r="AF64" i="1929" s="1"/>
  <c r="AA23" i="1929"/>
  <c r="Z23" i="1929"/>
  <c r="Y23" i="1929"/>
  <c r="X23" i="1929"/>
  <c r="W23" i="1929"/>
  <c r="V23" i="1929"/>
  <c r="U23" i="1929"/>
  <c r="T23" i="1929"/>
  <c r="S23" i="1929"/>
  <c r="R23" i="1929"/>
  <c r="N23" i="1929"/>
  <c r="J23" i="1929"/>
  <c r="AF22" i="1929"/>
  <c r="AB22" i="1929"/>
  <c r="Q22" i="1929"/>
  <c r="P22" i="1929"/>
  <c r="AC22" i="1929" s="1"/>
  <c r="O22" i="1929"/>
  <c r="M22" i="1929"/>
  <c r="AF21" i="1929"/>
  <c r="AB21" i="1929"/>
  <c r="Q21" i="1929"/>
  <c r="P21" i="1929"/>
  <c r="AC21" i="1929" s="1"/>
  <c r="O21" i="1929"/>
  <c r="M21" i="1929"/>
  <c r="K21" i="1929"/>
  <c r="AF20" i="1929"/>
  <c r="AB20" i="1929"/>
  <c r="Q20" i="1929"/>
  <c r="P20" i="1929"/>
  <c r="AC20" i="1929" s="1"/>
  <c r="O20" i="1929"/>
  <c r="M20" i="1929"/>
  <c r="AF19" i="1929"/>
  <c r="Q19" i="1929"/>
  <c r="AF18" i="1929"/>
  <c r="Q18" i="1929"/>
  <c r="AF17" i="1929"/>
  <c r="Q17" i="1929"/>
  <c r="P17" i="1929"/>
  <c r="AC17" i="1929" s="1"/>
  <c r="AB17" i="1929"/>
  <c r="AF16" i="1929"/>
  <c r="Q16" i="1929"/>
  <c r="P16" i="1929" s="1"/>
  <c r="AC16" i="1929" s="1"/>
  <c r="AF15" i="1929"/>
  <c r="AB15" i="1929"/>
  <c r="Q15" i="1929"/>
  <c r="P15" i="1929"/>
  <c r="AC15" i="1929" s="1"/>
  <c r="O15" i="1929"/>
  <c r="M15" i="1929"/>
  <c r="K15" i="1929"/>
  <c r="AF13" i="1929"/>
  <c r="Q13" i="1929"/>
  <c r="P13" i="1929" s="1"/>
  <c r="AC13" i="1929" s="1"/>
  <c r="O13" i="1929"/>
  <c r="AF12" i="1929"/>
  <c r="Q12" i="1929"/>
  <c r="M12" i="1929"/>
  <c r="AF11" i="1929"/>
  <c r="AB11" i="1929"/>
  <c r="Q11" i="1929"/>
  <c r="O11" i="1929"/>
  <c r="M11" i="1929"/>
  <c r="AF10" i="1929"/>
  <c r="Q10" i="1929"/>
  <c r="O10" i="1929"/>
  <c r="AF9" i="1929"/>
  <c r="AB9" i="1929"/>
  <c r="Q9" i="1929"/>
  <c r="I9" i="1929"/>
  <c r="I23" i="1929" s="1"/>
  <c r="AF8" i="1929"/>
  <c r="AB8" i="1929"/>
  <c r="Q8" i="1929"/>
  <c r="P8" i="1929"/>
  <c r="AC8" i="1929" s="1"/>
  <c r="O8" i="1929"/>
  <c r="M8" i="1929"/>
  <c r="K8" i="1929"/>
  <c r="AF7" i="1929"/>
  <c r="AB7" i="1929"/>
  <c r="Q7" i="1929"/>
  <c r="P7" i="1929"/>
  <c r="AC7" i="1929" s="1"/>
  <c r="O7" i="1929"/>
  <c r="M7" i="1929"/>
  <c r="K7" i="1929"/>
  <c r="AF6" i="1929"/>
  <c r="Q6" i="1929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1" i="1928"/>
  <c r="K21" i="1928" s="1"/>
  <c r="L18" i="1928"/>
  <c r="L17" i="1928"/>
  <c r="K17" i="1928" s="1"/>
  <c r="L16" i="1928"/>
  <c r="L13" i="1928"/>
  <c r="P13" i="1928" s="1"/>
  <c r="AC13" i="1928" s="1"/>
  <c r="L12" i="1928"/>
  <c r="K12" i="1928" s="1"/>
  <c r="L10" i="1928"/>
  <c r="K10" i="1928" s="1"/>
  <c r="L9" i="1928"/>
  <c r="L6" i="1928"/>
  <c r="K6" i="1928"/>
  <c r="K20" i="1928"/>
  <c r="K19" i="1928"/>
  <c r="K18" i="1928"/>
  <c r="A77" i="1928"/>
  <c r="A78" i="1928" s="1"/>
  <c r="A79" i="1928" s="1"/>
  <c r="A80" i="1928" s="1"/>
  <c r="A81" i="1928" s="1"/>
  <c r="A82" i="1928" s="1"/>
  <c r="AF61" i="1928"/>
  <c r="AF60" i="1928"/>
  <c r="AF63" i="1928" s="1"/>
  <c r="AA22" i="1928"/>
  <c r="Z22" i="1928"/>
  <c r="Y22" i="1928"/>
  <c r="X22" i="1928"/>
  <c r="W22" i="1928"/>
  <c r="V22" i="1928"/>
  <c r="U22" i="1928"/>
  <c r="T22" i="1928"/>
  <c r="S22" i="1928"/>
  <c r="R22" i="1928"/>
  <c r="N22" i="1928"/>
  <c r="J22" i="1928"/>
  <c r="AF21" i="1928"/>
  <c r="Q21" i="1928"/>
  <c r="AF20" i="1928"/>
  <c r="AB20" i="1928"/>
  <c r="Q20" i="1928"/>
  <c r="P20" i="1928"/>
  <c r="AC20" i="1928" s="1"/>
  <c r="AD20" i="1928" s="1"/>
  <c r="O20" i="1928"/>
  <c r="M20" i="1928"/>
  <c r="AF19" i="1928"/>
  <c r="Q19" i="1928"/>
  <c r="AB19" i="1928"/>
  <c r="AF18" i="1928"/>
  <c r="Q18" i="1928"/>
  <c r="O18" i="1928"/>
  <c r="AF17" i="1928"/>
  <c r="AB17" i="1928"/>
  <c r="Q17" i="1928"/>
  <c r="M17" i="1928"/>
  <c r="AF16" i="1928"/>
  <c r="Q16" i="1928"/>
  <c r="AB16" i="1928"/>
  <c r="AF15" i="1928"/>
  <c r="AB15" i="1928"/>
  <c r="Q15" i="1928"/>
  <c r="P15" i="1928"/>
  <c r="AC15" i="1928" s="1"/>
  <c r="O15" i="1928"/>
  <c r="M15" i="1928"/>
  <c r="K15" i="1928"/>
  <c r="AF14" i="1928"/>
  <c r="AB14" i="1928"/>
  <c r="Q14" i="1928"/>
  <c r="P14" i="1928"/>
  <c r="AC14" i="1928" s="1"/>
  <c r="AD14" i="1928" s="1"/>
  <c r="O14" i="1928"/>
  <c r="M14" i="1928"/>
  <c r="K14" i="1928"/>
  <c r="AF13" i="1928"/>
  <c r="Q13" i="1928"/>
  <c r="AF12" i="1928"/>
  <c r="AB12" i="1928"/>
  <c r="Q12" i="1928"/>
  <c r="O12" i="1928"/>
  <c r="M12" i="1928"/>
  <c r="AF11" i="1928"/>
  <c r="AC11" i="1928"/>
  <c r="AB11" i="1928"/>
  <c r="Q11" i="1928"/>
  <c r="P11" i="1928"/>
  <c r="O11" i="1928"/>
  <c r="M11" i="1928"/>
  <c r="K11" i="1928"/>
  <c r="AF10" i="1928"/>
  <c r="Q10" i="1928"/>
  <c r="P10" i="1928"/>
  <c r="AC10" i="1928" s="1"/>
  <c r="O10" i="1928"/>
  <c r="AF9" i="1928"/>
  <c r="AB9" i="1928"/>
  <c r="Q9" i="1928"/>
  <c r="I9" i="1928"/>
  <c r="I22" i="1928" s="1"/>
  <c r="AF8" i="1928"/>
  <c r="AB8" i="1928"/>
  <c r="Q8" i="1928"/>
  <c r="P8" i="1928"/>
  <c r="AC8" i="1928" s="1"/>
  <c r="AD8" i="1928" s="1"/>
  <c r="O8" i="1928"/>
  <c r="M8" i="1928"/>
  <c r="K8" i="1928"/>
  <c r="AF7" i="1928"/>
  <c r="AB7" i="1928"/>
  <c r="Q7" i="1928"/>
  <c r="P7" i="1928"/>
  <c r="AC7" i="1928" s="1"/>
  <c r="O7" i="1928"/>
  <c r="M7" i="1928"/>
  <c r="K7" i="1928"/>
  <c r="AF6" i="1928"/>
  <c r="AC6" i="1928"/>
  <c r="AB6" i="1928"/>
  <c r="Q6" i="1928"/>
  <c r="P6" i="1928"/>
  <c r="O6" i="1928"/>
  <c r="M6" i="1928"/>
  <c r="Z19" i="16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1" i="1927"/>
  <c r="L19" i="1927"/>
  <c r="L18" i="1927"/>
  <c r="K18" i="1927"/>
  <c r="L16" i="1927"/>
  <c r="K16" i="1927" s="1"/>
  <c r="L13" i="1927"/>
  <c r="L12" i="1927"/>
  <c r="L10" i="1927"/>
  <c r="K10" i="1927"/>
  <c r="I9" i="1927"/>
  <c r="L9" i="1927"/>
  <c r="M9" i="1927" s="1"/>
  <c r="K6" i="1927"/>
  <c r="K21" i="1927"/>
  <c r="K20" i="1927"/>
  <c r="K19" i="1927"/>
  <c r="K13" i="1927"/>
  <c r="K11" i="1927"/>
  <c r="K9" i="1927"/>
  <c r="A77" i="1927"/>
  <c r="A78" i="1927" s="1"/>
  <c r="A79" i="1927" s="1"/>
  <c r="A80" i="1927" s="1"/>
  <c r="A81" i="1927" s="1"/>
  <c r="A82" i="1927" s="1"/>
  <c r="AF63" i="1927"/>
  <c r="AF61" i="1927"/>
  <c r="AF60" i="1927"/>
  <c r="AA22" i="1927"/>
  <c r="Z22" i="1927"/>
  <c r="Y22" i="1927"/>
  <c r="X22" i="1927"/>
  <c r="W22" i="1927"/>
  <c r="V22" i="1927"/>
  <c r="U22" i="1927"/>
  <c r="T22" i="1927"/>
  <c r="S22" i="1927"/>
  <c r="R22" i="1927"/>
  <c r="N22" i="1927"/>
  <c r="J22" i="1927"/>
  <c r="I22" i="1927"/>
  <c r="AF21" i="1927"/>
  <c r="Q21" i="1927"/>
  <c r="P21" i="1927" s="1"/>
  <c r="AC21" i="1927" s="1"/>
  <c r="O21" i="1927"/>
  <c r="AF20" i="1927"/>
  <c r="AB20" i="1927"/>
  <c r="Q20" i="1927"/>
  <c r="P20" i="1927"/>
  <c r="AC20" i="1927" s="1"/>
  <c r="O20" i="1927"/>
  <c r="M20" i="1927"/>
  <c r="AF19" i="1927"/>
  <c r="AB19" i="1927"/>
  <c r="Q19" i="1927"/>
  <c r="P19" i="1927" s="1"/>
  <c r="AC19" i="1927" s="1"/>
  <c r="O19" i="1927"/>
  <c r="M19" i="1927"/>
  <c r="AF18" i="1927"/>
  <c r="AB18" i="1927"/>
  <c r="Q18" i="1927"/>
  <c r="P18" i="1927"/>
  <c r="AC18" i="1927" s="1"/>
  <c r="O18" i="1927"/>
  <c r="M18" i="1927"/>
  <c r="AF17" i="1927"/>
  <c r="AB17" i="1927"/>
  <c r="Q17" i="1927"/>
  <c r="P17" i="1927"/>
  <c r="AC17" i="1927" s="1"/>
  <c r="AD17" i="1927" s="1"/>
  <c r="O17" i="1927"/>
  <c r="M17" i="1927"/>
  <c r="K17" i="1927"/>
  <c r="AF16" i="1927"/>
  <c r="Q16" i="1927"/>
  <c r="M16" i="1927"/>
  <c r="AF15" i="1927"/>
  <c r="AB15" i="1927"/>
  <c r="Q15" i="1927"/>
  <c r="P15" i="1927"/>
  <c r="AC15" i="1927" s="1"/>
  <c r="O15" i="1927"/>
  <c r="M15" i="1927"/>
  <c r="K15" i="1927"/>
  <c r="AF14" i="1927"/>
  <c r="AB14" i="1927"/>
  <c r="Q14" i="1927"/>
  <c r="P14" i="1927"/>
  <c r="AC14" i="1927" s="1"/>
  <c r="AD14" i="1927" s="1"/>
  <c r="O14" i="1927"/>
  <c r="M14" i="1927"/>
  <c r="K14" i="1927"/>
  <c r="AF13" i="1927"/>
  <c r="AB13" i="1927"/>
  <c r="Q13" i="1927"/>
  <c r="P13" i="1927" s="1"/>
  <c r="AC13" i="1927" s="1"/>
  <c r="O13" i="1927"/>
  <c r="M13" i="1927"/>
  <c r="AF12" i="1927"/>
  <c r="AB12" i="1927"/>
  <c r="Q12" i="1927"/>
  <c r="O12" i="1927"/>
  <c r="M12" i="1927"/>
  <c r="K12" i="1927"/>
  <c r="AF11" i="1927"/>
  <c r="AB11" i="1927"/>
  <c r="Q11" i="1927"/>
  <c r="P11" i="1927"/>
  <c r="AC11" i="1927" s="1"/>
  <c r="AD11" i="1927" s="1"/>
  <c r="O11" i="1927"/>
  <c r="M11" i="1927"/>
  <c r="AF10" i="1927"/>
  <c r="AB10" i="1927"/>
  <c r="Q10" i="1927"/>
  <c r="P10" i="1927" s="1"/>
  <c r="AC10" i="1927" s="1"/>
  <c r="O10" i="1927"/>
  <c r="M10" i="1927"/>
  <c r="AF9" i="1927"/>
  <c r="Q9" i="1927"/>
  <c r="P9" i="1927" s="1"/>
  <c r="AC9" i="1927" s="1"/>
  <c r="O9" i="1927"/>
  <c r="AF8" i="1927"/>
  <c r="AC8" i="1927"/>
  <c r="AD8" i="1927" s="1"/>
  <c r="AB8" i="1927"/>
  <c r="Q8" i="1927"/>
  <c r="P8" i="1927"/>
  <c r="O8" i="1927"/>
  <c r="M8" i="1927"/>
  <c r="K8" i="1927"/>
  <c r="AF7" i="1927"/>
  <c r="AB7" i="1927"/>
  <c r="Q7" i="1927"/>
  <c r="P7" i="1927"/>
  <c r="AC7" i="1927" s="1"/>
  <c r="AD7" i="1927" s="1"/>
  <c r="O7" i="1927"/>
  <c r="M7" i="1927"/>
  <c r="K7" i="1927"/>
  <c r="AF6" i="1927"/>
  <c r="AB6" i="1927"/>
  <c r="Q6" i="1927"/>
  <c r="P6" i="1927" s="1"/>
  <c r="AC6" i="1927" s="1"/>
  <c r="AD6" i="1927" s="1"/>
  <c r="O6" i="1927"/>
  <c r="M6" i="1927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1" i="1926"/>
  <c r="K21" i="1926"/>
  <c r="K20" i="1926"/>
  <c r="K19" i="1926"/>
  <c r="K18" i="1926"/>
  <c r="K16" i="1926"/>
  <c r="K15" i="1926"/>
  <c r="K13" i="1926"/>
  <c r="K12" i="1926"/>
  <c r="K11" i="1926"/>
  <c r="K9" i="1926"/>
  <c r="K8" i="1926"/>
  <c r="K7" i="1926"/>
  <c r="A77" i="1926"/>
  <c r="A78" i="1926" s="1"/>
  <c r="A79" i="1926" s="1"/>
  <c r="A80" i="1926" s="1"/>
  <c r="A81" i="1926" s="1"/>
  <c r="A82" i="1926" s="1"/>
  <c r="AF63" i="1926"/>
  <c r="AF61" i="1926"/>
  <c r="AF60" i="1926"/>
  <c r="AA22" i="1926"/>
  <c r="Z22" i="1926"/>
  <c r="Y22" i="1926"/>
  <c r="X22" i="1926"/>
  <c r="W22" i="1926"/>
  <c r="V22" i="1926"/>
  <c r="U22" i="1926"/>
  <c r="T22" i="1926"/>
  <c r="S22" i="1926"/>
  <c r="R22" i="1926"/>
  <c r="N22" i="1926"/>
  <c r="J22" i="1926"/>
  <c r="I22" i="1926"/>
  <c r="AF21" i="1926"/>
  <c r="AB21" i="1926"/>
  <c r="Q21" i="1926"/>
  <c r="P21" i="1926"/>
  <c r="AC21" i="1926" s="1"/>
  <c r="O21" i="1926"/>
  <c r="M21" i="1926"/>
  <c r="AF20" i="1926"/>
  <c r="AB20" i="1926"/>
  <c r="Q20" i="1926"/>
  <c r="O20" i="1926"/>
  <c r="M20" i="1926"/>
  <c r="P20" i="1926"/>
  <c r="AC20" i="1926" s="1"/>
  <c r="AD20" i="1926" s="1"/>
  <c r="AF19" i="1926"/>
  <c r="Q19" i="1926"/>
  <c r="P19" i="1926"/>
  <c r="AC19" i="1926" s="1"/>
  <c r="AF18" i="1926"/>
  <c r="Q18" i="1926"/>
  <c r="P18" i="1926"/>
  <c r="AC18" i="1926" s="1"/>
  <c r="O18" i="1926"/>
  <c r="AF17" i="1926"/>
  <c r="AC17" i="1926"/>
  <c r="AD17" i="1926" s="1"/>
  <c r="AB17" i="1926"/>
  <c r="Q17" i="1926"/>
  <c r="P17" i="1926"/>
  <c r="O17" i="1926"/>
  <c r="M17" i="1926"/>
  <c r="K17" i="1926"/>
  <c r="AF16" i="1926"/>
  <c r="Q16" i="1926"/>
  <c r="P16" i="1926"/>
  <c r="AC16" i="1926" s="1"/>
  <c r="AF15" i="1926"/>
  <c r="Q15" i="1926"/>
  <c r="P15" i="1926"/>
  <c r="AC15" i="1926" s="1"/>
  <c r="O15" i="1926"/>
  <c r="AF14" i="1926"/>
  <c r="AC14" i="1926"/>
  <c r="AB14" i="1926"/>
  <c r="Q14" i="1926"/>
  <c r="P14" i="1926"/>
  <c r="O14" i="1926"/>
  <c r="M14" i="1926"/>
  <c r="K14" i="1926"/>
  <c r="AF13" i="1926"/>
  <c r="Q13" i="1926"/>
  <c r="P13" i="1926" s="1"/>
  <c r="AC13" i="1926" s="1"/>
  <c r="AF12" i="1926"/>
  <c r="Q12" i="1926"/>
  <c r="P12" i="1926"/>
  <c r="AC12" i="1926" s="1"/>
  <c r="O12" i="1926"/>
  <c r="AF11" i="1926"/>
  <c r="AB11" i="1926"/>
  <c r="Q11" i="1926"/>
  <c r="P11" i="1926" s="1"/>
  <c r="AC11" i="1926" s="1"/>
  <c r="O11" i="1926"/>
  <c r="M11" i="1926"/>
  <c r="AF10" i="1926"/>
  <c r="AB10" i="1926"/>
  <c r="Q10" i="1926"/>
  <c r="P10" i="1926"/>
  <c r="AC10" i="1926" s="1"/>
  <c r="AD10" i="1926" s="1"/>
  <c r="O10" i="1926"/>
  <c r="M10" i="1926"/>
  <c r="K10" i="1926"/>
  <c r="AF9" i="1926"/>
  <c r="Q9" i="1926"/>
  <c r="P9" i="1926" s="1"/>
  <c r="AC9" i="1926" s="1"/>
  <c r="O9" i="1926"/>
  <c r="AF8" i="1926"/>
  <c r="AB8" i="1926"/>
  <c r="Q8" i="1926"/>
  <c r="P8" i="1926"/>
  <c r="AC8" i="1926" s="1"/>
  <c r="AD8" i="1926" s="1"/>
  <c r="O8" i="1926"/>
  <c r="M8" i="1926"/>
  <c r="AF7" i="1926"/>
  <c r="Q7" i="1926"/>
  <c r="L22" i="1926"/>
  <c r="O22" i="1926" s="1"/>
  <c r="AF6" i="1926"/>
  <c r="AB6" i="1926"/>
  <c r="Q6" i="1926"/>
  <c r="P6" i="1926"/>
  <c r="O6" i="1926"/>
  <c r="M6" i="1926"/>
  <c r="K6" i="1926"/>
  <c r="P67" i="1925"/>
  <c r="P23" i="1931" l="1"/>
  <c r="AD19" i="1931"/>
  <c r="AD16" i="1931"/>
  <c r="M23" i="1931"/>
  <c r="AD21" i="1931"/>
  <c r="AD18" i="1931"/>
  <c r="AB23" i="1931"/>
  <c r="Q22" i="1930"/>
  <c r="AD19" i="1930"/>
  <c r="AD9" i="1930"/>
  <c r="AD12" i="1930"/>
  <c r="AD13" i="1930"/>
  <c r="AD14" i="1930"/>
  <c r="AD20" i="1930"/>
  <c r="AD8" i="1930"/>
  <c r="AD16" i="1930"/>
  <c r="O10" i="1930"/>
  <c r="AD10" i="1930" s="1"/>
  <c r="P11" i="1930"/>
  <c r="AC11" i="1930" s="1"/>
  <c r="P15" i="1930"/>
  <c r="AC15" i="1930" s="1"/>
  <c r="O17" i="1930"/>
  <c r="P18" i="1930"/>
  <c r="AC18" i="1930" s="1"/>
  <c r="P21" i="1930"/>
  <c r="AC21" i="1930" s="1"/>
  <c r="AD21" i="1930" s="1"/>
  <c r="AC6" i="1930"/>
  <c r="P17" i="1930"/>
  <c r="AC17" i="1930" s="1"/>
  <c r="AD17" i="1930" s="1"/>
  <c r="M11" i="1930"/>
  <c r="AB11" i="1930"/>
  <c r="M15" i="1930"/>
  <c r="AB15" i="1930"/>
  <c r="M18" i="1930"/>
  <c r="AB18" i="1930"/>
  <c r="M10" i="1930"/>
  <c r="K22" i="1930"/>
  <c r="M17" i="1930"/>
  <c r="P19" i="1929"/>
  <c r="AC19" i="1929" s="1"/>
  <c r="AB19" i="1929"/>
  <c r="M19" i="1929"/>
  <c r="O18" i="1929"/>
  <c r="M16" i="1929"/>
  <c r="AB16" i="1929"/>
  <c r="AD16" i="1929" s="1"/>
  <c r="AD14" i="1929"/>
  <c r="AB6" i="1929"/>
  <c r="AD8" i="1929"/>
  <c r="P12" i="1929"/>
  <c r="AC12" i="1929" s="1"/>
  <c r="O6" i="1929"/>
  <c r="O9" i="1929"/>
  <c r="AB12" i="1929"/>
  <c r="M6" i="1929"/>
  <c r="P9" i="1929"/>
  <c r="AC9" i="1929" s="1"/>
  <c r="Q23" i="1929"/>
  <c r="P11" i="1929"/>
  <c r="AC11" i="1929" s="1"/>
  <c r="AD11" i="1929" s="1"/>
  <c r="AD9" i="1929"/>
  <c r="K9" i="1929"/>
  <c r="P6" i="1929"/>
  <c r="AC6" i="1929" s="1"/>
  <c r="AD6" i="1929" s="1"/>
  <c r="AD7" i="1929"/>
  <c r="AD21" i="1929"/>
  <c r="AD20" i="1929"/>
  <c r="AD15" i="1929"/>
  <c r="AD22" i="1929"/>
  <c r="K23" i="1929"/>
  <c r="M10" i="1929"/>
  <c r="AB10" i="1929"/>
  <c r="AD10" i="1929" s="1"/>
  <c r="M13" i="1929"/>
  <c r="AB13" i="1929"/>
  <c r="AD13" i="1929" s="1"/>
  <c r="O17" i="1929"/>
  <c r="AD17" i="1929" s="1"/>
  <c r="P18" i="1929"/>
  <c r="AC18" i="1929" s="1"/>
  <c r="L23" i="1929"/>
  <c r="O23" i="1929" s="1"/>
  <c r="O12" i="1929"/>
  <c r="AD12" i="1929" s="1"/>
  <c r="M18" i="1929"/>
  <c r="AB18" i="1929"/>
  <c r="O19" i="1929"/>
  <c r="M17" i="1929"/>
  <c r="P21" i="1928"/>
  <c r="AC21" i="1928" s="1"/>
  <c r="O21" i="1928"/>
  <c r="P18" i="1928"/>
  <c r="AC18" i="1928" s="1"/>
  <c r="L22" i="1928"/>
  <c r="O22" i="1928" s="1"/>
  <c r="P17" i="1928"/>
  <c r="AC17" i="1928" s="1"/>
  <c r="AD17" i="1928" s="1"/>
  <c r="O17" i="1928"/>
  <c r="K16" i="1928"/>
  <c r="O13" i="1928"/>
  <c r="K13" i="1928"/>
  <c r="P12" i="1928"/>
  <c r="AC12" i="1928" s="1"/>
  <c r="AD12" i="1928" s="1"/>
  <c r="Q22" i="1928"/>
  <c r="P9" i="1928"/>
  <c r="AC9" i="1928" s="1"/>
  <c r="AD9" i="1928" s="1"/>
  <c r="O9" i="1928"/>
  <c r="K9" i="1928"/>
  <c r="M9" i="1928"/>
  <c r="AD6" i="1928"/>
  <c r="AD11" i="1928"/>
  <c r="AD15" i="1928"/>
  <c r="AD7" i="1928"/>
  <c r="M10" i="1928"/>
  <c r="AB10" i="1928"/>
  <c r="AD10" i="1928" s="1"/>
  <c r="M13" i="1928"/>
  <c r="AB13" i="1928"/>
  <c r="AD13" i="1928" s="1"/>
  <c r="O16" i="1928"/>
  <c r="M18" i="1928"/>
  <c r="AB18" i="1928"/>
  <c r="AD18" i="1928" s="1"/>
  <c r="O19" i="1928"/>
  <c r="M21" i="1928"/>
  <c r="AB21" i="1928"/>
  <c r="AD21" i="1928" s="1"/>
  <c r="P16" i="1928"/>
  <c r="AC16" i="1928" s="1"/>
  <c r="P19" i="1928"/>
  <c r="AC19" i="1928" s="1"/>
  <c r="M16" i="1928"/>
  <c r="M19" i="1928"/>
  <c r="AD20" i="1927"/>
  <c r="AD19" i="1927"/>
  <c r="O16" i="1927"/>
  <c r="AB16" i="1927"/>
  <c r="P16" i="1927"/>
  <c r="AC16" i="1927" s="1"/>
  <c r="P12" i="1927"/>
  <c r="AC12" i="1927" s="1"/>
  <c r="AD12" i="1927" s="1"/>
  <c r="AD10" i="1927"/>
  <c r="AB9" i="1927"/>
  <c r="AD9" i="1927" s="1"/>
  <c r="L22" i="1927"/>
  <c r="O22" i="1927" s="1"/>
  <c r="Q22" i="1927"/>
  <c r="AD15" i="1927"/>
  <c r="AD13" i="1927"/>
  <c r="AD18" i="1927"/>
  <c r="K22" i="1927"/>
  <c r="P22" i="1927"/>
  <c r="M21" i="1927"/>
  <c r="M22" i="1927" s="1"/>
  <c r="AB21" i="1927"/>
  <c r="AC22" i="1927"/>
  <c r="AD11" i="1926"/>
  <c r="Q22" i="1926"/>
  <c r="AD21" i="1926"/>
  <c r="AD14" i="1926"/>
  <c r="M16" i="1926"/>
  <c r="AB16" i="1926"/>
  <c r="M19" i="1926"/>
  <c r="AB19" i="1926"/>
  <c r="AB9" i="1926"/>
  <c r="AD9" i="1926" s="1"/>
  <c r="M12" i="1926"/>
  <c r="AB12" i="1926"/>
  <c r="O13" i="1926"/>
  <c r="M15" i="1926"/>
  <c r="AB15" i="1926"/>
  <c r="AD15" i="1926" s="1"/>
  <c r="O16" i="1926"/>
  <c r="M18" i="1926"/>
  <c r="AB18" i="1926"/>
  <c r="AD18" i="1926" s="1"/>
  <c r="O19" i="1926"/>
  <c r="M7" i="1926"/>
  <c r="AB7" i="1926"/>
  <c r="M13" i="1926"/>
  <c r="AB13" i="1926"/>
  <c r="O7" i="1926"/>
  <c r="M9" i="1926"/>
  <c r="AC6" i="1926"/>
  <c r="K22" i="1926"/>
  <c r="P7" i="1926"/>
  <c r="AC7" i="1926" s="1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1" i="1925"/>
  <c r="K21" i="1925" s="1"/>
  <c r="L20" i="1925"/>
  <c r="AB20" i="1925" s="1"/>
  <c r="L19" i="1925"/>
  <c r="O19" i="1925" s="1"/>
  <c r="L18" i="1925"/>
  <c r="AB18" i="1925" s="1"/>
  <c r="L16" i="1925"/>
  <c r="P16" i="1925" s="1"/>
  <c r="AC16" i="1925" s="1"/>
  <c r="L15" i="1925"/>
  <c r="L13" i="1925"/>
  <c r="AB13" i="1925" s="1"/>
  <c r="L12" i="1925"/>
  <c r="O12" i="1925" s="1"/>
  <c r="L11" i="1925"/>
  <c r="K11" i="1925" s="1"/>
  <c r="L9" i="1925"/>
  <c r="L7" i="1925"/>
  <c r="AB7" i="1925" s="1"/>
  <c r="K17" i="1925"/>
  <c r="K16" i="1925"/>
  <c r="K15" i="1925"/>
  <c r="K9" i="1925"/>
  <c r="K8" i="1925"/>
  <c r="K7" i="1925"/>
  <c r="A78" i="1925"/>
  <c r="A79" i="1925" s="1"/>
  <c r="A80" i="1925" s="1"/>
  <c r="A81" i="1925" s="1"/>
  <c r="A82" i="1925" s="1"/>
  <c r="A77" i="1925"/>
  <c r="AF63" i="1925"/>
  <c r="AF61" i="1925"/>
  <c r="AF60" i="1925"/>
  <c r="AA22" i="1925"/>
  <c r="Z22" i="1925"/>
  <c r="Y22" i="1925"/>
  <c r="X22" i="1925"/>
  <c r="W22" i="1925"/>
  <c r="V22" i="1925"/>
  <c r="U22" i="1925"/>
  <c r="T22" i="1925"/>
  <c r="S22" i="1925"/>
  <c r="R22" i="1925"/>
  <c r="N22" i="1925"/>
  <c r="J22" i="1925"/>
  <c r="I22" i="1925"/>
  <c r="AF21" i="1925"/>
  <c r="Q21" i="1925"/>
  <c r="O21" i="1925"/>
  <c r="P21" i="1925"/>
  <c r="AC21" i="1925" s="1"/>
  <c r="AF20" i="1925"/>
  <c r="Q20" i="1925"/>
  <c r="AF19" i="1925"/>
  <c r="Q19" i="1925"/>
  <c r="AF18" i="1925"/>
  <c r="Q18" i="1925"/>
  <c r="AF17" i="1925"/>
  <c r="Q17" i="1925"/>
  <c r="O17" i="1925"/>
  <c r="P17" i="1925"/>
  <c r="AC17" i="1925" s="1"/>
  <c r="AF16" i="1925"/>
  <c r="Q16" i="1925"/>
  <c r="M16" i="1925"/>
  <c r="AF15" i="1925"/>
  <c r="Q15" i="1925"/>
  <c r="O15" i="1925"/>
  <c r="AF14" i="1925"/>
  <c r="AB14" i="1925"/>
  <c r="Q14" i="1925"/>
  <c r="P14" i="1925"/>
  <c r="AC14" i="1925" s="1"/>
  <c r="AD14" i="1925" s="1"/>
  <c r="O14" i="1925"/>
  <c r="M14" i="1925"/>
  <c r="K14" i="1925"/>
  <c r="AF13" i="1925"/>
  <c r="Q13" i="1925"/>
  <c r="M13" i="1925"/>
  <c r="AF12" i="1925"/>
  <c r="Q12" i="1925"/>
  <c r="P12" i="1925" s="1"/>
  <c r="AC12" i="1925" s="1"/>
  <c r="AF11" i="1925"/>
  <c r="Q11" i="1925"/>
  <c r="P11" i="1925" s="1"/>
  <c r="AC11" i="1925" s="1"/>
  <c r="O11" i="1925"/>
  <c r="M11" i="1925"/>
  <c r="AF10" i="1925"/>
  <c r="AB10" i="1925"/>
  <c r="Q10" i="1925"/>
  <c r="P10" i="1925"/>
  <c r="AC10" i="1925" s="1"/>
  <c r="O10" i="1925"/>
  <c r="M10" i="1925"/>
  <c r="K10" i="1925"/>
  <c r="AF9" i="1925"/>
  <c r="AB9" i="1925"/>
  <c r="Q9" i="1925"/>
  <c r="P9" i="1925"/>
  <c r="AC9" i="1925" s="1"/>
  <c r="O9" i="1925"/>
  <c r="M9" i="1925"/>
  <c r="AF8" i="1925"/>
  <c r="AB8" i="1925"/>
  <c r="Q8" i="1925"/>
  <c r="P8" i="1925" s="1"/>
  <c r="AC8" i="1925" s="1"/>
  <c r="O8" i="1925"/>
  <c r="M8" i="1925"/>
  <c r="AF7" i="1925"/>
  <c r="Q7" i="1925"/>
  <c r="P7" i="1925" s="1"/>
  <c r="AC7" i="1925" s="1"/>
  <c r="O7" i="1925"/>
  <c r="AF6" i="1925"/>
  <c r="AC6" i="1925"/>
  <c r="AD6" i="1925" s="1"/>
  <c r="AB6" i="1925"/>
  <c r="Q6" i="1925"/>
  <c r="P6" i="1925"/>
  <c r="O6" i="1925"/>
  <c r="M6" i="1925"/>
  <c r="K6" i="1925"/>
  <c r="K13" i="1924"/>
  <c r="V18" i="16"/>
  <c r="V17" i="16"/>
  <c r="V16" i="16"/>
  <c r="V15" i="16"/>
  <c r="V14" i="16"/>
  <c r="V13" i="16"/>
  <c r="V12" i="16"/>
  <c r="V11" i="16"/>
  <c r="V9" i="16"/>
  <c r="V8" i="16"/>
  <c r="V7" i="16"/>
  <c r="V6" i="16"/>
  <c r="V5" i="16"/>
  <c r="V4" i="16"/>
  <c r="V3" i="16"/>
  <c r="L21" i="1924"/>
  <c r="L20" i="1924"/>
  <c r="L19" i="1924"/>
  <c r="L18" i="1924"/>
  <c r="L17" i="1924"/>
  <c r="L16" i="1924"/>
  <c r="L15" i="1924"/>
  <c r="K15" i="1924" s="1"/>
  <c r="L12" i="1924"/>
  <c r="L9" i="1924"/>
  <c r="AD23" i="1931" l="1"/>
  <c r="AE14" i="1931" s="1"/>
  <c r="AD18" i="1930"/>
  <c r="M22" i="1930"/>
  <c r="AB22" i="1930"/>
  <c r="AD15" i="1930"/>
  <c r="P22" i="1930"/>
  <c r="AC22" i="1930"/>
  <c r="AD6" i="1930"/>
  <c r="AD11" i="1930"/>
  <c r="AD19" i="1929"/>
  <c r="AD18" i="1929"/>
  <c r="AD23" i="1929" s="1"/>
  <c r="AE14" i="1929" s="1"/>
  <c r="M23" i="1929"/>
  <c r="AB23" i="1929"/>
  <c r="P23" i="1929"/>
  <c r="AC23" i="1929"/>
  <c r="K22" i="1928"/>
  <c r="M22" i="1928"/>
  <c r="AD16" i="1928"/>
  <c r="AD19" i="1928"/>
  <c r="AD22" i="1928" s="1"/>
  <c r="AB22" i="1928"/>
  <c r="AC22" i="1928"/>
  <c r="P22" i="1928"/>
  <c r="AD16" i="1927"/>
  <c r="AB22" i="1927"/>
  <c r="AD21" i="1927"/>
  <c r="AD22" i="1927" s="1"/>
  <c r="AD13" i="1926"/>
  <c r="AD7" i="1926"/>
  <c r="AB22" i="1926"/>
  <c r="AD19" i="1926"/>
  <c r="AD16" i="1926"/>
  <c r="P22" i="1926"/>
  <c r="AD12" i="1926"/>
  <c r="M22" i="1926"/>
  <c r="AD6" i="1926"/>
  <c r="AC22" i="1926"/>
  <c r="P20" i="1925"/>
  <c r="AC20" i="1925" s="1"/>
  <c r="K20" i="1925"/>
  <c r="M20" i="1925"/>
  <c r="O20" i="1925"/>
  <c r="K19" i="1925"/>
  <c r="K18" i="1925"/>
  <c r="K22" i="1925" s="1"/>
  <c r="M18" i="1925"/>
  <c r="P18" i="1925"/>
  <c r="AC18" i="1925" s="1"/>
  <c r="O18" i="1925"/>
  <c r="O16" i="1925"/>
  <c r="AB16" i="1925"/>
  <c r="AD16" i="1925" s="1"/>
  <c r="P13" i="1925"/>
  <c r="AC13" i="1925" s="1"/>
  <c r="K13" i="1925"/>
  <c r="O13" i="1925"/>
  <c r="M12" i="1925"/>
  <c r="AB12" i="1925"/>
  <c r="AD12" i="1925" s="1"/>
  <c r="K12" i="1925"/>
  <c r="AB11" i="1925"/>
  <c r="AD11" i="1925" s="1"/>
  <c r="AD9" i="1925"/>
  <c r="Q22" i="1925"/>
  <c r="AD10" i="1925"/>
  <c r="AD8" i="1925"/>
  <c r="AD18" i="1925"/>
  <c r="AD7" i="1925"/>
  <c r="P15" i="1925"/>
  <c r="AC15" i="1925" s="1"/>
  <c r="M17" i="1925"/>
  <c r="AB17" i="1925"/>
  <c r="AD17" i="1925" s="1"/>
  <c r="P19" i="1925"/>
  <c r="AC19" i="1925" s="1"/>
  <c r="M21" i="1925"/>
  <c r="AB21" i="1925"/>
  <c r="AD21" i="1925" s="1"/>
  <c r="L22" i="1925"/>
  <c r="O22" i="1925" s="1"/>
  <c r="M15" i="1925"/>
  <c r="AB15" i="1925"/>
  <c r="M19" i="1925"/>
  <c r="AB19" i="1925"/>
  <c r="M7" i="1925"/>
  <c r="K8" i="1924"/>
  <c r="L7" i="1924"/>
  <c r="K21" i="1924"/>
  <c r="K20" i="1924"/>
  <c r="K19" i="1924"/>
  <c r="K18" i="1924"/>
  <c r="K17" i="1924"/>
  <c r="K16" i="1924"/>
  <c r="K14" i="1924"/>
  <c r="K12" i="1924"/>
  <c r="K9" i="1924"/>
  <c r="K7" i="1924"/>
  <c r="K6" i="1924"/>
  <c r="A78" i="1924"/>
  <c r="A79" i="1924" s="1"/>
  <c r="A80" i="1924" s="1"/>
  <c r="A81" i="1924" s="1"/>
  <c r="A82" i="1924" s="1"/>
  <c r="A77" i="1924"/>
  <c r="AF61" i="1924"/>
  <c r="AF60" i="1924"/>
  <c r="AF63" i="1924" s="1"/>
  <c r="AA22" i="1924"/>
  <c r="Z22" i="1924"/>
  <c r="Y22" i="1924"/>
  <c r="X22" i="1924"/>
  <c r="W22" i="1924"/>
  <c r="V22" i="1924"/>
  <c r="U22" i="1924"/>
  <c r="T22" i="1924"/>
  <c r="S22" i="1924"/>
  <c r="R22" i="1924"/>
  <c r="N22" i="1924"/>
  <c r="J22" i="1924"/>
  <c r="I22" i="1924"/>
  <c r="AF21" i="1924"/>
  <c r="Q21" i="1924"/>
  <c r="P21" i="1924"/>
  <c r="AC21" i="1924" s="1"/>
  <c r="AF20" i="1924"/>
  <c r="Q20" i="1924"/>
  <c r="P20" i="1924"/>
  <c r="AC20" i="1924" s="1"/>
  <c r="O20" i="1924"/>
  <c r="AF19" i="1924"/>
  <c r="Q19" i="1924"/>
  <c r="P19" i="1924" s="1"/>
  <c r="AC19" i="1924" s="1"/>
  <c r="O19" i="1924"/>
  <c r="AB19" i="1924"/>
  <c r="AF18" i="1924"/>
  <c r="AB18" i="1924"/>
  <c r="Q18" i="1924"/>
  <c r="P18" i="1924"/>
  <c r="AC18" i="1924" s="1"/>
  <c r="O18" i="1924"/>
  <c r="M18" i="1924"/>
  <c r="AF17" i="1924"/>
  <c r="Q17" i="1924"/>
  <c r="P17" i="1924"/>
  <c r="AC17" i="1924" s="1"/>
  <c r="AF16" i="1924"/>
  <c r="Q16" i="1924"/>
  <c r="P16" i="1924"/>
  <c r="AC16" i="1924" s="1"/>
  <c r="O16" i="1924"/>
  <c r="AF15" i="1924"/>
  <c r="AB15" i="1924"/>
  <c r="Q15" i="1924"/>
  <c r="P15" i="1924"/>
  <c r="AC15" i="1924" s="1"/>
  <c r="O15" i="1924"/>
  <c r="M15" i="1924"/>
  <c r="AF14" i="1924"/>
  <c r="AB14" i="1924"/>
  <c r="Q14" i="1924"/>
  <c r="P14" i="1924" s="1"/>
  <c r="AC14" i="1924" s="1"/>
  <c r="AD14" i="1924" s="1"/>
  <c r="O14" i="1924"/>
  <c r="M14" i="1924"/>
  <c r="AF13" i="1924"/>
  <c r="AB13" i="1924"/>
  <c r="Q13" i="1924"/>
  <c r="P13" i="1924" s="1"/>
  <c r="AC13" i="1924" s="1"/>
  <c r="AD13" i="1924" s="1"/>
  <c r="V10" i="16" s="1"/>
  <c r="O13" i="1924"/>
  <c r="M13" i="1924"/>
  <c r="AF12" i="1924"/>
  <c r="Q12" i="1924"/>
  <c r="P12" i="1924"/>
  <c r="AC12" i="1924" s="1"/>
  <c r="AF11" i="1924"/>
  <c r="AB11" i="1924"/>
  <c r="Q11" i="1924"/>
  <c r="P11" i="1924"/>
  <c r="AC11" i="1924" s="1"/>
  <c r="AD11" i="1924" s="1"/>
  <c r="O11" i="1924"/>
  <c r="M11" i="1924"/>
  <c r="K11" i="1924"/>
  <c r="AF10" i="1924"/>
  <c r="AB10" i="1924"/>
  <c r="Q10" i="1924"/>
  <c r="P10" i="1924"/>
  <c r="AC10" i="1924" s="1"/>
  <c r="O10" i="1924"/>
  <c r="M10" i="1924"/>
  <c r="K10" i="1924"/>
  <c r="AF9" i="1924"/>
  <c r="Q9" i="1924"/>
  <c r="P9" i="1924"/>
  <c r="AC9" i="1924" s="1"/>
  <c r="O9" i="1924"/>
  <c r="AF8" i="1924"/>
  <c r="Q8" i="1924"/>
  <c r="P8" i="1924" s="1"/>
  <c r="AC8" i="1924" s="1"/>
  <c r="O8" i="1924"/>
  <c r="AB8" i="1924"/>
  <c r="AF7" i="1924"/>
  <c r="AB7" i="1924"/>
  <c r="Q7" i="1924"/>
  <c r="P7" i="1924"/>
  <c r="AC7" i="1924" s="1"/>
  <c r="O7" i="1924"/>
  <c r="M7" i="1924"/>
  <c r="AF6" i="1924"/>
  <c r="AB6" i="1924"/>
  <c r="Q6" i="1924"/>
  <c r="P6" i="1924" s="1"/>
  <c r="O6" i="1924"/>
  <c r="M6" i="1924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21" i="1923"/>
  <c r="AB21" i="1923" s="1"/>
  <c r="L20" i="1923"/>
  <c r="K20" i="1923" s="1"/>
  <c r="L19" i="1923"/>
  <c r="K19" i="1923" s="1"/>
  <c r="L18" i="1923"/>
  <c r="L17" i="1923"/>
  <c r="M17" i="1923" s="1"/>
  <c r="L16" i="1923"/>
  <c r="O16" i="1923" s="1"/>
  <c r="K14" i="1923"/>
  <c r="K13" i="1923"/>
  <c r="L12" i="1923"/>
  <c r="L9" i="1923"/>
  <c r="L8" i="1923"/>
  <c r="L7" i="1923"/>
  <c r="K18" i="1923"/>
  <c r="K12" i="1923"/>
  <c r="K11" i="1923"/>
  <c r="K10" i="1923"/>
  <c r="K9" i="1923"/>
  <c r="K8" i="1923"/>
  <c r="K7" i="1923"/>
  <c r="K6" i="1923"/>
  <c r="A77" i="1923"/>
  <c r="A78" i="1923" s="1"/>
  <c r="A79" i="1923" s="1"/>
  <c r="A80" i="1923" s="1"/>
  <c r="A81" i="1923" s="1"/>
  <c r="A82" i="1923" s="1"/>
  <c r="AF61" i="1923"/>
  <c r="AF60" i="1923"/>
  <c r="AF63" i="1923" s="1"/>
  <c r="AA22" i="1923"/>
  <c r="Z22" i="1923"/>
  <c r="Y22" i="1923"/>
  <c r="X22" i="1923"/>
  <c r="W22" i="1923"/>
  <c r="V22" i="1923"/>
  <c r="U22" i="1923"/>
  <c r="T22" i="1923"/>
  <c r="S22" i="1923"/>
  <c r="R22" i="1923"/>
  <c r="N22" i="1923"/>
  <c r="J22" i="1923"/>
  <c r="I22" i="1923"/>
  <c r="AF21" i="1923"/>
  <c r="Q21" i="1923"/>
  <c r="O21" i="1923"/>
  <c r="AF20" i="1923"/>
  <c r="Q20" i="1923"/>
  <c r="O20" i="1923"/>
  <c r="AF19" i="1923"/>
  <c r="Q19" i="1923"/>
  <c r="AB19" i="1923"/>
  <c r="AF18" i="1923"/>
  <c r="AB18" i="1923"/>
  <c r="Q18" i="1923"/>
  <c r="P18" i="1923" s="1"/>
  <c r="AC18" i="1923" s="1"/>
  <c r="O18" i="1923"/>
  <c r="M18" i="1923"/>
  <c r="AF17" i="1923"/>
  <c r="Q17" i="1923"/>
  <c r="AF16" i="1923"/>
  <c r="Q16" i="1923"/>
  <c r="AF15" i="1923"/>
  <c r="AB15" i="1923"/>
  <c r="Q15" i="1923"/>
  <c r="P15" i="1923"/>
  <c r="AC15" i="1923" s="1"/>
  <c r="O15" i="1923"/>
  <c r="M15" i="1923"/>
  <c r="K15" i="1923"/>
  <c r="AF14" i="1923"/>
  <c r="AB14" i="1923"/>
  <c r="Q14" i="1923"/>
  <c r="P14" i="1923" s="1"/>
  <c r="AC14" i="1923" s="1"/>
  <c r="O14" i="1923"/>
  <c r="M14" i="1923"/>
  <c r="AF13" i="1923"/>
  <c r="Q13" i="1923"/>
  <c r="P13" i="1923" s="1"/>
  <c r="AC13" i="1923" s="1"/>
  <c r="AB13" i="1923"/>
  <c r="AF12" i="1923"/>
  <c r="AB12" i="1923"/>
  <c r="Q12" i="1923"/>
  <c r="P12" i="1923"/>
  <c r="AC12" i="1923" s="1"/>
  <c r="O12" i="1923"/>
  <c r="M12" i="1923"/>
  <c r="AF11" i="1923"/>
  <c r="AB11" i="1923"/>
  <c r="Q11" i="1923"/>
  <c r="O11" i="1923"/>
  <c r="M11" i="1923"/>
  <c r="P11" i="1923"/>
  <c r="AC11" i="1923" s="1"/>
  <c r="AD11" i="1923" s="1"/>
  <c r="AF10" i="1923"/>
  <c r="Q10" i="1923"/>
  <c r="O10" i="1923"/>
  <c r="AF9" i="1923"/>
  <c r="Q9" i="1923"/>
  <c r="P9" i="1923"/>
  <c r="AC9" i="1923" s="1"/>
  <c r="AB9" i="1923"/>
  <c r="AF8" i="1923"/>
  <c r="AB8" i="1923"/>
  <c r="Q8" i="1923"/>
  <c r="P8" i="1923" s="1"/>
  <c r="AC8" i="1923" s="1"/>
  <c r="O8" i="1923"/>
  <c r="M8" i="1923"/>
  <c r="AF7" i="1923"/>
  <c r="AB7" i="1923"/>
  <c r="Q7" i="1923"/>
  <c r="O7" i="1923"/>
  <c r="M7" i="1923"/>
  <c r="P7" i="1923"/>
  <c r="AC7" i="1923" s="1"/>
  <c r="AF6" i="1923"/>
  <c r="AB6" i="1923"/>
  <c r="Q6" i="1923"/>
  <c r="O6" i="1923"/>
  <c r="M6" i="1923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0" i="1922"/>
  <c r="L19" i="1922"/>
  <c r="L18" i="1922"/>
  <c r="L17" i="1922"/>
  <c r="L16" i="1922"/>
  <c r="L12" i="1922"/>
  <c r="L13" i="1922"/>
  <c r="L11" i="1922"/>
  <c r="L10" i="1922"/>
  <c r="K10" i="1922" s="1"/>
  <c r="L9" i="1922"/>
  <c r="L8" i="1922"/>
  <c r="L7" i="1922"/>
  <c r="AE11" i="1931" l="1"/>
  <c r="AE15" i="1931"/>
  <c r="AE20" i="1931"/>
  <c r="AE9" i="1931"/>
  <c r="AE21" i="1931"/>
  <c r="AE18" i="1931"/>
  <c r="AE12" i="1931"/>
  <c r="AE22" i="1931"/>
  <c r="AE7" i="1931"/>
  <c r="AE10" i="1931"/>
  <c r="AE6" i="1931"/>
  <c r="AE16" i="1931"/>
  <c r="AE17" i="1931"/>
  <c r="AE13" i="1931"/>
  <c r="AE8" i="1931"/>
  <c r="AE19" i="1931"/>
  <c r="AD22" i="1930"/>
  <c r="AE22" i="1929"/>
  <c r="AE16" i="1929"/>
  <c r="AE13" i="1929"/>
  <c r="AE10" i="1929"/>
  <c r="AE20" i="1929"/>
  <c r="AE17" i="1929"/>
  <c r="AE7" i="1929"/>
  <c r="AE18" i="1929"/>
  <c r="AE15" i="1929"/>
  <c r="AE11" i="1929"/>
  <c r="AE21" i="1929"/>
  <c r="AE19" i="1929"/>
  <c r="AE12" i="1929"/>
  <c r="AE9" i="1929"/>
  <c r="AE8" i="1929"/>
  <c r="AE6" i="1929"/>
  <c r="AE21" i="1928"/>
  <c r="AE18" i="1928"/>
  <c r="AE15" i="1928"/>
  <c r="AE13" i="1928"/>
  <c r="AE10" i="1928"/>
  <c r="AE19" i="1928"/>
  <c r="AE7" i="1928"/>
  <c r="AE14" i="1928"/>
  <c r="AE11" i="1928"/>
  <c r="AE20" i="1928"/>
  <c r="AE17" i="1928"/>
  <c r="AE12" i="1928"/>
  <c r="AE9" i="1928"/>
  <c r="AE8" i="1928"/>
  <c r="AE6" i="1928"/>
  <c r="AE16" i="1928"/>
  <c r="AE21" i="1927"/>
  <c r="AE7" i="1927"/>
  <c r="AE19" i="1927"/>
  <c r="AE17" i="1927"/>
  <c r="AE15" i="1927"/>
  <c r="AE13" i="1927"/>
  <c r="AE9" i="1927"/>
  <c r="AE20" i="1927"/>
  <c r="AE18" i="1927"/>
  <c r="AE16" i="1927"/>
  <c r="AE14" i="1927"/>
  <c r="AE12" i="1927"/>
  <c r="AE10" i="1927"/>
  <c r="AE8" i="1927"/>
  <c r="AE6" i="1927"/>
  <c r="AE11" i="1927"/>
  <c r="AD22" i="1926"/>
  <c r="AE10" i="1926" s="1"/>
  <c r="AD20" i="1925"/>
  <c r="AC22" i="1925"/>
  <c r="AD13" i="1925"/>
  <c r="M22" i="1925"/>
  <c r="AB22" i="1925"/>
  <c r="AD19" i="1925"/>
  <c r="AD15" i="1925"/>
  <c r="P22" i="1925"/>
  <c r="AD18" i="1924"/>
  <c r="AD15" i="1924"/>
  <c r="AD7" i="1924"/>
  <c r="AD10" i="1924"/>
  <c r="AD8" i="1924"/>
  <c r="AD19" i="1924"/>
  <c r="AC6" i="1924"/>
  <c r="P22" i="1924"/>
  <c r="O12" i="1924"/>
  <c r="M16" i="1924"/>
  <c r="AB16" i="1924"/>
  <c r="AD16" i="1924" s="1"/>
  <c r="O17" i="1924"/>
  <c r="M20" i="1924"/>
  <c r="AB20" i="1924"/>
  <c r="AD20" i="1924" s="1"/>
  <c r="O21" i="1924"/>
  <c r="Q22" i="1924"/>
  <c r="M12" i="1924"/>
  <c r="AB12" i="1924"/>
  <c r="M17" i="1924"/>
  <c r="AB17" i="1924"/>
  <c r="AD17" i="1924" s="1"/>
  <c r="M21" i="1924"/>
  <c r="AB21" i="1924"/>
  <c r="L22" i="1924"/>
  <c r="O22" i="1924" s="1"/>
  <c r="M9" i="1924"/>
  <c r="AB9" i="1924"/>
  <c r="AD9" i="1924" s="1"/>
  <c r="M8" i="1924"/>
  <c r="K22" i="1924"/>
  <c r="M19" i="1924"/>
  <c r="P21" i="1923"/>
  <c r="AC21" i="1923" s="1"/>
  <c r="AD21" i="1923" s="1"/>
  <c r="K21" i="1923"/>
  <c r="M21" i="1923"/>
  <c r="O17" i="1923"/>
  <c r="P17" i="1923"/>
  <c r="AC17" i="1923" s="1"/>
  <c r="AB17" i="1923"/>
  <c r="K17" i="1923"/>
  <c r="K22" i="1923" s="1"/>
  <c r="K16" i="1923"/>
  <c r="AD14" i="1923"/>
  <c r="Q22" i="1923"/>
  <c r="AD7" i="1923"/>
  <c r="AD18" i="1923"/>
  <c r="AD8" i="1923"/>
  <c r="AD12" i="1923"/>
  <c r="AD17" i="1923"/>
  <c r="AD15" i="1923"/>
  <c r="P6" i="1923"/>
  <c r="O9" i="1923"/>
  <c r="AD9" i="1923" s="1"/>
  <c r="P10" i="1923"/>
  <c r="AC10" i="1923" s="1"/>
  <c r="O13" i="1923"/>
  <c r="AD13" i="1923" s="1"/>
  <c r="P16" i="1923"/>
  <c r="AC16" i="1923" s="1"/>
  <c r="O19" i="1923"/>
  <c r="P20" i="1923"/>
  <c r="AC20" i="1923" s="1"/>
  <c r="L22" i="1923"/>
  <c r="O22" i="1923" s="1"/>
  <c r="P19" i="1923"/>
  <c r="AC19" i="1923" s="1"/>
  <c r="M16" i="1923"/>
  <c r="AB16" i="1923"/>
  <c r="M20" i="1923"/>
  <c r="AB20" i="1923"/>
  <c r="M10" i="1923"/>
  <c r="AB10" i="1923"/>
  <c r="M9" i="1923"/>
  <c r="M13" i="1923"/>
  <c r="M19" i="1923"/>
  <c r="K21" i="1922"/>
  <c r="K20" i="1922"/>
  <c r="K19" i="1922"/>
  <c r="K17" i="1922"/>
  <c r="K16" i="1922"/>
  <c r="K15" i="1922"/>
  <c r="K14" i="1922"/>
  <c r="K13" i="1922"/>
  <c r="K12" i="1922"/>
  <c r="K11" i="1922"/>
  <c r="K9" i="1922"/>
  <c r="K8" i="1922"/>
  <c r="K7" i="1922"/>
  <c r="A77" i="1922"/>
  <c r="A78" i="1922" s="1"/>
  <c r="A79" i="1922" s="1"/>
  <c r="A80" i="1922" s="1"/>
  <c r="A81" i="1922" s="1"/>
  <c r="A82" i="1922" s="1"/>
  <c r="AF61" i="1922"/>
  <c r="AF60" i="1922"/>
  <c r="AF63" i="1922" s="1"/>
  <c r="AA22" i="1922"/>
  <c r="Z22" i="1922"/>
  <c r="Y22" i="1922"/>
  <c r="X22" i="1922"/>
  <c r="W22" i="1922"/>
  <c r="V22" i="1922"/>
  <c r="U22" i="1922"/>
  <c r="T22" i="1922"/>
  <c r="S22" i="1922"/>
  <c r="R22" i="1922"/>
  <c r="N22" i="1922"/>
  <c r="J22" i="1922"/>
  <c r="I22" i="1922"/>
  <c r="AF21" i="1922"/>
  <c r="AB21" i="1922"/>
  <c r="Q21" i="1922"/>
  <c r="P21" i="1922"/>
  <c r="AC21" i="1922" s="1"/>
  <c r="O21" i="1922"/>
  <c r="M21" i="1922"/>
  <c r="AF20" i="1922"/>
  <c r="Q20" i="1922"/>
  <c r="P20" i="1922" s="1"/>
  <c r="AC20" i="1922" s="1"/>
  <c r="AF19" i="1922"/>
  <c r="Q19" i="1922"/>
  <c r="P19" i="1922" s="1"/>
  <c r="AC19" i="1922" s="1"/>
  <c r="O19" i="1922"/>
  <c r="AF18" i="1922"/>
  <c r="Q18" i="1922"/>
  <c r="O18" i="1922"/>
  <c r="AB18" i="1922"/>
  <c r="AF17" i="1922"/>
  <c r="AB17" i="1922"/>
  <c r="Q17" i="1922"/>
  <c r="P17" i="1922"/>
  <c r="AC17" i="1922" s="1"/>
  <c r="O17" i="1922"/>
  <c r="M17" i="1922"/>
  <c r="AF16" i="1922"/>
  <c r="Q16" i="1922"/>
  <c r="P16" i="1922"/>
  <c r="AC16" i="1922" s="1"/>
  <c r="AF15" i="1922"/>
  <c r="AB15" i="1922"/>
  <c r="Q15" i="1922"/>
  <c r="P15" i="1922"/>
  <c r="AC15" i="1922" s="1"/>
  <c r="M15" i="1922"/>
  <c r="O15" i="1922"/>
  <c r="AF14" i="1922"/>
  <c r="Q14" i="1922"/>
  <c r="O14" i="1922"/>
  <c r="AB14" i="1922"/>
  <c r="AF13" i="1922"/>
  <c r="AB13" i="1922"/>
  <c r="Q13" i="1922"/>
  <c r="P13" i="1922" s="1"/>
  <c r="AC13" i="1922" s="1"/>
  <c r="O13" i="1922"/>
  <c r="M13" i="1922"/>
  <c r="AF12" i="1922"/>
  <c r="Q12" i="1922"/>
  <c r="P12" i="1922"/>
  <c r="AC12" i="1922" s="1"/>
  <c r="AF11" i="1922"/>
  <c r="AB11" i="1922"/>
  <c r="Q11" i="1922"/>
  <c r="P11" i="1922"/>
  <c r="AC11" i="1922" s="1"/>
  <c r="M11" i="1922"/>
  <c r="O11" i="1922"/>
  <c r="AF10" i="1922"/>
  <c r="AB10" i="1922"/>
  <c r="Q10" i="1922"/>
  <c r="P10" i="1922" s="1"/>
  <c r="AC10" i="1922" s="1"/>
  <c r="O10" i="1922"/>
  <c r="M10" i="1922"/>
  <c r="AF9" i="1922"/>
  <c r="Q9" i="1922"/>
  <c r="P9" i="1922"/>
  <c r="AC9" i="1922" s="1"/>
  <c r="AF8" i="1922"/>
  <c r="AB8" i="1922"/>
  <c r="Q8" i="1922"/>
  <c r="P8" i="1922" s="1"/>
  <c r="AC8" i="1922" s="1"/>
  <c r="O8" i="1922"/>
  <c r="M8" i="1922"/>
  <c r="AF7" i="1922"/>
  <c r="Q7" i="1922"/>
  <c r="P7" i="1922" s="1"/>
  <c r="AC7" i="1922" s="1"/>
  <c r="AF6" i="1922"/>
  <c r="AB6" i="1922"/>
  <c r="Q6" i="1922"/>
  <c r="O6" i="1922"/>
  <c r="M6" i="1922"/>
  <c r="K6" i="1922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2" i="1921"/>
  <c r="K22" i="1921" s="1"/>
  <c r="L21" i="1921"/>
  <c r="L20" i="1921"/>
  <c r="K20" i="1921" s="1"/>
  <c r="L19" i="1921"/>
  <c r="K19" i="1921" s="1"/>
  <c r="L18" i="1921"/>
  <c r="L17" i="1921"/>
  <c r="K17" i="1921" s="1"/>
  <c r="L16" i="1921"/>
  <c r="L15" i="1921"/>
  <c r="K15" i="1921" s="1"/>
  <c r="L14" i="1921"/>
  <c r="K14" i="1921"/>
  <c r="L13" i="1921"/>
  <c r="L12" i="1921"/>
  <c r="K12" i="1921" s="1"/>
  <c r="K11" i="1921"/>
  <c r="L10" i="1921"/>
  <c r="K10" i="1921" s="1"/>
  <c r="K9" i="1921"/>
  <c r="AF9" i="1921"/>
  <c r="Q9" i="1921"/>
  <c r="O9" i="1921"/>
  <c r="AB9" i="1921"/>
  <c r="L8" i="1921"/>
  <c r="K8" i="1921" s="1"/>
  <c r="L7" i="1921"/>
  <c r="K21" i="1921"/>
  <c r="K18" i="1921"/>
  <c r="K16" i="1921"/>
  <c r="K13" i="1921"/>
  <c r="K7" i="1921"/>
  <c r="K6" i="1921"/>
  <c r="A78" i="1921"/>
  <c r="A79" i="1921" s="1"/>
  <c r="A80" i="1921" s="1"/>
  <c r="A81" i="1921" s="1"/>
  <c r="A82" i="1921" s="1"/>
  <c r="A83" i="1921" s="1"/>
  <c r="AF62" i="1921"/>
  <c r="AF61" i="1921"/>
  <c r="AF64" i="1921" s="1"/>
  <c r="AA23" i="1921"/>
  <c r="Z23" i="1921"/>
  <c r="Y23" i="1921"/>
  <c r="X23" i="1921"/>
  <c r="W23" i="1921"/>
  <c r="V23" i="1921"/>
  <c r="U23" i="1921"/>
  <c r="T23" i="1921"/>
  <c r="S23" i="1921"/>
  <c r="R23" i="1921"/>
  <c r="N23" i="1921"/>
  <c r="J23" i="1921"/>
  <c r="I23" i="1921"/>
  <c r="AF22" i="1921"/>
  <c r="Q22" i="1921"/>
  <c r="P22" i="1921"/>
  <c r="AC22" i="1921" s="1"/>
  <c r="AF21" i="1921"/>
  <c r="Q21" i="1921"/>
  <c r="P21" i="1921"/>
  <c r="AC21" i="1921" s="1"/>
  <c r="O21" i="1921"/>
  <c r="AB21" i="1921"/>
  <c r="AF20" i="1921"/>
  <c r="AB20" i="1921"/>
  <c r="Q20" i="1921"/>
  <c r="P20" i="1921" s="1"/>
  <c r="AC20" i="1921" s="1"/>
  <c r="O20" i="1921"/>
  <c r="M20" i="1921"/>
  <c r="AF19" i="1921"/>
  <c r="Q19" i="1921"/>
  <c r="P19" i="1921"/>
  <c r="AC19" i="1921" s="1"/>
  <c r="O19" i="1921"/>
  <c r="AF18" i="1921"/>
  <c r="Q18" i="1921"/>
  <c r="P18" i="1921"/>
  <c r="AC18" i="1921" s="1"/>
  <c r="O18" i="1921"/>
  <c r="AB18" i="1921"/>
  <c r="AF17" i="1921"/>
  <c r="AB17" i="1921"/>
  <c r="Q17" i="1921"/>
  <c r="O17" i="1921"/>
  <c r="M17" i="1921"/>
  <c r="AF16" i="1921"/>
  <c r="Q16" i="1921"/>
  <c r="P16" i="1921"/>
  <c r="AC16" i="1921" s="1"/>
  <c r="AF15" i="1921"/>
  <c r="AB15" i="1921"/>
  <c r="Q15" i="1921"/>
  <c r="P15" i="1921"/>
  <c r="AC15" i="1921" s="1"/>
  <c r="O15" i="1921"/>
  <c r="M15" i="1921"/>
  <c r="AF14" i="1921"/>
  <c r="AB14" i="1921"/>
  <c r="Q14" i="1921"/>
  <c r="P14" i="1921" s="1"/>
  <c r="AC14" i="1921" s="1"/>
  <c r="O14" i="1921"/>
  <c r="M14" i="1921"/>
  <c r="AF13" i="1921"/>
  <c r="Q13" i="1921"/>
  <c r="P13" i="1921" s="1"/>
  <c r="AC13" i="1921" s="1"/>
  <c r="O13" i="1921"/>
  <c r="AF12" i="1921"/>
  <c r="Q12" i="1921"/>
  <c r="P12" i="1921" s="1"/>
  <c r="AC12" i="1921" s="1"/>
  <c r="O12" i="1921"/>
  <c r="AB12" i="1921"/>
  <c r="AF11" i="1921"/>
  <c r="AB11" i="1921"/>
  <c r="Q11" i="1921"/>
  <c r="P11" i="1921" s="1"/>
  <c r="AC11" i="1921" s="1"/>
  <c r="O11" i="1921"/>
  <c r="M11" i="1921"/>
  <c r="AF10" i="1921"/>
  <c r="Q10" i="1921"/>
  <c r="M10" i="1921"/>
  <c r="AF8" i="1921"/>
  <c r="Q8" i="1921"/>
  <c r="O8" i="1921"/>
  <c r="AF7" i="1921"/>
  <c r="Q7" i="1921"/>
  <c r="P7" i="1921"/>
  <c r="AC7" i="1921" s="1"/>
  <c r="O7" i="1921"/>
  <c r="AB7" i="1921"/>
  <c r="AF6" i="1921"/>
  <c r="AB6" i="1921"/>
  <c r="Q6" i="1921"/>
  <c r="P6" i="1921"/>
  <c r="AC6" i="1921" s="1"/>
  <c r="O6" i="1921"/>
  <c r="M6" i="1921"/>
  <c r="P19" i="16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1" i="1920"/>
  <c r="K21" i="1920" s="1"/>
  <c r="L20" i="1920"/>
  <c r="K20" i="1920" s="1"/>
  <c r="L18" i="1920"/>
  <c r="AB18" i="1920" s="1"/>
  <c r="L17" i="1920"/>
  <c r="P17" i="1920" s="1"/>
  <c r="AC17" i="1920" s="1"/>
  <c r="L16" i="1920"/>
  <c r="L15" i="1920"/>
  <c r="AB15" i="1920" s="1"/>
  <c r="L12" i="1920"/>
  <c r="O12" i="1920" s="1"/>
  <c r="L11" i="1920"/>
  <c r="K11" i="1920"/>
  <c r="L10" i="1920"/>
  <c r="K10" i="1920" s="1"/>
  <c r="L9" i="1920"/>
  <c r="K9" i="1920" s="1"/>
  <c r="L8" i="1920"/>
  <c r="AB8" i="1920" s="1"/>
  <c r="L7" i="1920"/>
  <c r="AB7" i="1920" s="1"/>
  <c r="L6" i="1920"/>
  <c r="AB6" i="1920" s="1"/>
  <c r="K6" i="1920"/>
  <c r="K19" i="1920"/>
  <c r="K18" i="1920"/>
  <c r="K17" i="1920"/>
  <c r="K16" i="1920"/>
  <c r="K15" i="1920"/>
  <c r="K12" i="1920"/>
  <c r="A77" i="1920"/>
  <c r="A78" i="1920" s="1"/>
  <c r="A79" i="1920" s="1"/>
  <c r="A80" i="1920" s="1"/>
  <c r="A81" i="1920" s="1"/>
  <c r="A82" i="1920" s="1"/>
  <c r="AF61" i="1920"/>
  <c r="AF60" i="1920"/>
  <c r="AA22" i="1920"/>
  <c r="Z22" i="1920"/>
  <c r="Y22" i="1920"/>
  <c r="X22" i="1920"/>
  <c r="W22" i="1920"/>
  <c r="V22" i="1920"/>
  <c r="U22" i="1920"/>
  <c r="T22" i="1920"/>
  <c r="S22" i="1920"/>
  <c r="R22" i="1920"/>
  <c r="N22" i="1920"/>
  <c r="J22" i="1920"/>
  <c r="I22" i="1920"/>
  <c r="AF21" i="1920"/>
  <c r="Q21" i="1920"/>
  <c r="P21" i="1920"/>
  <c r="AC21" i="1920" s="1"/>
  <c r="O21" i="1920"/>
  <c r="AF20" i="1920"/>
  <c r="Q20" i="1920"/>
  <c r="P20" i="1920"/>
  <c r="AC20" i="1920" s="1"/>
  <c r="AF19" i="1920"/>
  <c r="AB19" i="1920"/>
  <c r="Q19" i="1920"/>
  <c r="P19" i="1920"/>
  <c r="AC19" i="1920" s="1"/>
  <c r="M19" i="1920"/>
  <c r="O19" i="1920"/>
  <c r="AF18" i="1920"/>
  <c r="Q18" i="1920"/>
  <c r="O18" i="1920"/>
  <c r="AF17" i="1920"/>
  <c r="AB17" i="1920"/>
  <c r="Q17" i="1920"/>
  <c r="M17" i="1920"/>
  <c r="AF16" i="1920"/>
  <c r="Q16" i="1920"/>
  <c r="P16" i="1920"/>
  <c r="AC16" i="1920" s="1"/>
  <c r="AF15" i="1920"/>
  <c r="Q15" i="1920"/>
  <c r="P15" i="1920" s="1"/>
  <c r="AC15" i="1920" s="1"/>
  <c r="M15" i="1920"/>
  <c r="AF14" i="1920"/>
  <c r="AB14" i="1920"/>
  <c r="Q14" i="1920"/>
  <c r="P14" i="1920"/>
  <c r="AC14" i="1920" s="1"/>
  <c r="O14" i="1920"/>
  <c r="M14" i="1920"/>
  <c r="K14" i="1920"/>
  <c r="AF13" i="1920"/>
  <c r="AB13" i="1920"/>
  <c r="Q13" i="1920"/>
  <c r="P13" i="1920"/>
  <c r="AC13" i="1920" s="1"/>
  <c r="O13" i="1920"/>
  <c r="M13" i="1920"/>
  <c r="K13" i="1920"/>
  <c r="AF12" i="1920"/>
  <c r="Q12" i="1920"/>
  <c r="AB12" i="1920"/>
  <c r="AF11" i="1920"/>
  <c r="AB11" i="1920"/>
  <c r="Q11" i="1920"/>
  <c r="O11" i="1920"/>
  <c r="M11" i="1920"/>
  <c r="AF10" i="1920"/>
  <c r="Q10" i="1920"/>
  <c r="P10" i="1920" s="1"/>
  <c r="AC10" i="1920" s="1"/>
  <c r="AF9" i="1920"/>
  <c r="AB9" i="1920"/>
  <c r="Q9" i="1920"/>
  <c r="P9" i="1920" s="1"/>
  <c r="AC9" i="1920" s="1"/>
  <c r="M9" i="1920"/>
  <c r="O9" i="1920"/>
  <c r="AF8" i="1920"/>
  <c r="Q8" i="1920"/>
  <c r="O8" i="1920"/>
  <c r="AF7" i="1920"/>
  <c r="Q7" i="1920"/>
  <c r="P7" i="1920" s="1"/>
  <c r="AC7" i="1920" s="1"/>
  <c r="AF6" i="1920"/>
  <c r="Q6" i="1920"/>
  <c r="O6" i="1920"/>
  <c r="M6" i="1920"/>
  <c r="O19" i="16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23" i="1919"/>
  <c r="P23" i="1919" s="1"/>
  <c r="AC23" i="1919" s="1"/>
  <c r="L22" i="1919"/>
  <c r="P22" i="1919" s="1"/>
  <c r="AC22" i="1919" s="1"/>
  <c r="L21" i="1919"/>
  <c r="O21" i="1919" s="1"/>
  <c r="L20" i="1919"/>
  <c r="K20" i="1919" s="1"/>
  <c r="L19" i="1919"/>
  <c r="AB19" i="1919" s="1"/>
  <c r="L18" i="1919"/>
  <c r="P18" i="1919" s="1"/>
  <c r="AC18" i="1919" s="1"/>
  <c r="L17" i="1919"/>
  <c r="O17" i="1919" s="1"/>
  <c r="K17" i="1919"/>
  <c r="L14" i="1919"/>
  <c r="K14" i="1919" s="1"/>
  <c r="L13" i="1919"/>
  <c r="K13" i="1919" s="1"/>
  <c r="L12" i="1919"/>
  <c r="O12" i="1919" s="1"/>
  <c r="L11" i="1919"/>
  <c r="L10" i="1919"/>
  <c r="AB10" i="1919"/>
  <c r="K10" i="1919"/>
  <c r="AF10" i="1919"/>
  <c r="Q10" i="1919"/>
  <c r="P10" i="1919" s="1"/>
  <c r="AC10" i="1919" s="1"/>
  <c r="O10" i="1919"/>
  <c r="M10" i="1919"/>
  <c r="L7" i="1919"/>
  <c r="O7" i="1919" s="1"/>
  <c r="K23" i="1919"/>
  <c r="K22" i="1919"/>
  <c r="K21" i="1919"/>
  <c r="K19" i="1919"/>
  <c r="K18" i="1919"/>
  <c r="K15" i="1919"/>
  <c r="K9" i="1919"/>
  <c r="K8" i="1919"/>
  <c r="A79" i="1919"/>
  <c r="A80" i="1919" s="1"/>
  <c r="A81" i="1919" s="1"/>
  <c r="A82" i="1919" s="1"/>
  <c r="A83" i="1919" s="1"/>
  <c r="A84" i="1919" s="1"/>
  <c r="AF63" i="1919"/>
  <c r="AF62" i="1919"/>
  <c r="AF65" i="1919" s="1"/>
  <c r="AA24" i="1919"/>
  <c r="Z24" i="1919"/>
  <c r="Y24" i="1919"/>
  <c r="X24" i="1919"/>
  <c r="W24" i="1919"/>
  <c r="V24" i="1919"/>
  <c r="U24" i="1919"/>
  <c r="T24" i="1919"/>
  <c r="S24" i="1919"/>
  <c r="R24" i="1919"/>
  <c r="N24" i="1919"/>
  <c r="J24" i="1919"/>
  <c r="I24" i="1919"/>
  <c r="AF23" i="1919"/>
  <c r="AB23" i="1919"/>
  <c r="Q23" i="1919"/>
  <c r="M23" i="1919"/>
  <c r="O23" i="1919"/>
  <c r="AF22" i="1919"/>
  <c r="Q22" i="1919"/>
  <c r="AF21" i="1919"/>
  <c r="AB21" i="1919"/>
  <c r="Q21" i="1919"/>
  <c r="P21" i="1919" s="1"/>
  <c r="AC21" i="1919" s="1"/>
  <c r="M21" i="1919"/>
  <c r="AF20" i="1919"/>
  <c r="Q20" i="1919"/>
  <c r="AF19" i="1919"/>
  <c r="Q19" i="1919"/>
  <c r="M19" i="1919"/>
  <c r="AF18" i="1919"/>
  <c r="Q18" i="1919"/>
  <c r="AF17" i="1919"/>
  <c r="AB17" i="1919"/>
  <c r="Q17" i="1919"/>
  <c r="P17" i="1919"/>
  <c r="AC17" i="1919" s="1"/>
  <c r="M17" i="1919"/>
  <c r="AF16" i="1919"/>
  <c r="AB16" i="1919"/>
  <c r="Q16" i="1919"/>
  <c r="P16" i="1919"/>
  <c r="AC16" i="1919" s="1"/>
  <c r="O16" i="1919"/>
  <c r="M16" i="1919"/>
  <c r="K16" i="1919"/>
  <c r="AF15" i="1919"/>
  <c r="Q15" i="1919"/>
  <c r="P15" i="1919"/>
  <c r="AC15" i="1919" s="1"/>
  <c r="AF14" i="1919"/>
  <c r="Q14" i="1919"/>
  <c r="P14" i="1919"/>
  <c r="AC14" i="1919" s="1"/>
  <c r="O14" i="1919"/>
  <c r="AF13" i="1919"/>
  <c r="Q13" i="1919"/>
  <c r="P13" i="1919"/>
  <c r="AC13" i="1919" s="1"/>
  <c r="O13" i="1919"/>
  <c r="AF12" i="1919"/>
  <c r="AB12" i="1919"/>
  <c r="Q12" i="1919"/>
  <c r="P12" i="1919" s="1"/>
  <c r="AC12" i="1919" s="1"/>
  <c r="M12" i="1919"/>
  <c r="K12" i="1919"/>
  <c r="AF11" i="1919"/>
  <c r="Q11" i="1919"/>
  <c r="O11" i="1919"/>
  <c r="AF9" i="1919"/>
  <c r="Q9" i="1919"/>
  <c r="P9" i="1919" s="1"/>
  <c r="AC9" i="1919" s="1"/>
  <c r="O9" i="1919"/>
  <c r="AB9" i="1919"/>
  <c r="AF8" i="1919"/>
  <c r="AB8" i="1919"/>
  <c r="Q8" i="1919"/>
  <c r="P8" i="1919" s="1"/>
  <c r="AC8" i="1919" s="1"/>
  <c r="O8" i="1919"/>
  <c r="M8" i="1919"/>
  <c r="AF7" i="1919"/>
  <c r="Q7" i="1919"/>
  <c r="P7" i="1919" s="1"/>
  <c r="AC7" i="1919" s="1"/>
  <c r="AF6" i="1919"/>
  <c r="AB6" i="1919"/>
  <c r="Q6" i="1919"/>
  <c r="P6" i="1919"/>
  <c r="O6" i="1919"/>
  <c r="M6" i="1919"/>
  <c r="K6" i="1919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22" i="1918"/>
  <c r="L21" i="1918"/>
  <c r="L20" i="1918"/>
  <c r="L19" i="1918"/>
  <c r="L18" i="1918"/>
  <c r="L17" i="1918"/>
  <c r="L16" i="1918"/>
  <c r="M16" i="1918" s="1"/>
  <c r="L14" i="1918"/>
  <c r="K14" i="1918"/>
  <c r="L13" i="1918"/>
  <c r="K13" i="1918" s="1"/>
  <c r="L12" i="1918"/>
  <c r="K12" i="1918" s="1"/>
  <c r="L10" i="1918"/>
  <c r="L9" i="1918"/>
  <c r="K8" i="1918"/>
  <c r="AF8" i="1918"/>
  <c r="AB8" i="1918"/>
  <c r="Q8" i="1918"/>
  <c r="P8" i="1918" s="1"/>
  <c r="AC8" i="1918" s="1"/>
  <c r="O8" i="1918"/>
  <c r="M8" i="1918"/>
  <c r="L7" i="1918"/>
  <c r="O7" i="1918" s="1"/>
  <c r="K22" i="1918"/>
  <c r="K21" i="1918"/>
  <c r="K20" i="1918"/>
  <c r="K19" i="1918"/>
  <c r="K18" i="1918"/>
  <c r="K17" i="1918"/>
  <c r="K16" i="1918"/>
  <c r="K15" i="1918"/>
  <c r="K11" i="1918"/>
  <c r="K10" i="1918"/>
  <c r="K9" i="1918"/>
  <c r="K7" i="1918"/>
  <c r="A78" i="1918"/>
  <c r="A79" i="1918" s="1"/>
  <c r="A80" i="1918" s="1"/>
  <c r="A81" i="1918" s="1"/>
  <c r="A82" i="1918" s="1"/>
  <c r="A83" i="1918" s="1"/>
  <c r="AF62" i="1918"/>
  <c r="AF61" i="1918"/>
  <c r="AA23" i="1918"/>
  <c r="Z23" i="1918"/>
  <c r="Y23" i="1918"/>
  <c r="X23" i="1918"/>
  <c r="W23" i="1918"/>
  <c r="V23" i="1918"/>
  <c r="U23" i="1918"/>
  <c r="T23" i="1918"/>
  <c r="S23" i="1918"/>
  <c r="R23" i="1918"/>
  <c r="N23" i="1918"/>
  <c r="J23" i="1918"/>
  <c r="I23" i="1918"/>
  <c r="AF22" i="1918"/>
  <c r="Q22" i="1918"/>
  <c r="P22" i="1918"/>
  <c r="AC22" i="1918" s="1"/>
  <c r="AF21" i="1918"/>
  <c r="Q21" i="1918"/>
  <c r="P21" i="1918"/>
  <c r="AC21" i="1918" s="1"/>
  <c r="O21" i="1918"/>
  <c r="AF20" i="1918"/>
  <c r="Q20" i="1918"/>
  <c r="O20" i="1918"/>
  <c r="AB20" i="1918"/>
  <c r="AF19" i="1918"/>
  <c r="AB19" i="1918"/>
  <c r="Q19" i="1918"/>
  <c r="P19" i="1918" s="1"/>
  <c r="AC19" i="1918" s="1"/>
  <c r="M19" i="1918"/>
  <c r="AF18" i="1918"/>
  <c r="Q18" i="1918"/>
  <c r="P18" i="1918"/>
  <c r="AC18" i="1918" s="1"/>
  <c r="AF17" i="1918"/>
  <c r="Q17" i="1918"/>
  <c r="P17" i="1918" s="1"/>
  <c r="AC17" i="1918" s="1"/>
  <c r="O17" i="1918"/>
  <c r="AF16" i="1918"/>
  <c r="Q16" i="1918"/>
  <c r="O16" i="1918"/>
  <c r="AB16" i="1918"/>
  <c r="AF15" i="1918"/>
  <c r="AB15" i="1918"/>
  <c r="Q15" i="1918"/>
  <c r="P15" i="1918"/>
  <c r="AC15" i="1918" s="1"/>
  <c r="O15" i="1918"/>
  <c r="M15" i="1918"/>
  <c r="AF14" i="1918"/>
  <c r="AB14" i="1918"/>
  <c r="Q14" i="1918"/>
  <c r="P14" i="1918" s="1"/>
  <c r="AC14" i="1918" s="1"/>
  <c r="M14" i="1918"/>
  <c r="AF13" i="1918"/>
  <c r="Q13" i="1918"/>
  <c r="AF12" i="1918"/>
  <c r="Q12" i="1918"/>
  <c r="AF11" i="1918"/>
  <c r="AB11" i="1918"/>
  <c r="Q11" i="1918"/>
  <c r="O11" i="1918"/>
  <c r="M11" i="1918"/>
  <c r="P11" i="1918"/>
  <c r="AC11" i="1918" s="1"/>
  <c r="AF10" i="1918"/>
  <c r="AB10" i="1918"/>
  <c r="Q10" i="1918"/>
  <c r="P10" i="1918" s="1"/>
  <c r="AC10" i="1918" s="1"/>
  <c r="M10" i="1918"/>
  <c r="AF9" i="1918"/>
  <c r="Q9" i="1918"/>
  <c r="P9" i="1918" s="1"/>
  <c r="AC9" i="1918" s="1"/>
  <c r="AF7" i="1918"/>
  <c r="Q7" i="1918"/>
  <c r="AF6" i="1918"/>
  <c r="AB6" i="1918"/>
  <c r="Q6" i="1918"/>
  <c r="P6" i="1918"/>
  <c r="AC6" i="1918" s="1"/>
  <c r="O6" i="1918"/>
  <c r="M6" i="1918"/>
  <c r="K6" i="1918"/>
  <c r="L19" i="16"/>
  <c r="L18" i="16"/>
  <c r="L17" i="16"/>
  <c r="L16" i="16"/>
  <c r="M19" i="1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2" i="1917"/>
  <c r="L21" i="1917"/>
  <c r="L20" i="1917"/>
  <c r="L19" i="1917"/>
  <c r="L18" i="1917"/>
  <c r="L17" i="1917"/>
  <c r="L16" i="1917"/>
  <c r="K16" i="1917" s="1"/>
  <c r="AF16" i="1917"/>
  <c r="Q16" i="1917"/>
  <c r="K14" i="1917"/>
  <c r="L13" i="1917"/>
  <c r="K13" i="1917" s="1"/>
  <c r="L12" i="1917"/>
  <c r="L11" i="1917"/>
  <c r="K11" i="1917" s="1"/>
  <c r="L10" i="1917"/>
  <c r="K10" i="1917" s="1"/>
  <c r="L9" i="1917"/>
  <c r="L8" i="1917"/>
  <c r="K8" i="1917" s="1"/>
  <c r="L7" i="1917"/>
  <c r="K7" i="1917" s="1"/>
  <c r="K22" i="1917"/>
  <c r="K21" i="1917"/>
  <c r="K20" i="1917"/>
  <c r="K19" i="1917"/>
  <c r="K18" i="1917"/>
  <c r="K17" i="1917"/>
  <c r="K15" i="1917"/>
  <c r="K12" i="1917"/>
  <c r="A78" i="1917"/>
  <c r="A79" i="1917" s="1"/>
  <c r="A80" i="1917" s="1"/>
  <c r="A81" i="1917" s="1"/>
  <c r="A82" i="1917" s="1"/>
  <c r="A83" i="1917" s="1"/>
  <c r="AF62" i="1917"/>
  <c r="AF61" i="1917"/>
  <c r="AA23" i="1917"/>
  <c r="Z23" i="1917"/>
  <c r="Y23" i="1917"/>
  <c r="X23" i="1917"/>
  <c r="W23" i="1917"/>
  <c r="V23" i="1917"/>
  <c r="U23" i="1917"/>
  <c r="T23" i="1917"/>
  <c r="S23" i="1917"/>
  <c r="R23" i="1917"/>
  <c r="N23" i="1917"/>
  <c r="J23" i="1917"/>
  <c r="I23" i="1917"/>
  <c r="AF22" i="1917"/>
  <c r="AB22" i="1917"/>
  <c r="Q22" i="1917"/>
  <c r="P22" i="1917" s="1"/>
  <c r="AC22" i="1917" s="1"/>
  <c r="O22" i="1917"/>
  <c r="M22" i="1917"/>
  <c r="AF21" i="1917"/>
  <c r="Q21" i="1917"/>
  <c r="P21" i="1917"/>
  <c r="AC21" i="1917" s="1"/>
  <c r="AF20" i="1917"/>
  <c r="Q20" i="1917"/>
  <c r="P20" i="1917"/>
  <c r="AC20" i="1917" s="1"/>
  <c r="O20" i="1917"/>
  <c r="AF19" i="1917"/>
  <c r="Q19" i="1917"/>
  <c r="P19" i="1917" s="1"/>
  <c r="AC19" i="1917" s="1"/>
  <c r="AF18" i="1917"/>
  <c r="Q18" i="1917"/>
  <c r="P18" i="1917" s="1"/>
  <c r="AC18" i="1917" s="1"/>
  <c r="O18" i="1917"/>
  <c r="AF17" i="1917"/>
  <c r="AB17" i="1917"/>
  <c r="Q17" i="1917"/>
  <c r="P17" i="1917" s="1"/>
  <c r="AC17" i="1917" s="1"/>
  <c r="O17" i="1917"/>
  <c r="M17" i="1917"/>
  <c r="AF15" i="1917"/>
  <c r="AB15" i="1917"/>
  <c r="Q15" i="1917"/>
  <c r="O15" i="1917"/>
  <c r="M15" i="1917"/>
  <c r="P15" i="1917"/>
  <c r="AC15" i="1917" s="1"/>
  <c r="AF14" i="1917"/>
  <c r="AB14" i="1917"/>
  <c r="Q14" i="1917"/>
  <c r="P14" i="1917" s="1"/>
  <c r="AC14" i="1917" s="1"/>
  <c r="O14" i="1917"/>
  <c r="M14" i="1917"/>
  <c r="AF13" i="1917"/>
  <c r="Q13" i="1917"/>
  <c r="O13" i="1917"/>
  <c r="AF12" i="1917"/>
  <c r="AB12" i="1917"/>
  <c r="Q12" i="1917"/>
  <c r="P12" i="1917" s="1"/>
  <c r="AC12" i="1917" s="1"/>
  <c r="O12" i="1917"/>
  <c r="M12" i="1917"/>
  <c r="AF11" i="1917"/>
  <c r="Q11" i="1917"/>
  <c r="AF10" i="1917"/>
  <c r="Q10" i="1917"/>
  <c r="O10" i="1917"/>
  <c r="AF9" i="1917"/>
  <c r="AB9" i="1917"/>
  <c r="Q9" i="1917"/>
  <c r="M9" i="1917"/>
  <c r="AF8" i="1917"/>
  <c r="Q8" i="1917"/>
  <c r="M8" i="1917"/>
  <c r="AF7" i="1917"/>
  <c r="Q7" i="1917"/>
  <c r="AF6" i="1917"/>
  <c r="AB6" i="1917"/>
  <c r="Q6" i="1917"/>
  <c r="P6" i="1917"/>
  <c r="AC6" i="1917" s="1"/>
  <c r="O6" i="1917"/>
  <c r="M6" i="1917"/>
  <c r="K6" i="1917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22" i="1916"/>
  <c r="K22" i="1916" s="1"/>
  <c r="L21" i="1916"/>
  <c r="L20" i="1916"/>
  <c r="AF19" i="1916"/>
  <c r="AB19" i="1916"/>
  <c r="Q19" i="1916"/>
  <c r="P19" i="1916" s="1"/>
  <c r="AC19" i="1916" s="1"/>
  <c r="AD19" i="1916" s="1"/>
  <c r="O19" i="1916"/>
  <c r="M19" i="1916"/>
  <c r="K19" i="1916"/>
  <c r="K20" i="1916"/>
  <c r="L18" i="1916"/>
  <c r="K18" i="1916" s="1"/>
  <c r="L17" i="1916"/>
  <c r="K17" i="1916"/>
  <c r="L16" i="1916"/>
  <c r="O16" i="1916" s="1"/>
  <c r="L15" i="1916"/>
  <c r="P15" i="1916" s="1"/>
  <c r="AC15" i="1916" s="1"/>
  <c r="L13" i="1916"/>
  <c r="L12" i="1916"/>
  <c r="K12" i="1916"/>
  <c r="L11" i="1916"/>
  <c r="AB11" i="1916" s="1"/>
  <c r="L10" i="1916"/>
  <c r="K10" i="1916" s="1"/>
  <c r="L9" i="1916"/>
  <c r="K9" i="1916" s="1"/>
  <c r="L8" i="1916"/>
  <c r="K8" i="1916" s="1"/>
  <c r="L7" i="1916"/>
  <c r="K21" i="1916"/>
  <c r="K16" i="1916"/>
  <c r="K15" i="1916"/>
  <c r="K7" i="1916"/>
  <c r="A78" i="1916"/>
  <c r="A79" i="1916" s="1"/>
  <c r="A80" i="1916" s="1"/>
  <c r="A81" i="1916" s="1"/>
  <c r="A82" i="1916" s="1"/>
  <c r="A83" i="1916" s="1"/>
  <c r="AF62" i="1916"/>
  <c r="AF64" i="1916" s="1"/>
  <c r="AF61" i="1916"/>
  <c r="AA23" i="1916"/>
  <c r="Z23" i="1916"/>
  <c r="Y23" i="1916"/>
  <c r="X23" i="1916"/>
  <c r="W23" i="1916"/>
  <c r="V23" i="1916"/>
  <c r="U23" i="1916"/>
  <c r="T23" i="1916"/>
  <c r="S23" i="1916"/>
  <c r="R23" i="1916"/>
  <c r="N23" i="1916"/>
  <c r="J23" i="1916"/>
  <c r="I23" i="1916"/>
  <c r="AF22" i="1916"/>
  <c r="Q22" i="1916"/>
  <c r="P22" i="1916"/>
  <c r="AC22" i="1916" s="1"/>
  <c r="O22" i="1916"/>
  <c r="AF21" i="1916"/>
  <c r="Q21" i="1916"/>
  <c r="P21" i="1916"/>
  <c r="AC21" i="1916" s="1"/>
  <c r="O21" i="1916"/>
  <c r="AF20" i="1916"/>
  <c r="Q20" i="1916"/>
  <c r="O20" i="1916"/>
  <c r="AB20" i="1916"/>
  <c r="AF18" i="1916"/>
  <c r="AB18" i="1916"/>
  <c r="Q18" i="1916"/>
  <c r="P18" i="1916"/>
  <c r="AC18" i="1916" s="1"/>
  <c r="M18" i="1916"/>
  <c r="AF17" i="1916"/>
  <c r="AB17" i="1916"/>
  <c r="Q17" i="1916"/>
  <c r="O17" i="1916"/>
  <c r="M17" i="1916"/>
  <c r="AF16" i="1916"/>
  <c r="Q16" i="1916"/>
  <c r="AB16" i="1916"/>
  <c r="AF15" i="1916"/>
  <c r="AB15" i="1916"/>
  <c r="Q15" i="1916"/>
  <c r="O15" i="1916"/>
  <c r="M15" i="1916"/>
  <c r="AF14" i="1916"/>
  <c r="AB14" i="1916"/>
  <c r="Q14" i="1916"/>
  <c r="P14" i="1916"/>
  <c r="AC14" i="1916" s="1"/>
  <c r="O14" i="1916"/>
  <c r="M14" i="1916"/>
  <c r="K14" i="1916"/>
  <c r="AF13" i="1916"/>
  <c r="AB13" i="1916"/>
  <c r="Q13" i="1916"/>
  <c r="O13" i="1916"/>
  <c r="M13" i="1916"/>
  <c r="K13" i="1916"/>
  <c r="AF12" i="1916"/>
  <c r="Q12" i="1916"/>
  <c r="P12" i="1916" s="1"/>
  <c r="AC12" i="1916" s="1"/>
  <c r="AF11" i="1916"/>
  <c r="Q11" i="1916"/>
  <c r="P11" i="1916"/>
  <c r="AC11" i="1916" s="1"/>
  <c r="M11" i="1916"/>
  <c r="O11" i="1916"/>
  <c r="AF10" i="1916"/>
  <c r="Q10" i="1916"/>
  <c r="O10" i="1916"/>
  <c r="AB10" i="1916"/>
  <c r="AF9" i="1916"/>
  <c r="AB9" i="1916"/>
  <c r="Q9" i="1916"/>
  <c r="O9" i="1916"/>
  <c r="M9" i="1916"/>
  <c r="AF8" i="1916"/>
  <c r="Q8" i="1916"/>
  <c r="P8" i="1916" s="1"/>
  <c r="AC8" i="1916" s="1"/>
  <c r="O8" i="1916"/>
  <c r="M8" i="1916"/>
  <c r="AF7" i="1916"/>
  <c r="Q7" i="1916"/>
  <c r="P7" i="1916" s="1"/>
  <c r="AC7" i="1916" s="1"/>
  <c r="AF6" i="1916"/>
  <c r="AB6" i="1916"/>
  <c r="Q6" i="1916"/>
  <c r="P6" i="1916"/>
  <c r="AC6" i="1916" s="1"/>
  <c r="O6" i="1916"/>
  <c r="M6" i="1916"/>
  <c r="K6" i="19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1915"/>
  <c r="L20" i="1915"/>
  <c r="L19" i="1915"/>
  <c r="K19" i="1915" s="1"/>
  <c r="L17" i="1915"/>
  <c r="L16" i="1915"/>
  <c r="K16" i="1915" s="1"/>
  <c r="L13" i="1915"/>
  <c r="O13" i="1915" s="1"/>
  <c r="L12" i="1915"/>
  <c r="L11" i="1915"/>
  <c r="L10" i="1915"/>
  <c r="AF9" i="1915"/>
  <c r="AB9" i="1915"/>
  <c r="Q9" i="1915"/>
  <c r="P9" i="1915" s="1"/>
  <c r="AC9" i="1915" s="1"/>
  <c r="O9" i="1915"/>
  <c r="M9" i="1915"/>
  <c r="K9" i="1915"/>
  <c r="K8" i="1915"/>
  <c r="L7" i="1915"/>
  <c r="K22" i="1915"/>
  <c r="K21" i="1915"/>
  <c r="K20" i="1915"/>
  <c r="K18" i="1915"/>
  <c r="K14" i="1915"/>
  <c r="K12" i="1915"/>
  <c r="K11" i="1915"/>
  <c r="K10" i="1915"/>
  <c r="K7" i="1915"/>
  <c r="A78" i="1915"/>
  <c r="A79" i="1915" s="1"/>
  <c r="A80" i="1915" s="1"/>
  <c r="A81" i="1915" s="1"/>
  <c r="A82" i="1915" s="1"/>
  <c r="A83" i="1915" s="1"/>
  <c r="AF64" i="1915"/>
  <c r="AF62" i="1915"/>
  <c r="AF61" i="1915"/>
  <c r="AA23" i="1915"/>
  <c r="Z23" i="1915"/>
  <c r="Y23" i="1915"/>
  <c r="X23" i="1915"/>
  <c r="W23" i="1915"/>
  <c r="V23" i="1915"/>
  <c r="U23" i="1915"/>
  <c r="T23" i="1915"/>
  <c r="S23" i="1915"/>
  <c r="R23" i="1915"/>
  <c r="N23" i="1915"/>
  <c r="J23" i="1915"/>
  <c r="I23" i="1915"/>
  <c r="AF22" i="1915"/>
  <c r="Q22" i="1915"/>
  <c r="P22" i="1915"/>
  <c r="AC22" i="1915" s="1"/>
  <c r="O22" i="1915"/>
  <c r="AB22" i="1915"/>
  <c r="AF21" i="1915"/>
  <c r="AB21" i="1915"/>
  <c r="Q21" i="1915"/>
  <c r="O21" i="1915"/>
  <c r="M21" i="1915"/>
  <c r="AF20" i="1915"/>
  <c r="AB20" i="1915"/>
  <c r="Q20" i="1915"/>
  <c r="M20" i="1915"/>
  <c r="O20" i="1915"/>
  <c r="AF19" i="1915"/>
  <c r="Q19" i="1915"/>
  <c r="AF18" i="1915"/>
  <c r="AB18" i="1915"/>
  <c r="Q18" i="1915"/>
  <c r="P18" i="1915"/>
  <c r="AC18" i="1915" s="1"/>
  <c r="O18" i="1915"/>
  <c r="M18" i="1915"/>
  <c r="AF17" i="1915"/>
  <c r="AB17" i="1915"/>
  <c r="Q17" i="1915"/>
  <c r="P17" i="1915" s="1"/>
  <c r="AC17" i="1915" s="1"/>
  <c r="O17" i="1915"/>
  <c r="M17" i="1915"/>
  <c r="K17" i="1915"/>
  <c r="AF16" i="1915"/>
  <c r="Q16" i="1915"/>
  <c r="AF15" i="1915"/>
  <c r="AB15" i="1915"/>
  <c r="Q15" i="1915"/>
  <c r="P15" i="1915"/>
  <c r="AC15" i="1915" s="1"/>
  <c r="O15" i="1915"/>
  <c r="M15" i="1915"/>
  <c r="K15" i="1915"/>
  <c r="AF14" i="1915"/>
  <c r="Q14" i="1915"/>
  <c r="P14" i="1915"/>
  <c r="AC14" i="1915" s="1"/>
  <c r="AF13" i="1915"/>
  <c r="Q13" i="1915"/>
  <c r="P13" i="1915"/>
  <c r="AC13" i="1915" s="1"/>
  <c r="AF12" i="1915"/>
  <c r="Q12" i="1915"/>
  <c r="P12" i="1915"/>
  <c r="AC12" i="1915" s="1"/>
  <c r="O12" i="1915"/>
  <c r="AB12" i="1915"/>
  <c r="AF11" i="1915"/>
  <c r="AB11" i="1915"/>
  <c r="Q11" i="1915"/>
  <c r="P11" i="1915" s="1"/>
  <c r="AC11" i="1915" s="1"/>
  <c r="O11" i="1915"/>
  <c r="M11" i="1915"/>
  <c r="AF10" i="1915"/>
  <c r="Q10" i="1915"/>
  <c r="P10" i="1915" s="1"/>
  <c r="AC10" i="1915" s="1"/>
  <c r="AF8" i="1915"/>
  <c r="Q8" i="1915"/>
  <c r="P8" i="1915"/>
  <c r="AC8" i="1915" s="1"/>
  <c r="O8" i="1915"/>
  <c r="AF7" i="1915"/>
  <c r="Q7" i="1915"/>
  <c r="P7" i="1915" s="1"/>
  <c r="AC7" i="1915" s="1"/>
  <c r="O7" i="1915"/>
  <c r="AB7" i="1915"/>
  <c r="AF6" i="1915"/>
  <c r="AB6" i="1915"/>
  <c r="Q6" i="1915"/>
  <c r="P6" i="1915"/>
  <c r="O6" i="1915"/>
  <c r="M6" i="1915"/>
  <c r="K6" i="1915"/>
  <c r="I19" i="16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21" i="1914"/>
  <c r="L20" i="1914"/>
  <c r="L19" i="1914"/>
  <c r="L18" i="1914"/>
  <c r="K18" i="1914"/>
  <c r="L15" i="1914"/>
  <c r="K15" i="1914" s="1"/>
  <c r="L13" i="1914"/>
  <c r="K13" i="1914"/>
  <c r="L12" i="1914"/>
  <c r="K12" i="1914" s="1"/>
  <c r="L11" i="1914"/>
  <c r="K11" i="1914" s="1"/>
  <c r="L10" i="1914"/>
  <c r="K10" i="1914" s="1"/>
  <c r="L9" i="1914"/>
  <c r="L8" i="1914"/>
  <c r="K8" i="1914" s="1"/>
  <c r="L7" i="1914"/>
  <c r="K7" i="1914" s="1"/>
  <c r="K21" i="1914"/>
  <c r="K20" i="1914"/>
  <c r="K19" i="1914"/>
  <c r="K17" i="1914"/>
  <c r="K16" i="1914"/>
  <c r="K14" i="1914"/>
  <c r="K9" i="1914"/>
  <c r="A78" i="1914"/>
  <c r="A79" i="1914" s="1"/>
  <c r="A80" i="1914" s="1"/>
  <c r="A81" i="1914" s="1"/>
  <c r="A82" i="1914" s="1"/>
  <c r="A77" i="1914"/>
  <c r="AF61" i="1914"/>
  <c r="AF60" i="1914"/>
  <c r="AF63" i="1914" s="1"/>
  <c r="AA22" i="1914"/>
  <c r="Z22" i="1914"/>
  <c r="Y22" i="1914"/>
  <c r="X22" i="1914"/>
  <c r="W22" i="1914"/>
  <c r="V22" i="1914"/>
  <c r="U22" i="1914"/>
  <c r="T22" i="1914"/>
  <c r="S22" i="1914"/>
  <c r="R22" i="1914"/>
  <c r="N22" i="1914"/>
  <c r="J22" i="1914"/>
  <c r="I22" i="1914"/>
  <c r="AF21" i="1914"/>
  <c r="AB21" i="1914"/>
  <c r="Q21" i="1914"/>
  <c r="P21" i="1914" s="1"/>
  <c r="AC21" i="1914" s="1"/>
  <c r="M21" i="1914"/>
  <c r="AF20" i="1914"/>
  <c r="Q20" i="1914"/>
  <c r="P20" i="1914"/>
  <c r="AC20" i="1914" s="1"/>
  <c r="AF19" i="1914"/>
  <c r="Q19" i="1914"/>
  <c r="P19" i="1914"/>
  <c r="AC19" i="1914" s="1"/>
  <c r="O19" i="1914"/>
  <c r="AB19" i="1914"/>
  <c r="AF18" i="1914"/>
  <c r="AB18" i="1914"/>
  <c r="Q18" i="1914"/>
  <c r="P18" i="1914" s="1"/>
  <c r="AC18" i="1914" s="1"/>
  <c r="O18" i="1914"/>
  <c r="M18" i="1914"/>
  <c r="AF17" i="1914"/>
  <c r="AB17" i="1914"/>
  <c r="Q17" i="1914"/>
  <c r="M17" i="1914"/>
  <c r="P17" i="1914"/>
  <c r="AC17" i="1914" s="1"/>
  <c r="AF16" i="1914"/>
  <c r="Q16" i="1914"/>
  <c r="P16" i="1914"/>
  <c r="AC16" i="1914" s="1"/>
  <c r="AF15" i="1914"/>
  <c r="AB15" i="1914"/>
  <c r="Q15" i="1914"/>
  <c r="AF14" i="1914"/>
  <c r="AB14" i="1914"/>
  <c r="Q14" i="1914"/>
  <c r="P14" i="1914" s="1"/>
  <c r="AC14" i="1914" s="1"/>
  <c r="AD14" i="1914" s="1"/>
  <c r="O14" i="1914"/>
  <c r="M14" i="1914"/>
  <c r="AF13" i="1914"/>
  <c r="AB13" i="1914"/>
  <c r="Q13" i="1914"/>
  <c r="P13" i="1914" s="1"/>
  <c r="AC13" i="1914" s="1"/>
  <c r="M13" i="1914"/>
  <c r="AF12" i="1914"/>
  <c r="Q12" i="1914"/>
  <c r="AF11" i="1914"/>
  <c r="Q11" i="1914"/>
  <c r="P11" i="1914"/>
  <c r="AC11" i="1914" s="1"/>
  <c r="AF10" i="1914"/>
  <c r="AB10" i="1914"/>
  <c r="Q10" i="1914"/>
  <c r="P10" i="1914" s="1"/>
  <c r="AC10" i="1914" s="1"/>
  <c r="O10" i="1914"/>
  <c r="M10" i="1914"/>
  <c r="AF9" i="1914"/>
  <c r="AB9" i="1914"/>
  <c r="Q9" i="1914"/>
  <c r="P9" i="1914" s="1"/>
  <c r="AC9" i="1914" s="1"/>
  <c r="M9" i="1914"/>
  <c r="AF8" i="1914"/>
  <c r="Q8" i="1914"/>
  <c r="P8" i="1914"/>
  <c r="AC8" i="1914" s="1"/>
  <c r="AF7" i="1914"/>
  <c r="AB7" i="1914"/>
  <c r="Q7" i="1914"/>
  <c r="O7" i="1914"/>
  <c r="M7" i="1914"/>
  <c r="AF6" i="1914"/>
  <c r="AB6" i="1914"/>
  <c r="Q6" i="1914"/>
  <c r="P6" i="1914"/>
  <c r="AC6" i="1914" s="1"/>
  <c r="O6" i="1914"/>
  <c r="M6" i="1914"/>
  <c r="K6" i="1914"/>
  <c r="AE16" i="1930" l="1"/>
  <c r="AE9" i="1930"/>
  <c r="AE8" i="1930"/>
  <c r="AE6" i="1930"/>
  <c r="AE20" i="1930"/>
  <c r="AE17" i="1930"/>
  <c r="AE14" i="1930"/>
  <c r="AE13" i="1930"/>
  <c r="AE10" i="1930"/>
  <c r="AE21" i="1930"/>
  <c r="AE18" i="1930"/>
  <c r="AE15" i="1930"/>
  <c r="AE11" i="1930"/>
  <c r="AE7" i="1930"/>
  <c r="AE19" i="1930"/>
  <c r="AE12" i="1930"/>
  <c r="AE12" i="1926"/>
  <c r="AE15" i="1926"/>
  <c r="AE17" i="1926"/>
  <c r="AE14" i="1926"/>
  <c r="AE16" i="1926"/>
  <c r="AE6" i="1926"/>
  <c r="AE7" i="1926"/>
  <c r="AE9" i="1926"/>
  <c r="AE11" i="1926"/>
  <c r="AE13" i="1926"/>
  <c r="AE18" i="1926"/>
  <c r="AE20" i="1926"/>
  <c r="AE8" i="1926"/>
  <c r="AE21" i="1926"/>
  <c r="AE19" i="1926"/>
  <c r="AD22" i="1925"/>
  <c r="AE17" i="1925" s="1"/>
  <c r="M22" i="1924"/>
  <c r="AD21" i="1924"/>
  <c r="AD12" i="1924"/>
  <c r="AD6" i="1924"/>
  <c r="AD22" i="1924" s="1"/>
  <c r="V19" i="16" s="1"/>
  <c r="AC22" i="1924"/>
  <c r="AB22" i="1924"/>
  <c r="M22" i="1923"/>
  <c r="AB22" i="1923"/>
  <c r="AD20" i="1923"/>
  <c r="AD16" i="1923"/>
  <c r="AD19" i="1923"/>
  <c r="AC6" i="1923"/>
  <c r="P22" i="1923"/>
  <c r="AD10" i="1923"/>
  <c r="AD17" i="1922"/>
  <c r="Q22" i="1922"/>
  <c r="P6" i="1922"/>
  <c r="AC6" i="1922" s="1"/>
  <c r="AD6" i="1922" s="1"/>
  <c r="AD13" i="1922"/>
  <c r="AD21" i="1922"/>
  <c r="AD8" i="1922"/>
  <c r="AD10" i="1922"/>
  <c r="AD15" i="1922"/>
  <c r="AD11" i="1922"/>
  <c r="M7" i="1922"/>
  <c r="AB7" i="1922"/>
  <c r="M9" i="1922"/>
  <c r="AB9" i="1922"/>
  <c r="M12" i="1922"/>
  <c r="AB12" i="1922"/>
  <c r="P14" i="1922"/>
  <c r="AC14" i="1922" s="1"/>
  <c r="AD14" i="1922" s="1"/>
  <c r="M16" i="1922"/>
  <c r="AB16" i="1922"/>
  <c r="K18" i="1922"/>
  <c r="K22" i="1922" s="1"/>
  <c r="P18" i="1922"/>
  <c r="AC18" i="1922" s="1"/>
  <c r="AD18" i="1922" s="1"/>
  <c r="M20" i="1922"/>
  <c r="AB20" i="1922"/>
  <c r="L22" i="1922"/>
  <c r="O22" i="1922" s="1"/>
  <c r="O7" i="1922"/>
  <c r="O9" i="1922"/>
  <c r="O12" i="1922"/>
  <c r="O16" i="1922"/>
  <c r="M19" i="1922"/>
  <c r="AB19" i="1922"/>
  <c r="AD19" i="1922" s="1"/>
  <c r="O20" i="1922"/>
  <c r="M14" i="1922"/>
  <c r="M18" i="1922"/>
  <c r="O22" i="1921"/>
  <c r="P17" i="1921"/>
  <c r="AC17" i="1921" s="1"/>
  <c r="AD17" i="1921" s="1"/>
  <c r="AD14" i="1921"/>
  <c r="P8" i="1921"/>
  <c r="AC8" i="1921" s="1"/>
  <c r="AD11" i="1921"/>
  <c r="P9" i="1921"/>
  <c r="AC9" i="1921" s="1"/>
  <c r="AD9" i="1921" s="1"/>
  <c r="L23" i="1921"/>
  <c r="O23" i="1921" s="1"/>
  <c r="AD20" i="1921"/>
  <c r="M9" i="1921"/>
  <c r="Q23" i="1921"/>
  <c r="AD15" i="1921"/>
  <c r="AD7" i="1921"/>
  <c r="AD12" i="1921"/>
  <c r="AD18" i="1921"/>
  <c r="AD21" i="1921"/>
  <c r="AB16" i="1921"/>
  <c r="AD6" i="1921"/>
  <c r="M8" i="1921"/>
  <c r="AB8" i="1921"/>
  <c r="O10" i="1921"/>
  <c r="M13" i="1921"/>
  <c r="AB13" i="1921"/>
  <c r="AD13" i="1921" s="1"/>
  <c r="O16" i="1921"/>
  <c r="M19" i="1921"/>
  <c r="AB19" i="1921"/>
  <c r="AD19" i="1921" s="1"/>
  <c r="M22" i="1921"/>
  <c r="AB22" i="1921"/>
  <c r="AB10" i="1921"/>
  <c r="M16" i="1921"/>
  <c r="M7" i="1921"/>
  <c r="P10" i="1921"/>
  <c r="AC10" i="1921" s="1"/>
  <c r="M12" i="1921"/>
  <c r="K23" i="1921"/>
  <c r="M18" i="1921"/>
  <c r="M21" i="1921"/>
  <c r="M21" i="1920"/>
  <c r="AB21" i="1920"/>
  <c r="AD21" i="1920" s="1"/>
  <c r="O17" i="1920"/>
  <c r="O15" i="1920"/>
  <c r="AD15" i="1920" s="1"/>
  <c r="P11" i="1920"/>
  <c r="AC11" i="1920" s="1"/>
  <c r="K8" i="1920"/>
  <c r="K7" i="1920"/>
  <c r="Q22" i="1920"/>
  <c r="AD11" i="1920"/>
  <c r="AF63" i="1920"/>
  <c r="O7" i="1920"/>
  <c r="AD7" i="1920" s="1"/>
  <c r="M7" i="1920"/>
  <c r="P6" i="1920"/>
  <c r="AC6" i="1920" s="1"/>
  <c r="AD6" i="1920" s="1"/>
  <c r="AD13" i="1920"/>
  <c r="AD14" i="1920"/>
  <c r="AD17" i="1920"/>
  <c r="AD9" i="1920"/>
  <c r="AD19" i="1920"/>
  <c r="L22" i="1920"/>
  <c r="O22" i="1920" s="1"/>
  <c r="P8" i="1920"/>
  <c r="AC8" i="1920" s="1"/>
  <c r="AD8" i="1920" s="1"/>
  <c r="M10" i="1920"/>
  <c r="AB10" i="1920"/>
  <c r="P12" i="1920"/>
  <c r="AC12" i="1920" s="1"/>
  <c r="AD12" i="1920" s="1"/>
  <c r="M16" i="1920"/>
  <c r="AB16" i="1920"/>
  <c r="P18" i="1920"/>
  <c r="AC18" i="1920" s="1"/>
  <c r="AD18" i="1920" s="1"/>
  <c r="M20" i="1920"/>
  <c r="AB20" i="1920"/>
  <c r="O10" i="1920"/>
  <c r="O16" i="1920"/>
  <c r="O20" i="1920"/>
  <c r="M8" i="1920"/>
  <c r="K22" i="1920"/>
  <c r="M12" i="1920"/>
  <c r="M18" i="1920"/>
  <c r="O20" i="1919"/>
  <c r="AB20" i="1919"/>
  <c r="P19" i="1919"/>
  <c r="AC19" i="1919" s="1"/>
  <c r="AD19" i="1919" s="1"/>
  <c r="O19" i="1919"/>
  <c r="AB13" i="1919"/>
  <c r="AD13" i="1919" s="1"/>
  <c r="P11" i="1919"/>
  <c r="AC11" i="1919" s="1"/>
  <c r="K11" i="1919"/>
  <c r="AD10" i="1919"/>
  <c r="AD12" i="1919"/>
  <c r="AD16" i="1919"/>
  <c r="K7" i="1919"/>
  <c r="Q24" i="1919"/>
  <c r="AD8" i="1919"/>
  <c r="AD21" i="1919"/>
  <c r="AD17" i="1919"/>
  <c r="AD23" i="1919"/>
  <c r="AD9" i="1919"/>
  <c r="AC6" i="1919"/>
  <c r="L24" i="1919"/>
  <c r="O24" i="1919" s="1"/>
  <c r="M18" i="1919"/>
  <c r="AB18" i="1919"/>
  <c r="P20" i="1919"/>
  <c r="AC20" i="1919" s="1"/>
  <c r="AD20" i="1919" s="1"/>
  <c r="M22" i="1919"/>
  <c r="AB22" i="1919"/>
  <c r="M14" i="1919"/>
  <c r="AB14" i="1919"/>
  <c r="AD14" i="1919" s="1"/>
  <c r="O15" i="1919"/>
  <c r="O18" i="1919"/>
  <c r="O22" i="1919"/>
  <c r="M15" i="1919"/>
  <c r="AB15" i="1919"/>
  <c r="AD15" i="1919" s="1"/>
  <c r="M7" i="1919"/>
  <c r="AB7" i="1919"/>
  <c r="M11" i="1919"/>
  <c r="AB11" i="1919"/>
  <c r="AD11" i="1919" s="1"/>
  <c r="M9" i="1919"/>
  <c r="M13" i="1919"/>
  <c r="K24" i="1919"/>
  <c r="M20" i="1919"/>
  <c r="P16" i="1918"/>
  <c r="AC16" i="1918" s="1"/>
  <c r="O12" i="1918"/>
  <c r="P12" i="1918"/>
  <c r="AC12" i="1918" s="1"/>
  <c r="AF64" i="1918"/>
  <c r="AD8" i="1918"/>
  <c r="AD11" i="1918"/>
  <c r="P13" i="1918"/>
  <c r="AC13" i="1918" s="1"/>
  <c r="AD15" i="1918"/>
  <c r="P7" i="1918"/>
  <c r="AC7" i="1918" s="1"/>
  <c r="Q23" i="1918"/>
  <c r="AD6" i="1918"/>
  <c r="AD16" i="1918"/>
  <c r="M9" i="1918"/>
  <c r="AB9" i="1918"/>
  <c r="O10" i="1918"/>
  <c r="AD10" i="1918" s="1"/>
  <c r="M13" i="1918"/>
  <c r="AB13" i="1918"/>
  <c r="O14" i="1918"/>
  <c r="AD14" i="1918" s="1"/>
  <c r="M18" i="1918"/>
  <c r="AB18" i="1918"/>
  <c r="O19" i="1918"/>
  <c r="AD19" i="1918" s="1"/>
  <c r="P20" i="1918"/>
  <c r="AC20" i="1918" s="1"/>
  <c r="AD20" i="1918" s="1"/>
  <c r="M22" i="1918"/>
  <c r="AB22" i="1918"/>
  <c r="L23" i="1918"/>
  <c r="O23" i="1918" s="1"/>
  <c r="M7" i="1918"/>
  <c r="AB7" i="1918"/>
  <c r="O9" i="1918"/>
  <c r="M12" i="1918"/>
  <c r="AB12" i="1918"/>
  <c r="AD12" i="1918" s="1"/>
  <c r="O13" i="1918"/>
  <c r="M17" i="1918"/>
  <c r="AB17" i="1918"/>
  <c r="AD17" i="1918" s="1"/>
  <c r="O18" i="1918"/>
  <c r="M21" i="1918"/>
  <c r="AB21" i="1918"/>
  <c r="AD21" i="1918" s="1"/>
  <c r="O22" i="1918"/>
  <c r="K23" i="1918"/>
  <c r="M20" i="1918"/>
  <c r="O8" i="1917"/>
  <c r="M16" i="1917"/>
  <c r="AB16" i="1917"/>
  <c r="P11" i="1917"/>
  <c r="AC11" i="1917" s="1"/>
  <c r="O16" i="1917"/>
  <c r="P16" i="1917"/>
  <c r="AC16" i="1917" s="1"/>
  <c r="AF64" i="1917"/>
  <c r="P7" i="1917"/>
  <c r="AC7" i="1917" s="1"/>
  <c r="AD22" i="1917"/>
  <c r="P8" i="1917"/>
  <c r="AC8" i="1917" s="1"/>
  <c r="AB8" i="1917"/>
  <c r="P13" i="1917"/>
  <c r="AC13" i="1917" s="1"/>
  <c r="M13" i="1917"/>
  <c r="AB13" i="1917"/>
  <c r="Q23" i="1917"/>
  <c r="P10" i="1917"/>
  <c r="AC10" i="1917" s="1"/>
  <c r="P9" i="1917"/>
  <c r="AC9" i="1917" s="1"/>
  <c r="O9" i="1917"/>
  <c r="K9" i="1917"/>
  <c r="AD17" i="1917"/>
  <c r="AD12" i="1917"/>
  <c r="AD14" i="1917"/>
  <c r="AD15" i="1917"/>
  <c r="AD6" i="1917"/>
  <c r="AB7" i="1917"/>
  <c r="AB11" i="1917"/>
  <c r="AB19" i="1917"/>
  <c r="M21" i="1917"/>
  <c r="O7" i="1917"/>
  <c r="M10" i="1917"/>
  <c r="AB10" i="1917"/>
  <c r="O11" i="1917"/>
  <c r="M18" i="1917"/>
  <c r="AB18" i="1917"/>
  <c r="AD18" i="1917" s="1"/>
  <c r="O19" i="1917"/>
  <c r="M20" i="1917"/>
  <c r="AB20" i="1917"/>
  <c r="AD20" i="1917" s="1"/>
  <c r="O21" i="1917"/>
  <c r="L23" i="1917"/>
  <c r="O23" i="1917" s="1"/>
  <c r="M7" i="1917"/>
  <c r="M11" i="1917"/>
  <c r="M19" i="1917"/>
  <c r="AB21" i="1917"/>
  <c r="K23" i="1917"/>
  <c r="M22" i="1916"/>
  <c r="AB22" i="1916"/>
  <c r="AD22" i="1916" s="1"/>
  <c r="P20" i="1916"/>
  <c r="AC20" i="1916" s="1"/>
  <c r="AD20" i="1916" s="1"/>
  <c r="O18" i="1916"/>
  <c r="AD18" i="1916" s="1"/>
  <c r="P17" i="1916"/>
  <c r="AC17" i="1916" s="1"/>
  <c r="AD17" i="1916" s="1"/>
  <c r="P13" i="1916"/>
  <c r="AC13" i="1916" s="1"/>
  <c r="AD13" i="1916" s="1"/>
  <c r="K11" i="1916"/>
  <c r="AD11" i="1916"/>
  <c r="P9" i="1916"/>
  <c r="AC9" i="1916" s="1"/>
  <c r="AD9" i="1916" s="1"/>
  <c r="Q23" i="1916"/>
  <c r="AB8" i="1916"/>
  <c r="AD8" i="1916" s="1"/>
  <c r="AD14" i="1916"/>
  <c r="AD15" i="1916"/>
  <c r="AD6" i="1916"/>
  <c r="L23" i="1916"/>
  <c r="O23" i="1916" s="1"/>
  <c r="M7" i="1916"/>
  <c r="AB7" i="1916"/>
  <c r="P10" i="1916"/>
  <c r="AC10" i="1916" s="1"/>
  <c r="AD10" i="1916" s="1"/>
  <c r="M12" i="1916"/>
  <c r="AB12" i="1916"/>
  <c r="P16" i="1916"/>
  <c r="AC16" i="1916" s="1"/>
  <c r="AD16" i="1916" s="1"/>
  <c r="O7" i="1916"/>
  <c r="O12" i="1916"/>
  <c r="M21" i="1916"/>
  <c r="AB21" i="1916"/>
  <c r="AD21" i="1916" s="1"/>
  <c r="K23" i="1916"/>
  <c r="M10" i="1916"/>
  <c r="M16" i="1916"/>
  <c r="M20" i="1916"/>
  <c r="P21" i="1915"/>
  <c r="AC21" i="1915" s="1"/>
  <c r="AB19" i="1915"/>
  <c r="P16" i="1915"/>
  <c r="AC16" i="1915" s="1"/>
  <c r="K13" i="1915"/>
  <c r="AD11" i="1915"/>
  <c r="AD9" i="1915"/>
  <c r="AD17" i="1915"/>
  <c r="AD21" i="1915"/>
  <c r="Q23" i="1915"/>
  <c r="AD15" i="1915"/>
  <c r="AD18" i="1915"/>
  <c r="AD22" i="1915"/>
  <c r="AD7" i="1915"/>
  <c r="AD12" i="1915"/>
  <c r="AC6" i="1915"/>
  <c r="M10" i="1915"/>
  <c r="AB10" i="1915"/>
  <c r="M14" i="1915"/>
  <c r="AB14" i="1915"/>
  <c r="O19" i="1915"/>
  <c r="P20" i="1915"/>
  <c r="AC20" i="1915" s="1"/>
  <c r="AD20" i="1915" s="1"/>
  <c r="M22" i="1915"/>
  <c r="L23" i="1915"/>
  <c r="O23" i="1915" s="1"/>
  <c r="M8" i="1915"/>
  <c r="AB8" i="1915"/>
  <c r="O10" i="1915"/>
  <c r="M13" i="1915"/>
  <c r="AB13" i="1915"/>
  <c r="AD13" i="1915" s="1"/>
  <c r="O14" i="1915"/>
  <c r="M16" i="1915"/>
  <c r="AB16" i="1915"/>
  <c r="M7" i="1915"/>
  <c r="K23" i="1915"/>
  <c r="M12" i="1915"/>
  <c r="O16" i="1915"/>
  <c r="P19" i="1915"/>
  <c r="AC19" i="1915" s="1"/>
  <c r="M19" i="1915"/>
  <c r="O15" i="1914"/>
  <c r="AD15" i="1914" s="1"/>
  <c r="P15" i="1914"/>
  <c r="AC15" i="1914" s="1"/>
  <c r="M15" i="1914"/>
  <c r="P7" i="1914"/>
  <c r="AC7" i="1914" s="1"/>
  <c r="P12" i="1914"/>
  <c r="AC12" i="1914" s="1"/>
  <c r="AB11" i="1914"/>
  <c r="O11" i="1914"/>
  <c r="Q22" i="1914"/>
  <c r="AD7" i="1914"/>
  <c r="AD10" i="1914"/>
  <c r="AD18" i="1914"/>
  <c r="AD19" i="1914"/>
  <c r="AD6" i="1914"/>
  <c r="AC22" i="1914"/>
  <c r="L22" i="1914"/>
  <c r="O22" i="1914" s="1"/>
  <c r="P22" i="1914"/>
  <c r="M8" i="1914"/>
  <c r="AB8" i="1914"/>
  <c r="O9" i="1914"/>
  <c r="AD9" i="1914" s="1"/>
  <c r="M12" i="1914"/>
  <c r="AB12" i="1914"/>
  <c r="O13" i="1914"/>
  <c r="AD13" i="1914" s="1"/>
  <c r="M16" i="1914"/>
  <c r="AB16" i="1914"/>
  <c r="O17" i="1914"/>
  <c r="AD17" i="1914" s="1"/>
  <c r="M20" i="1914"/>
  <c r="AB20" i="1914"/>
  <c r="O21" i="1914"/>
  <c r="AD21" i="1914" s="1"/>
  <c r="O8" i="1914"/>
  <c r="M11" i="1914"/>
  <c r="O12" i="1914"/>
  <c r="O16" i="1914"/>
  <c r="M19" i="1914"/>
  <c r="O20" i="1914"/>
  <c r="K22" i="1914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K7" i="1913"/>
  <c r="L24" i="1913"/>
  <c r="L23" i="1913"/>
  <c r="L22" i="1913"/>
  <c r="L21" i="1913"/>
  <c r="L20" i="1913"/>
  <c r="L19" i="1913"/>
  <c r="AF15" i="1913"/>
  <c r="AB15" i="1913"/>
  <c r="Q15" i="1913"/>
  <c r="P15" i="1913" s="1"/>
  <c r="AC15" i="1913" s="1"/>
  <c r="AD15" i="1913" s="1"/>
  <c r="O15" i="1913"/>
  <c r="M15" i="1913"/>
  <c r="K15" i="1913"/>
  <c r="AF14" i="1913"/>
  <c r="AB14" i="1913"/>
  <c r="Q14" i="1913"/>
  <c r="P14" i="1913" s="1"/>
  <c r="AC14" i="1913" s="1"/>
  <c r="AD14" i="1913" s="1"/>
  <c r="O14" i="1913"/>
  <c r="M14" i="1913"/>
  <c r="K14" i="1913"/>
  <c r="K16" i="1913"/>
  <c r="L13" i="1913"/>
  <c r="K13" i="1913" s="1"/>
  <c r="L12" i="1913"/>
  <c r="L11" i="1913"/>
  <c r="L10" i="1913"/>
  <c r="K10" i="1913" s="1"/>
  <c r="L9" i="1913"/>
  <c r="L8" i="1913"/>
  <c r="AE8" i="1925" l="1"/>
  <c r="AE6" i="1925"/>
  <c r="AE19" i="1925"/>
  <c r="AE14" i="1925"/>
  <c r="AE15" i="1925"/>
  <c r="AE21" i="1925"/>
  <c r="AE13" i="1925"/>
  <c r="AE7" i="1925"/>
  <c r="AE9" i="1925"/>
  <c r="AE20" i="1925"/>
  <c r="AE12" i="1925"/>
  <c r="AE11" i="1925"/>
  <c r="AE16" i="1925"/>
  <c r="AE10" i="1925"/>
  <c r="AE18" i="1925"/>
  <c r="AE18" i="1924"/>
  <c r="AE10" i="1924"/>
  <c r="AE7" i="1924"/>
  <c r="AE8" i="1924"/>
  <c r="AE20" i="1924"/>
  <c r="AE16" i="1924"/>
  <c r="AE11" i="1924"/>
  <c r="AE9" i="1924"/>
  <c r="AE17" i="1924"/>
  <c r="AE19" i="1924"/>
  <c r="AE15" i="1924"/>
  <c r="AE13" i="1924"/>
  <c r="AE21" i="1924"/>
  <c r="AE14" i="1924"/>
  <c r="AE12" i="1924"/>
  <c r="AE6" i="1924"/>
  <c r="AC22" i="1923"/>
  <c r="AD6" i="1923"/>
  <c r="AD22" i="1923" s="1"/>
  <c r="AD16" i="1922"/>
  <c r="P22" i="1922"/>
  <c r="AD12" i="1922"/>
  <c r="AD7" i="1922"/>
  <c r="AD9" i="1922"/>
  <c r="AD20" i="1922"/>
  <c r="M22" i="1922"/>
  <c r="AC22" i="1922"/>
  <c r="AB22" i="1922"/>
  <c r="AD22" i="1921"/>
  <c r="AD10" i="1921"/>
  <c r="AB23" i="1921"/>
  <c r="AD8" i="1921"/>
  <c r="M23" i="1921"/>
  <c r="AD16" i="1921"/>
  <c r="P23" i="1921"/>
  <c r="AC23" i="1921"/>
  <c r="AD20" i="1920"/>
  <c r="AD10" i="1920"/>
  <c r="AB22" i="1920"/>
  <c r="M22" i="1920"/>
  <c r="AD16" i="1920"/>
  <c r="AD22" i="1920" s="1"/>
  <c r="AC22" i="1920"/>
  <c r="P22" i="1920"/>
  <c r="AD18" i="1919"/>
  <c r="M24" i="1919"/>
  <c r="AB24" i="1919"/>
  <c r="AD22" i="1919"/>
  <c r="AD7" i="1919"/>
  <c r="AC24" i="1919"/>
  <c r="AD6" i="1919"/>
  <c r="P24" i="1919"/>
  <c r="AD18" i="1918"/>
  <c r="AD7" i="1918"/>
  <c r="AC23" i="1918"/>
  <c r="AD9" i="1918"/>
  <c r="P23" i="1918"/>
  <c r="AB23" i="1918"/>
  <c r="M23" i="1918"/>
  <c r="AD22" i="1918"/>
  <c r="AD13" i="1918"/>
  <c r="AD11" i="1917"/>
  <c r="AD9" i="1917"/>
  <c r="AD8" i="1917"/>
  <c r="AD16" i="1917"/>
  <c r="AC23" i="1917"/>
  <c r="AD13" i="1917"/>
  <c r="AD19" i="1917"/>
  <c r="P23" i="1917"/>
  <c r="AD10" i="1917"/>
  <c r="AD21" i="1917"/>
  <c r="M23" i="1917"/>
  <c r="AB23" i="1917"/>
  <c r="AD7" i="1917"/>
  <c r="AC23" i="1916"/>
  <c r="AD12" i="1916"/>
  <c r="M23" i="1916"/>
  <c r="AD7" i="1916"/>
  <c r="P23" i="1916"/>
  <c r="AB23" i="1916"/>
  <c r="AD19" i="1915"/>
  <c r="AB23" i="1915"/>
  <c r="AD10" i="1915"/>
  <c r="AD16" i="1915"/>
  <c r="M23" i="1915"/>
  <c r="AD8" i="1915"/>
  <c r="AD14" i="1915"/>
  <c r="AC23" i="1915"/>
  <c r="AD6" i="1915"/>
  <c r="P23" i="1915"/>
  <c r="AD11" i="1914"/>
  <c r="AD20" i="1914"/>
  <c r="AD12" i="1914"/>
  <c r="AB22" i="1914"/>
  <c r="M22" i="1914"/>
  <c r="AD8" i="1914"/>
  <c r="AD16" i="1914"/>
  <c r="K24" i="1913"/>
  <c r="K23" i="1913"/>
  <c r="K22" i="1913"/>
  <c r="K21" i="1913"/>
  <c r="K20" i="1913"/>
  <c r="K19" i="1913"/>
  <c r="K18" i="1913"/>
  <c r="K12" i="1913"/>
  <c r="K11" i="1913"/>
  <c r="K9" i="1913"/>
  <c r="K8" i="1913"/>
  <c r="A80" i="1913"/>
  <c r="A81" i="1913" s="1"/>
  <c r="A82" i="1913" s="1"/>
  <c r="A83" i="1913" s="1"/>
  <c r="A84" i="1913" s="1"/>
  <c r="A85" i="1913" s="1"/>
  <c r="AF64" i="1913"/>
  <c r="AF63" i="1913"/>
  <c r="AA25" i="1913"/>
  <c r="Z25" i="1913"/>
  <c r="Y25" i="1913"/>
  <c r="X25" i="1913"/>
  <c r="W25" i="1913"/>
  <c r="V25" i="1913"/>
  <c r="U25" i="1913"/>
  <c r="T25" i="1913"/>
  <c r="S25" i="1913"/>
  <c r="R25" i="1913"/>
  <c r="N25" i="1913"/>
  <c r="J25" i="1913"/>
  <c r="I25" i="1913"/>
  <c r="AF24" i="1913"/>
  <c r="Q24" i="1913"/>
  <c r="P24" i="1913"/>
  <c r="AC24" i="1913" s="1"/>
  <c r="O24" i="1913"/>
  <c r="AF23" i="1913"/>
  <c r="Q23" i="1913"/>
  <c r="P23" i="1913"/>
  <c r="AC23" i="1913" s="1"/>
  <c r="O23" i="1913"/>
  <c r="AB23" i="1913"/>
  <c r="AF22" i="1913"/>
  <c r="AB22" i="1913"/>
  <c r="Q22" i="1913"/>
  <c r="P22" i="1913" s="1"/>
  <c r="AC22" i="1913" s="1"/>
  <c r="O22" i="1913"/>
  <c r="M22" i="1913"/>
  <c r="AF21" i="1913"/>
  <c r="Q21" i="1913"/>
  <c r="AB21" i="1913"/>
  <c r="AF20" i="1913"/>
  <c r="Q20" i="1913"/>
  <c r="P20" i="1913" s="1"/>
  <c r="AC20" i="1913" s="1"/>
  <c r="O20" i="1913"/>
  <c r="AF19" i="1913"/>
  <c r="Q19" i="1913"/>
  <c r="P19" i="1913" s="1"/>
  <c r="AC19" i="1913" s="1"/>
  <c r="O19" i="1913"/>
  <c r="AB19" i="1913"/>
  <c r="AF18" i="1913"/>
  <c r="AB18" i="1913"/>
  <c r="Q18" i="1913"/>
  <c r="P18" i="1913" s="1"/>
  <c r="AC18" i="1913" s="1"/>
  <c r="O18" i="1913"/>
  <c r="M18" i="1913"/>
  <c r="AF17" i="1913"/>
  <c r="AB17" i="1913"/>
  <c r="Q17" i="1913"/>
  <c r="P17" i="1913" s="1"/>
  <c r="AC17" i="1913" s="1"/>
  <c r="O17" i="1913"/>
  <c r="M17" i="1913"/>
  <c r="K17" i="1913"/>
  <c r="AF16" i="1913"/>
  <c r="AB16" i="1913"/>
  <c r="Q16" i="1913"/>
  <c r="P16" i="1913" s="1"/>
  <c r="AC16" i="1913" s="1"/>
  <c r="O16" i="1913"/>
  <c r="M16" i="1913"/>
  <c r="AF13" i="1913"/>
  <c r="AB13" i="1913"/>
  <c r="Q13" i="1913"/>
  <c r="P13" i="1913" s="1"/>
  <c r="AC13" i="1913" s="1"/>
  <c r="O13" i="1913"/>
  <c r="M13" i="1913"/>
  <c r="AF12" i="1913"/>
  <c r="Q12" i="1913"/>
  <c r="P12" i="1913" s="1"/>
  <c r="AC12" i="1913" s="1"/>
  <c r="O12" i="1913"/>
  <c r="AB12" i="1913"/>
  <c r="AF11" i="1913"/>
  <c r="AB11" i="1913"/>
  <c r="Q11" i="1913"/>
  <c r="P11" i="1913" s="1"/>
  <c r="AC11" i="1913" s="1"/>
  <c r="O11" i="1913"/>
  <c r="M11" i="1913"/>
  <c r="AF10" i="1913"/>
  <c r="Q10" i="1913"/>
  <c r="AB10" i="1913"/>
  <c r="AF9" i="1913"/>
  <c r="Q9" i="1913"/>
  <c r="P9" i="1913" s="1"/>
  <c r="AC9" i="1913" s="1"/>
  <c r="O9" i="1913"/>
  <c r="AF8" i="1913"/>
  <c r="Q8" i="1913"/>
  <c r="P8" i="1913" s="1"/>
  <c r="AC8" i="1913" s="1"/>
  <c r="O8" i="1913"/>
  <c r="AB8" i="1913"/>
  <c r="AF7" i="1913"/>
  <c r="AB7" i="1913"/>
  <c r="Q7" i="1913"/>
  <c r="P7" i="1913"/>
  <c r="AC7" i="1913" s="1"/>
  <c r="O7" i="1913"/>
  <c r="M7" i="1913"/>
  <c r="AF6" i="1913"/>
  <c r="AB6" i="1913"/>
  <c r="Q6" i="1913"/>
  <c r="P6" i="1913"/>
  <c r="AC6" i="1913" s="1"/>
  <c r="O6" i="1913"/>
  <c r="M6" i="1913"/>
  <c r="K6" i="1913"/>
  <c r="AE21" i="1923" l="1"/>
  <c r="AE18" i="1923"/>
  <c r="AE12" i="1923"/>
  <c r="AE8" i="1923"/>
  <c r="AE13" i="1923"/>
  <c r="AE6" i="1923"/>
  <c r="AE19" i="1923"/>
  <c r="AE15" i="1923"/>
  <c r="AE20" i="1923"/>
  <c r="AE16" i="1923"/>
  <c r="AE10" i="1923"/>
  <c r="AE17" i="1923"/>
  <c r="AE14" i="1923"/>
  <c r="AE11" i="1923"/>
  <c r="AE7" i="1923"/>
  <c r="AE9" i="1923"/>
  <c r="AD22" i="1922"/>
  <c r="AE21" i="1922" s="1"/>
  <c r="AD23" i="1921"/>
  <c r="AE9" i="1921" s="1"/>
  <c r="AE21" i="1920"/>
  <c r="AE17" i="1920"/>
  <c r="AE11" i="1920"/>
  <c r="AE7" i="1920"/>
  <c r="AE18" i="1920"/>
  <c r="AE20" i="1920"/>
  <c r="AE16" i="1920"/>
  <c r="AE13" i="1920"/>
  <c r="AE10" i="1920"/>
  <c r="AE14" i="1920"/>
  <c r="AE12" i="1920"/>
  <c r="AE8" i="1920"/>
  <c r="AE6" i="1920"/>
  <c r="AE19" i="1920"/>
  <c r="AE15" i="1920"/>
  <c r="AE9" i="1920"/>
  <c r="AD24" i="1919"/>
  <c r="AD23" i="1918"/>
  <c r="AE8" i="1918" s="1"/>
  <c r="AD23" i="1917"/>
  <c r="AD23" i="1916"/>
  <c r="AD23" i="1915"/>
  <c r="AD22" i="1914"/>
  <c r="AE21" i="1914" s="1"/>
  <c r="AD7" i="1913"/>
  <c r="AD11" i="1913"/>
  <c r="Q25" i="1913"/>
  <c r="AD17" i="1913"/>
  <c r="AF66" i="1913"/>
  <c r="AD16" i="1913"/>
  <c r="AD18" i="1913"/>
  <c r="AD22" i="1913"/>
  <c r="AD13" i="1913"/>
  <c r="AD12" i="1913"/>
  <c r="AD19" i="1913"/>
  <c r="AD23" i="1913"/>
  <c r="AD8" i="1913"/>
  <c r="AD6" i="1913"/>
  <c r="M9" i="1913"/>
  <c r="AB9" i="1913"/>
  <c r="O10" i="1913"/>
  <c r="M20" i="1913"/>
  <c r="AB20" i="1913"/>
  <c r="AD20" i="1913" s="1"/>
  <c r="O21" i="1913"/>
  <c r="M24" i="1913"/>
  <c r="AB24" i="1913"/>
  <c r="AD24" i="1913" s="1"/>
  <c r="L25" i="1913"/>
  <c r="O25" i="1913" s="1"/>
  <c r="M8" i="1913"/>
  <c r="K25" i="1913"/>
  <c r="P10" i="1913"/>
  <c r="AC10" i="1913" s="1"/>
  <c r="M12" i="1913"/>
  <c r="M19" i="1913"/>
  <c r="P21" i="1913"/>
  <c r="AC21" i="1913" s="1"/>
  <c r="M23" i="1913"/>
  <c r="M10" i="1913"/>
  <c r="M21" i="1913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K22" i="1912"/>
  <c r="L23" i="1912"/>
  <c r="K23" i="1912" s="1"/>
  <c r="L22" i="1912"/>
  <c r="L21" i="1912"/>
  <c r="K21" i="1912" s="1"/>
  <c r="L20" i="1912"/>
  <c r="K20" i="1912" s="1"/>
  <c r="L19" i="1912"/>
  <c r="K19" i="1912" s="1"/>
  <c r="L18" i="1912"/>
  <c r="L17" i="1912"/>
  <c r="K17" i="1912"/>
  <c r="K15" i="1912"/>
  <c r="AF15" i="1912"/>
  <c r="AB15" i="1912"/>
  <c r="Q15" i="1912"/>
  <c r="P15" i="1912" s="1"/>
  <c r="AC15" i="1912" s="1"/>
  <c r="O15" i="1912"/>
  <c r="M15" i="1912"/>
  <c r="L13" i="1912"/>
  <c r="L12" i="1912"/>
  <c r="L11" i="1912"/>
  <c r="O11" i="1912" s="1"/>
  <c r="L10" i="1912"/>
  <c r="K10" i="1912" s="1"/>
  <c r="L9" i="1912"/>
  <c r="M9" i="1912" s="1"/>
  <c r="AF9" i="1912"/>
  <c r="AB9" i="1912"/>
  <c r="Q9" i="1912"/>
  <c r="O9" i="1912"/>
  <c r="K9" i="1912"/>
  <c r="K8" i="1912"/>
  <c r="K18" i="1912"/>
  <c r="K14" i="1912"/>
  <c r="K13" i="1912"/>
  <c r="K12" i="1912"/>
  <c r="A79" i="1912"/>
  <c r="A80" i="1912" s="1"/>
  <c r="A81" i="1912" s="1"/>
  <c r="A82" i="1912" s="1"/>
  <c r="A83" i="1912" s="1"/>
  <c r="A84" i="1912" s="1"/>
  <c r="AF63" i="1912"/>
  <c r="AF62" i="1912"/>
  <c r="AF65" i="1912" s="1"/>
  <c r="AA24" i="1912"/>
  <c r="Z24" i="1912"/>
  <c r="Y24" i="1912"/>
  <c r="X24" i="1912"/>
  <c r="W24" i="1912"/>
  <c r="V24" i="1912"/>
  <c r="U24" i="1912"/>
  <c r="T24" i="1912"/>
  <c r="S24" i="1912"/>
  <c r="R24" i="1912"/>
  <c r="N24" i="1912"/>
  <c r="J24" i="1912"/>
  <c r="I24" i="1912"/>
  <c r="AF23" i="1912"/>
  <c r="Q23" i="1912"/>
  <c r="P23" i="1912"/>
  <c r="AC23" i="1912" s="1"/>
  <c r="AF22" i="1912"/>
  <c r="Q22" i="1912"/>
  <c r="P22" i="1912" s="1"/>
  <c r="AC22" i="1912" s="1"/>
  <c r="O22" i="1912"/>
  <c r="AB22" i="1912"/>
  <c r="AF21" i="1912"/>
  <c r="AB21" i="1912"/>
  <c r="Q21" i="1912"/>
  <c r="P21" i="1912" s="1"/>
  <c r="AC21" i="1912" s="1"/>
  <c r="O21" i="1912"/>
  <c r="M21" i="1912"/>
  <c r="AF20" i="1912"/>
  <c r="Q20" i="1912"/>
  <c r="AB20" i="1912"/>
  <c r="AF19" i="1912"/>
  <c r="Q19" i="1912"/>
  <c r="O19" i="1912"/>
  <c r="AF18" i="1912"/>
  <c r="Q18" i="1912"/>
  <c r="P18" i="1912" s="1"/>
  <c r="AC18" i="1912" s="1"/>
  <c r="O18" i="1912"/>
  <c r="AB18" i="1912"/>
  <c r="AF17" i="1912"/>
  <c r="AB17" i="1912"/>
  <c r="Q17" i="1912"/>
  <c r="P17" i="1912" s="1"/>
  <c r="AC17" i="1912" s="1"/>
  <c r="O17" i="1912"/>
  <c r="M17" i="1912"/>
  <c r="AF16" i="1912"/>
  <c r="AB16" i="1912"/>
  <c r="Q16" i="1912"/>
  <c r="P16" i="1912"/>
  <c r="AC16" i="1912" s="1"/>
  <c r="O16" i="1912"/>
  <c r="M16" i="1912"/>
  <c r="K16" i="1912"/>
  <c r="AF14" i="1912"/>
  <c r="AB14" i="1912"/>
  <c r="Q14" i="1912"/>
  <c r="P14" i="1912" s="1"/>
  <c r="AC14" i="1912" s="1"/>
  <c r="O14" i="1912"/>
  <c r="M14" i="1912"/>
  <c r="AF13" i="1912"/>
  <c r="Q13" i="1912"/>
  <c r="AB13" i="1912"/>
  <c r="AF12" i="1912"/>
  <c r="AB12" i="1912"/>
  <c r="Q12" i="1912"/>
  <c r="P12" i="1912"/>
  <c r="AC12" i="1912" s="1"/>
  <c r="M12" i="1912"/>
  <c r="O12" i="1912"/>
  <c r="AF11" i="1912"/>
  <c r="Q11" i="1912"/>
  <c r="AF10" i="1912"/>
  <c r="Q10" i="1912"/>
  <c r="M10" i="1912"/>
  <c r="AF8" i="1912"/>
  <c r="AB8" i="1912"/>
  <c r="Q8" i="1912"/>
  <c r="P8" i="1912" s="1"/>
  <c r="AC8" i="1912" s="1"/>
  <c r="O8" i="1912"/>
  <c r="M8" i="1912"/>
  <c r="AF7" i="1912"/>
  <c r="AB7" i="1912"/>
  <c r="Q7" i="1912"/>
  <c r="P7" i="1912"/>
  <c r="AC7" i="1912" s="1"/>
  <c r="O7" i="1912"/>
  <c r="M7" i="1912"/>
  <c r="K7" i="1912"/>
  <c r="AF6" i="1912"/>
  <c r="AB6" i="1912"/>
  <c r="Q6" i="1912"/>
  <c r="P6" i="1912"/>
  <c r="AC6" i="1912" s="1"/>
  <c r="O6" i="1912"/>
  <c r="M6" i="1912"/>
  <c r="K6" i="1912"/>
  <c r="AE16" i="1922" l="1"/>
  <c r="AE6" i="1922"/>
  <c r="AE8" i="1922"/>
  <c r="AE11" i="1922"/>
  <c r="AE15" i="1922"/>
  <c r="AE19" i="1922"/>
  <c r="AE7" i="1922"/>
  <c r="AE20" i="1922"/>
  <c r="AE10" i="1922"/>
  <c r="AE14" i="1922"/>
  <c r="AE18" i="1922"/>
  <c r="AE9" i="1922"/>
  <c r="AE12" i="1922"/>
  <c r="AE13" i="1922"/>
  <c r="AE17" i="1922"/>
  <c r="AE22" i="1921"/>
  <c r="AE21" i="1921"/>
  <c r="AE14" i="1921"/>
  <c r="AE10" i="1921"/>
  <c r="AE7" i="1921"/>
  <c r="AE17" i="1921"/>
  <c r="AE8" i="1921"/>
  <c r="AE12" i="1921"/>
  <c r="AE6" i="1921"/>
  <c r="AE20" i="1921"/>
  <c r="AE13" i="1921"/>
  <c r="AE19" i="1921"/>
  <c r="AE18" i="1921"/>
  <c r="AE11" i="1921"/>
  <c r="AE16" i="1921"/>
  <c r="AE15" i="1921"/>
  <c r="AE19" i="1919"/>
  <c r="AE10" i="1919"/>
  <c r="AE16" i="1919"/>
  <c r="AE15" i="1919"/>
  <c r="AE18" i="1919"/>
  <c r="AE20" i="1919"/>
  <c r="AE11" i="1919"/>
  <c r="AE9" i="1919"/>
  <c r="AE17" i="1919"/>
  <c r="AE23" i="1919"/>
  <c r="AE8" i="1919"/>
  <c r="AE22" i="1919"/>
  <c r="AE21" i="1919"/>
  <c r="AE14" i="1919"/>
  <c r="AE12" i="1919"/>
  <c r="AE7" i="1919"/>
  <c r="AE13" i="1919"/>
  <c r="AE6" i="1919"/>
  <c r="AE15" i="1918"/>
  <c r="AE14" i="1918"/>
  <c r="AE17" i="1918"/>
  <c r="AE16" i="1918"/>
  <c r="AE18" i="1918"/>
  <c r="AE12" i="1918"/>
  <c r="AE6" i="1918"/>
  <c r="AE10" i="1918"/>
  <c r="AE9" i="1918"/>
  <c r="AE11" i="1918"/>
  <c r="AE13" i="1918"/>
  <c r="AE7" i="1918"/>
  <c r="AE21" i="1918"/>
  <c r="AE20" i="1918"/>
  <c r="AE19" i="1918"/>
  <c r="AE22" i="1918"/>
  <c r="AE22" i="1917"/>
  <c r="AE16" i="1917"/>
  <c r="AE10" i="1917"/>
  <c r="AE8" i="1917"/>
  <c r="AE13" i="1917"/>
  <c r="AE14" i="1917"/>
  <c r="AE18" i="1917"/>
  <c r="AE17" i="1917"/>
  <c r="AE19" i="1917"/>
  <c r="AE12" i="1917"/>
  <c r="AE20" i="1917"/>
  <c r="AE21" i="1917"/>
  <c r="AE15" i="1917"/>
  <c r="AE7" i="1917"/>
  <c r="AE9" i="1917"/>
  <c r="AE11" i="1917"/>
  <c r="AE6" i="1917"/>
  <c r="AE18" i="1916"/>
  <c r="AE19" i="1916"/>
  <c r="AE10" i="1916"/>
  <c r="AE22" i="1916"/>
  <c r="AE14" i="1916"/>
  <c r="AE13" i="1916"/>
  <c r="AE11" i="1916"/>
  <c r="AE8" i="1916"/>
  <c r="AE21" i="1916"/>
  <c r="AE9" i="1916"/>
  <c r="AE17" i="1916"/>
  <c r="AE7" i="1916"/>
  <c r="AE16" i="1916"/>
  <c r="AE15" i="1916"/>
  <c r="AE6" i="1916"/>
  <c r="AE12" i="1916"/>
  <c r="AE20" i="1916"/>
  <c r="AE22" i="1915"/>
  <c r="AE9" i="1915"/>
  <c r="AE10" i="1915"/>
  <c r="AE16" i="1915"/>
  <c r="AE15" i="1915"/>
  <c r="AE20" i="1915"/>
  <c r="AE14" i="1915"/>
  <c r="AE21" i="1915"/>
  <c r="AE19" i="1915"/>
  <c r="AE8" i="1915"/>
  <c r="AE7" i="1915"/>
  <c r="AE11" i="1915"/>
  <c r="AE18" i="1915"/>
  <c r="AE6" i="1915"/>
  <c r="AE13" i="1915"/>
  <c r="AE12" i="1915"/>
  <c r="AE17" i="1915"/>
  <c r="AE8" i="1914"/>
  <c r="AE12" i="1914"/>
  <c r="AE20" i="1914"/>
  <c r="AE16" i="1914"/>
  <c r="AE7" i="1914"/>
  <c r="AE19" i="1914"/>
  <c r="AE11" i="1914"/>
  <c r="AE10" i="1914"/>
  <c r="AE18" i="1914"/>
  <c r="AE13" i="1914"/>
  <c r="AE14" i="1914"/>
  <c r="AE15" i="1914"/>
  <c r="AE6" i="1914"/>
  <c r="AE17" i="1914"/>
  <c r="AE9" i="1914"/>
  <c r="AB25" i="1913"/>
  <c r="AD10" i="1913"/>
  <c r="AD21" i="1913"/>
  <c r="P25" i="1913"/>
  <c r="M25" i="1913"/>
  <c r="AD9" i="1913"/>
  <c r="AC25" i="1913"/>
  <c r="O23" i="1912"/>
  <c r="P19" i="1912"/>
  <c r="AC19" i="1912" s="1"/>
  <c r="AD15" i="1912"/>
  <c r="AD21" i="1912"/>
  <c r="AD7" i="1912"/>
  <c r="AD14" i="1912"/>
  <c r="P11" i="1912"/>
  <c r="AC11" i="1912" s="1"/>
  <c r="K11" i="1912"/>
  <c r="O10" i="1912"/>
  <c r="AB10" i="1912"/>
  <c r="P10" i="1912"/>
  <c r="AC10" i="1912" s="1"/>
  <c r="AD10" i="1912" s="1"/>
  <c r="P9" i="1912"/>
  <c r="AC9" i="1912" s="1"/>
  <c r="AD9" i="1912" s="1"/>
  <c r="L24" i="1912"/>
  <c r="O24" i="1912" s="1"/>
  <c r="Q24" i="1912"/>
  <c r="AD17" i="1912"/>
  <c r="AD8" i="1912"/>
  <c r="AD16" i="1912"/>
  <c r="AD18" i="1912"/>
  <c r="AD22" i="1912"/>
  <c r="AD12" i="1912"/>
  <c r="O13" i="1912"/>
  <c r="M19" i="1912"/>
  <c r="AB19" i="1912"/>
  <c r="O20" i="1912"/>
  <c r="M23" i="1912"/>
  <c r="AB23" i="1912"/>
  <c r="AD23" i="1912" s="1"/>
  <c r="AD6" i="1912"/>
  <c r="M11" i="1912"/>
  <c r="AB11" i="1912"/>
  <c r="P13" i="1912"/>
  <c r="AC13" i="1912" s="1"/>
  <c r="AD13" i="1912" s="1"/>
  <c r="M18" i="1912"/>
  <c r="P20" i="1912"/>
  <c r="AC20" i="1912" s="1"/>
  <c r="AD20" i="1912" s="1"/>
  <c r="M22" i="1912"/>
  <c r="K24" i="1912"/>
  <c r="M13" i="1912"/>
  <c r="M20" i="1912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L21" i="1911"/>
  <c r="L20" i="1911"/>
  <c r="L19" i="1911"/>
  <c r="O19" i="1911" s="1"/>
  <c r="K18" i="1911"/>
  <c r="L18" i="1911"/>
  <c r="L17" i="1911"/>
  <c r="L16" i="1911"/>
  <c r="K16" i="1911" s="1"/>
  <c r="L13" i="1911"/>
  <c r="K13" i="1911" s="1"/>
  <c r="L12" i="1911"/>
  <c r="K12" i="1911" s="1"/>
  <c r="L11" i="1911"/>
  <c r="L10" i="1911"/>
  <c r="K10" i="1911" s="1"/>
  <c r="L9" i="1911"/>
  <c r="K9" i="1911" s="1"/>
  <c r="K21" i="1911"/>
  <c r="K17" i="1911"/>
  <c r="K11" i="1911"/>
  <c r="K8" i="1911"/>
  <c r="K7" i="1911"/>
  <c r="A77" i="1911"/>
  <c r="A78" i="1911" s="1"/>
  <c r="A79" i="1911" s="1"/>
  <c r="A80" i="1911" s="1"/>
  <c r="A81" i="1911" s="1"/>
  <c r="A82" i="1911" s="1"/>
  <c r="AF61" i="1911"/>
  <c r="AF60" i="1911"/>
  <c r="AF63" i="1911" s="1"/>
  <c r="AA22" i="1911"/>
  <c r="Z22" i="1911"/>
  <c r="Y22" i="1911"/>
  <c r="X22" i="1911"/>
  <c r="W22" i="1911"/>
  <c r="V22" i="1911"/>
  <c r="U22" i="1911"/>
  <c r="T22" i="1911"/>
  <c r="S22" i="1911"/>
  <c r="R22" i="1911"/>
  <c r="N22" i="1911"/>
  <c r="J22" i="1911"/>
  <c r="I22" i="1911"/>
  <c r="AF21" i="1911"/>
  <c r="AB21" i="1911"/>
  <c r="Q21" i="1911"/>
  <c r="P21" i="1911" s="1"/>
  <c r="AC21" i="1911" s="1"/>
  <c r="O21" i="1911"/>
  <c r="M21" i="1911"/>
  <c r="AF20" i="1911"/>
  <c r="Q20" i="1911"/>
  <c r="AF19" i="1911"/>
  <c r="Q19" i="1911"/>
  <c r="AF18" i="1911"/>
  <c r="Q18" i="1911"/>
  <c r="AF17" i="1911"/>
  <c r="AB17" i="1911"/>
  <c r="Q17" i="1911"/>
  <c r="P17" i="1911" s="1"/>
  <c r="AC17" i="1911" s="1"/>
  <c r="O17" i="1911"/>
  <c r="M17" i="1911"/>
  <c r="AF16" i="1911"/>
  <c r="AB16" i="1911"/>
  <c r="Q16" i="1911"/>
  <c r="P16" i="1911" s="1"/>
  <c r="AC16" i="1911" s="1"/>
  <c r="O16" i="1911"/>
  <c r="M16" i="1911"/>
  <c r="AF15" i="1911"/>
  <c r="AB15" i="1911"/>
  <c r="Q15" i="1911"/>
  <c r="P15" i="1911"/>
  <c r="AC15" i="1911" s="1"/>
  <c r="O15" i="1911"/>
  <c r="M15" i="1911"/>
  <c r="K15" i="1911"/>
  <c r="AF14" i="1911"/>
  <c r="AB14" i="1911"/>
  <c r="Q14" i="1911"/>
  <c r="P14" i="1911"/>
  <c r="AC14" i="1911" s="1"/>
  <c r="O14" i="1911"/>
  <c r="M14" i="1911"/>
  <c r="K14" i="1911"/>
  <c r="AF13" i="1911"/>
  <c r="Q13" i="1911"/>
  <c r="AF12" i="1911"/>
  <c r="AB12" i="1911"/>
  <c r="Q12" i="1911"/>
  <c r="P12" i="1911"/>
  <c r="AC12" i="1911" s="1"/>
  <c r="AF11" i="1911"/>
  <c r="Q11" i="1911"/>
  <c r="AB11" i="1911"/>
  <c r="AF10" i="1911"/>
  <c r="Q10" i="1911"/>
  <c r="O10" i="1911"/>
  <c r="AF9" i="1911"/>
  <c r="Q9" i="1911"/>
  <c r="AF8" i="1911"/>
  <c r="AB8" i="1911"/>
  <c r="Q8" i="1911"/>
  <c r="O8" i="1911"/>
  <c r="M8" i="1911"/>
  <c r="AF7" i="1911"/>
  <c r="AB7" i="1911"/>
  <c r="Q7" i="1911"/>
  <c r="P7" i="1911" s="1"/>
  <c r="AC7" i="1911" s="1"/>
  <c r="O7" i="1911"/>
  <c r="M7" i="1911"/>
  <c r="AF6" i="1911"/>
  <c r="AB6" i="1911"/>
  <c r="Q6" i="1911"/>
  <c r="P6" i="1911"/>
  <c r="O6" i="1911"/>
  <c r="M6" i="1911"/>
  <c r="K6" i="1911"/>
  <c r="AD25" i="1913" l="1"/>
  <c r="AD11" i="1912"/>
  <c r="AB24" i="1912"/>
  <c r="M24" i="1912"/>
  <c r="P24" i="1912"/>
  <c r="AD19" i="1912"/>
  <c r="AD24" i="1912" s="1"/>
  <c r="AC24" i="1912"/>
  <c r="P20" i="1911"/>
  <c r="AC20" i="1911" s="1"/>
  <c r="K20" i="1911"/>
  <c r="K22" i="1911" s="1"/>
  <c r="K19" i="1911"/>
  <c r="M19" i="1911"/>
  <c r="AB18" i="1911"/>
  <c r="M12" i="1911"/>
  <c r="AD17" i="1911"/>
  <c r="AD21" i="1911"/>
  <c r="O12" i="1911"/>
  <c r="AD12" i="1911" s="1"/>
  <c r="O13" i="1911"/>
  <c r="P13" i="1911"/>
  <c r="AC13" i="1911" s="1"/>
  <c r="AB13" i="1911"/>
  <c r="P10" i="1911"/>
  <c r="AC10" i="1911" s="1"/>
  <c r="AB9" i="1911"/>
  <c r="P9" i="1911"/>
  <c r="AC9" i="1911" s="1"/>
  <c r="AD9" i="1911" s="1"/>
  <c r="M9" i="1911"/>
  <c r="L22" i="1911"/>
  <c r="O22" i="1911" s="1"/>
  <c r="O9" i="1911"/>
  <c r="AD16" i="1911"/>
  <c r="Q22" i="1911"/>
  <c r="AD7" i="1911"/>
  <c r="AD15" i="1911"/>
  <c r="AD14" i="1911"/>
  <c r="AC6" i="1911"/>
  <c r="P8" i="1911"/>
  <c r="AC8" i="1911" s="1"/>
  <c r="AD8" i="1911" s="1"/>
  <c r="M10" i="1911"/>
  <c r="AB10" i="1911"/>
  <c r="O11" i="1911"/>
  <c r="O18" i="1911"/>
  <c r="P19" i="1911"/>
  <c r="AC19" i="1911" s="1"/>
  <c r="P11" i="1911"/>
  <c r="AC11" i="1911" s="1"/>
  <c r="M13" i="1911"/>
  <c r="P18" i="1911"/>
  <c r="AC18" i="1911" s="1"/>
  <c r="M20" i="1911"/>
  <c r="AB20" i="1911"/>
  <c r="AB19" i="1911"/>
  <c r="O20" i="1911"/>
  <c r="M11" i="1911"/>
  <c r="M18" i="1911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4" i="1910"/>
  <c r="O24" i="1910" s="1"/>
  <c r="L23" i="1910"/>
  <c r="P23" i="1910" s="1"/>
  <c r="AC23" i="1910" s="1"/>
  <c r="L22" i="1910"/>
  <c r="AB22" i="1910" s="1"/>
  <c r="L21" i="1910"/>
  <c r="L20" i="1910"/>
  <c r="M20" i="1910" s="1"/>
  <c r="K20" i="1910"/>
  <c r="AF20" i="1910"/>
  <c r="Q20" i="1910"/>
  <c r="O20" i="1910"/>
  <c r="L19" i="1910"/>
  <c r="K19" i="1910" s="1"/>
  <c r="K18" i="1910"/>
  <c r="AF17" i="1910"/>
  <c r="Q17" i="1910"/>
  <c r="O17" i="1910"/>
  <c r="M17" i="1910"/>
  <c r="L17" i="1910"/>
  <c r="AB17" i="1910" s="1"/>
  <c r="L14" i="1910"/>
  <c r="L13" i="1910"/>
  <c r="L12" i="1910"/>
  <c r="O12" i="1910" s="1"/>
  <c r="L11" i="1910"/>
  <c r="K11" i="1910"/>
  <c r="L10" i="1910"/>
  <c r="AB10" i="1910" s="1"/>
  <c r="L9" i="1910"/>
  <c r="AB9" i="1910" s="1"/>
  <c r="K8" i="1910"/>
  <c r="AF8" i="1910"/>
  <c r="AB8" i="1910"/>
  <c r="Q8" i="1910"/>
  <c r="P8" i="1910" s="1"/>
  <c r="AC8" i="1910" s="1"/>
  <c r="O8" i="1910"/>
  <c r="M8" i="1910"/>
  <c r="K23" i="1910"/>
  <c r="K22" i="1910"/>
  <c r="K21" i="1910"/>
  <c r="K14" i="1910"/>
  <c r="K13" i="1910"/>
  <c r="K12" i="1910"/>
  <c r="K10" i="1910"/>
  <c r="K9" i="1910"/>
  <c r="K7" i="1910"/>
  <c r="A80" i="1910"/>
  <c r="A81" i="1910" s="1"/>
  <c r="A82" i="1910" s="1"/>
  <c r="A83" i="1910" s="1"/>
  <c r="A84" i="1910" s="1"/>
  <c r="A85" i="1910" s="1"/>
  <c r="AF64" i="1910"/>
  <c r="AF63" i="1910"/>
  <c r="AF66" i="1910" s="1"/>
  <c r="AA25" i="1910"/>
  <c r="Z25" i="1910"/>
  <c r="Y25" i="1910"/>
  <c r="X25" i="1910"/>
  <c r="W25" i="1910"/>
  <c r="V25" i="1910"/>
  <c r="U25" i="1910"/>
  <c r="T25" i="1910"/>
  <c r="S25" i="1910"/>
  <c r="R25" i="1910"/>
  <c r="N25" i="1910"/>
  <c r="J25" i="1910"/>
  <c r="I25" i="1910"/>
  <c r="AF24" i="1910"/>
  <c r="AB24" i="1910"/>
  <c r="Q24" i="1910"/>
  <c r="P24" i="1910" s="1"/>
  <c r="AC24" i="1910" s="1"/>
  <c r="M24" i="1910"/>
  <c r="K24" i="1910"/>
  <c r="AF23" i="1910"/>
  <c r="AB23" i="1910"/>
  <c r="Q23" i="1910"/>
  <c r="O23" i="1910"/>
  <c r="M23" i="1910"/>
  <c r="AF22" i="1910"/>
  <c r="Q22" i="1910"/>
  <c r="P22" i="1910" s="1"/>
  <c r="AC22" i="1910" s="1"/>
  <c r="O22" i="1910"/>
  <c r="AF21" i="1910"/>
  <c r="Q21" i="1910"/>
  <c r="P21" i="1910"/>
  <c r="AC21" i="1910" s="1"/>
  <c r="O21" i="1910"/>
  <c r="AF19" i="1910"/>
  <c r="Q19" i="1910"/>
  <c r="AF18" i="1910"/>
  <c r="Q18" i="1910"/>
  <c r="M18" i="1910"/>
  <c r="AF16" i="1910"/>
  <c r="AB16" i="1910"/>
  <c r="Q16" i="1910"/>
  <c r="P16" i="1910"/>
  <c r="AC16" i="1910" s="1"/>
  <c r="O16" i="1910"/>
  <c r="M16" i="1910"/>
  <c r="K16" i="1910"/>
  <c r="AF15" i="1910"/>
  <c r="AB15" i="1910"/>
  <c r="Q15" i="1910"/>
  <c r="P15" i="1910"/>
  <c r="AC15" i="1910" s="1"/>
  <c r="O15" i="1910"/>
  <c r="M15" i="1910"/>
  <c r="K15" i="1910"/>
  <c r="AF14" i="1910"/>
  <c r="AB14" i="1910"/>
  <c r="Q14" i="1910"/>
  <c r="O14" i="1910"/>
  <c r="M14" i="1910"/>
  <c r="AF13" i="1910"/>
  <c r="AB13" i="1910"/>
  <c r="Q13" i="1910"/>
  <c r="O13" i="1910"/>
  <c r="M13" i="1910"/>
  <c r="AF12" i="1910"/>
  <c r="AB12" i="1910"/>
  <c r="Q12" i="1910"/>
  <c r="M12" i="1910"/>
  <c r="AF11" i="1910"/>
  <c r="Q11" i="1910"/>
  <c r="P11" i="1910" s="1"/>
  <c r="AC11" i="1910" s="1"/>
  <c r="O11" i="1910"/>
  <c r="M11" i="1910"/>
  <c r="AF10" i="1910"/>
  <c r="Q10" i="1910"/>
  <c r="P10" i="1910" s="1"/>
  <c r="AC10" i="1910" s="1"/>
  <c r="O10" i="1910"/>
  <c r="M10" i="1910"/>
  <c r="AF9" i="1910"/>
  <c r="Q9" i="1910"/>
  <c r="P9" i="1910" s="1"/>
  <c r="AC9" i="1910" s="1"/>
  <c r="O9" i="1910"/>
  <c r="M9" i="1910"/>
  <c r="AF7" i="1910"/>
  <c r="AB7" i="1910"/>
  <c r="Q7" i="1910"/>
  <c r="P7" i="1910" s="1"/>
  <c r="O7" i="1910"/>
  <c r="M7" i="1910"/>
  <c r="AF6" i="1910"/>
  <c r="AB6" i="1910"/>
  <c r="Q6" i="1910"/>
  <c r="P6" i="1910"/>
  <c r="AC6" i="1910" s="1"/>
  <c r="O6" i="1910"/>
  <c r="M6" i="1910"/>
  <c r="K6" i="1910"/>
  <c r="AE14" i="1913" l="1"/>
  <c r="AE15" i="1913"/>
  <c r="AE8" i="1913"/>
  <c r="AE23" i="1913"/>
  <c r="AE6" i="1913"/>
  <c r="AE7" i="1913"/>
  <c r="AE19" i="1913"/>
  <c r="AE22" i="1913"/>
  <c r="AE12" i="1913"/>
  <c r="AE10" i="1913"/>
  <c r="AE11" i="1913"/>
  <c r="AE9" i="1913"/>
  <c r="AE17" i="1913"/>
  <c r="AE21" i="1913"/>
  <c r="AE16" i="1913"/>
  <c r="AE13" i="1913"/>
  <c r="AE18" i="1913"/>
  <c r="AE24" i="1913"/>
  <c r="AE20" i="1913"/>
  <c r="AE9" i="1912"/>
  <c r="AE15" i="1912"/>
  <c r="AE23" i="1912"/>
  <c r="AE19" i="1912"/>
  <c r="AE16" i="1912"/>
  <c r="AE12" i="1912"/>
  <c r="AE20" i="1912"/>
  <c r="AE13" i="1912"/>
  <c r="AE8" i="1912"/>
  <c r="AE21" i="1912"/>
  <c r="AE17" i="1912"/>
  <c r="AE14" i="1912"/>
  <c r="AE10" i="1912"/>
  <c r="AE22" i="1912"/>
  <c r="AE18" i="1912"/>
  <c r="AE11" i="1912"/>
  <c r="AE7" i="1912"/>
  <c r="AE6" i="1912"/>
  <c r="AD13" i="1911"/>
  <c r="AD20" i="1911"/>
  <c r="AD18" i="1911"/>
  <c r="AB22" i="1911"/>
  <c r="M22" i="1911"/>
  <c r="AD10" i="1911"/>
  <c r="AD11" i="1911"/>
  <c r="AD19" i="1911"/>
  <c r="AC22" i="1911"/>
  <c r="AD6" i="1911"/>
  <c r="P22" i="1911"/>
  <c r="M22" i="1910"/>
  <c r="P20" i="1910"/>
  <c r="AC20" i="1910" s="1"/>
  <c r="AB20" i="1910"/>
  <c r="AB19" i="1910"/>
  <c r="O19" i="1910"/>
  <c r="K17" i="1910"/>
  <c r="P17" i="1910"/>
  <c r="AC17" i="1910" s="1"/>
  <c r="AD17" i="1910" s="1"/>
  <c r="P18" i="1910"/>
  <c r="AC18" i="1910" s="1"/>
  <c r="AB18" i="1910"/>
  <c r="K25" i="1910"/>
  <c r="O18" i="1910"/>
  <c r="P14" i="1910"/>
  <c r="AC14" i="1910" s="1"/>
  <c r="AD14" i="1910" s="1"/>
  <c r="L25" i="1910"/>
  <c r="O25" i="1910" s="1"/>
  <c r="P13" i="1910"/>
  <c r="AC13" i="1910" s="1"/>
  <c r="AD13" i="1910" s="1"/>
  <c r="P12" i="1910"/>
  <c r="AC12" i="1910" s="1"/>
  <c r="AD12" i="1910" s="1"/>
  <c r="AB11" i="1910"/>
  <c r="AD11" i="1910" s="1"/>
  <c r="AD9" i="1910"/>
  <c r="AD8" i="1910"/>
  <c r="AD24" i="1910"/>
  <c r="AD15" i="1910"/>
  <c r="AD23" i="1910"/>
  <c r="Q25" i="1910"/>
  <c r="AD16" i="1910"/>
  <c r="AD22" i="1910"/>
  <c r="AD10" i="1910"/>
  <c r="AC7" i="1910"/>
  <c r="AD7" i="1910" s="1"/>
  <c r="AD6" i="1910"/>
  <c r="P19" i="1910"/>
  <c r="AC19" i="1910" s="1"/>
  <c r="M21" i="1910"/>
  <c r="AB21" i="1910"/>
  <c r="AD21" i="1910" s="1"/>
  <c r="M19" i="1910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18" i="1909"/>
  <c r="L17" i="1909"/>
  <c r="K17" i="1909" s="1"/>
  <c r="L16" i="1909"/>
  <c r="K20" i="1909"/>
  <c r="K19" i="1909"/>
  <c r="K18" i="1909"/>
  <c r="K16" i="1909"/>
  <c r="K13" i="1909"/>
  <c r="K12" i="1909"/>
  <c r="K11" i="1909"/>
  <c r="K10" i="1909"/>
  <c r="K9" i="1909"/>
  <c r="K8" i="1909"/>
  <c r="K7" i="1909"/>
  <c r="A77" i="1909"/>
  <c r="A78" i="1909" s="1"/>
  <c r="A79" i="1909" s="1"/>
  <c r="A80" i="1909" s="1"/>
  <c r="A81" i="1909" s="1"/>
  <c r="A82" i="1909" s="1"/>
  <c r="AF61" i="1909"/>
  <c r="AF63" i="1909" s="1"/>
  <c r="AF60" i="1909"/>
  <c r="AA22" i="1909"/>
  <c r="Z22" i="1909"/>
  <c r="Y22" i="1909"/>
  <c r="X22" i="1909"/>
  <c r="W22" i="1909"/>
  <c r="V22" i="1909"/>
  <c r="U22" i="1909"/>
  <c r="T22" i="1909"/>
  <c r="S22" i="1909"/>
  <c r="R22" i="1909"/>
  <c r="N22" i="1909"/>
  <c r="J22" i="1909"/>
  <c r="I22" i="1909"/>
  <c r="AF21" i="1909"/>
  <c r="AB21" i="1909"/>
  <c r="Q21" i="1909"/>
  <c r="P21" i="1909"/>
  <c r="AC21" i="1909" s="1"/>
  <c r="O21" i="1909"/>
  <c r="M21" i="1909"/>
  <c r="K21" i="1909"/>
  <c r="AF20" i="1909"/>
  <c r="Q20" i="1909"/>
  <c r="P20" i="1909" s="1"/>
  <c r="AC20" i="1909" s="1"/>
  <c r="O20" i="1909"/>
  <c r="AF19" i="1909"/>
  <c r="Q19" i="1909"/>
  <c r="O19" i="1909"/>
  <c r="AB19" i="1909"/>
  <c r="AF18" i="1909"/>
  <c r="AB18" i="1909"/>
  <c r="Q18" i="1909"/>
  <c r="P18" i="1909"/>
  <c r="AC18" i="1909" s="1"/>
  <c r="O18" i="1909"/>
  <c r="M18" i="1909"/>
  <c r="AF17" i="1909"/>
  <c r="Q17" i="1909"/>
  <c r="P17" i="1909"/>
  <c r="AC17" i="1909" s="1"/>
  <c r="AF16" i="1909"/>
  <c r="Q16" i="1909"/>
  <c r="O16" i="1909"/>
  <c r="AF15" i="1909"/>
  <c r="AC15" i="1909"/>
  <c r="AB15" i="1909"/>
  <c r="Q15" i="1909"/>
  <c r="P15" i="1909"/>
  <c r="O15" i="1909"/>
  <c r="M15" i="1909"/>
  <c r="K15" i="1909"/>
  <c r="AF14" i="1909"/>
  <c r="AC14" i="1909"/>
  <c r="AB14" i="1909"/>
  <c r="Q14" i="1909"/>
  <c r="P14" i="1909"/>
  <c r="O14" i="1909"/>
  <c r="M14" i="1909"/>
  <c r="K14" i="1909"/>
  <c r="AF13" i="1909"/>
  <c r="Q13" i="1909"/>
  <c r="P13" i="1909" s="1"/>
  <c r="AC13" i="1909" s="1"/>
  <c r="O13" i="1909"/>
  <c r="AB13" i="1909"/>
  <c r="AF12" i="1909"/>
  <c r="AB12" i="1909"/>
  <c r="Q12" i="1909"/>
  <c r="P12" i="1909"/>
  <c r="AC12" i="1909" s="1"/>
  <c r="O12" i="1909"/>
  <c r="M12" i="1909"/>
  <c r="AF11" i="1909"/>
  <c r="Q11" i="1909"/>
  <c r="P11" i="1909" s="1"/>
  <c r="AC11" i="1909" s="1"/>
  <c r="AF10" i="1909"/>
  <c r="Q10" i="1909"/>
  <c r="P10" i="1909" s="1"/>
  <c r="AC10" i="1909" s="1"/>
  <c r="O10" i="1909"/>
  <c r="AF9" i="1909"/>
  <c r="AB9" i="1909"/>
  <c r="Q9" i="1909"/>
  <c r="P9" i="1909" s="1"/>
  <c r="AC9" i="1909" s="1"/>
  <c r="O9" i="1909"/>
  <c r="M9" i="1909"/>
  <c r="AF8" i="1909"/>
  <c r="Q8" i="1909"/>
  <c r="P8" i="1909" s="1"/>
  <c r="AC8" i="1909" s="1"/>
  <c r="AF7" i="1909"/>
  <c r="Q7" i="1909"/>
  <c r="P7" i="1909"/>
  <c r="AC7" i="1909" s="1"/>
  <c r="O7" i="1909"/>
  <c r="AF6" i="1909"/>
  <c r="AC6" i="1909"/>
  <c r="AB6" i="1909"/>
  <c r="Q6" i="1909"/>
  <c r="P6" i="1909"/>
  <c r="O6" i="1909"/>
  <c r="M6" i="1909"/>
  <c r="K6" i="1909"/>
  <c r="AD22" i="1911" l="1"/>
  <c r="AE21" i="1911" s="1"/>
  <c r="AD20" i="1910"/>
  <c r="AD19" i="1910"/>
  <c r="AD18" i="1910"/>
  <c r="P25" i="1910"/>
  <c r="M25" i="1910"/>
  <c r="AB25" i="1910"/>
  <c r="AC25" i="1910"/>
  <c r="P16" i="1909"/>
  <c r="AC16" i="1909" s="1"/>
  <c r="AD12" i="1909"/>
  <c r="AD21" i="1909"/>
  <c r="AD18" i="1909"/>
  <c r="Q22" i="1909"/>
  <c r="AD9" i="1909"/>
  <c r="AD15" i="1909"/>
  <c r="AD14" i="1909"/>
  <c r="AD13" i="1909"/>
  <c r="L22" i="1909"/>
  <c r="O22" i="1909" s="1"/>
  <c r="AD6" i="1909"/>
  <c r="M8" i="1909"/>
  <c r="AB8" i="1909"/>
  <c r="M11" i="1909"/>
  <c r="AB11" i="1909"/>
  <c r="M17" i="1909"/>
  <c r="AB17" i="1909"/>
  <c r="P19" i="1909"/>
  <c r="AC19" i="1909" s="1"/>
  <c r="AD19" i="1909" s="1"/>
  <c r="M16" i="1909"/>
  <c r="AB16" i="1909"/>
  <c r="O17" i="1909"/>
  <c r="M20" i="1909"/>
  <c r="AB20" i="1909"/>
  <c r="AD20" i="1909" s="1"/>
  <c r="M7" i="1909"/>
  <c r="AB7" i="1909"/>
  <c r="O8" i="1909"/>
  <c r="M10" i="1909"/>
  <c r="AB10" i="1909"/>
  <c r="AD10" i="1909" s="1"/>
  <c r="O11" i="1909"/>
  <c r="K22" i="1909"/>
  <c r="M13" i="1909"/>
  <c r="M19" i="1909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1" i="1908"/>
  <c r="L20" i="1908"/>
  <c r="L19" i="1908"/>
  <c r="L18" i="1908"/>
  <c r="L17" i="1908"/>
  <c r="L14" i="1908"/>
  <c r="L13" i="1908"/>
  <c r="L12" i="1908"/>
  <c r="L11" i="1908"/>
  <c r="K11" i="1908" s="1"/>
  <c r="AF11" i="1908"/>
  <c r="Q11" i="1908"/>
  <c r="AB11" i="1908"/>
  <c r="L10" i="1908"/>
  <c r="L9" i="1908"/>
  <c r="L8" i="1908"/>
  <c r="L7" i="1908"/>
  <c r="AE9" i="1911" l="1"/>
  <c r="AE12" i="1911"/>
  <c r="AE16" i="1911"/>
  <c r="AE14" i="1911"/>
  <c r="AE20" i="1911"/>
  <c r="AE18" i="1911"/>
  <c r="AE13" i="1911"/>
  <c r="AE7" i="1911"/>
  <c r="AE19" i="1911"/>
  <c r="AE6" i="1911"/>
  <c r="AE15" i="1911"/>
  <c r="AE8" i="1911"/>
  <c r="AE11" i="1911"/>
  <c r="AE10" i="1911"/>
  <c r="AE17" i="1911"/>
  <c r="AD25" i="1910"/>
  <c r="AD16" i="1909"/>
  <c r="AD11" i="1909"/>
  <c r="M22" i="1909"/>
  <c r="AD17" i="1909"/>
  <c r="AD8" i="1909"/>
  <c r="P22" i="1909"/>
  <c r="AC22" i="1909"/>
  <c r="AB22" i="1909"/>
  <c r="AD7" i="1909"/>
  <c r="M11" i="1908"/>
  <c r="O11" i="1908"/>
  <c r="P11" i="1908"/>
  <c r="AC11" i="1908" s="1"/>
  <c r="AE8" i="1910" l="1"/>
  <c r="AE20" i="1910"/>
  <c r="AE22" i="1910"/>
  <c r="AE21" i="1910"/>
  <c r="AE11" i="1910"/>
  <c r="AE9" i="1910"/>
  <c r="AE23" i="1910"/>
  <c r="AE19" i="1910"/>
  <c r="AE13" i="1910"/>
  <c r="AE24" i="1910"/>
  <c r="AE7" i="1910"/>
  <c r="AE12" i="1910"/>
  <c r="AE10" i="1910"/>
  <c r="AE15" i="1910"/>
  <c r="AE17" i="1910"/>
  <c r="AE14" i="1910"/>
  <c r="AE16" i="1910"/>
  <c r="AE6" i="1910"/>
  <c r="AE18" i="1910"/>
  <c r="AD22" i="1909"/>
  <c r="AE18" i="1909" s="1"/>
  <c r="AD11" i="1908"/>
  <c r="AE7" i="1909" l="1"/>
  <c r="AE19" i="1909"/>
  <c r="AE17" i="1909"/>
  <c r="AE14" i="1909"/>
  <c r="AE21" i="1909"/>
  <c r="AE20" i="1909"/>
  <c r="AE13" i="1909"/>
  <c r="AE8" i="1909"/>
  <c r="AE9" i="1909"/>
  <c r="AE10" i="1909"/>
  <c r="AE11" i="1909"/>
  <c r="AE6" i="1909"/>
  <c r="AE12" i="1909"/>
  <c r="AE16" i="1909"/>
  <c r="AE15" i="1909"/>
  <c r="K22" i="1908"/>
  <c r="K21" i="1908"/>
  <c r="K20" i="1908"/>
  <c r="K19" i="1908"/>
  <c r="K18" i="1908"/>
  <c r="K17" i="1908"/>
  <c r="K14" i="1908"/>
  <c r="K13" i="1908"/>
  <c r="K12" i="1908"/>
  <c r="K10" i="1908"/>
  <c r="K9" i="1908"/>
  <c r="K7" i="1908"/>
  <c r="O20" i="1908" l="1"/>
  <c r="K15" i="1908"/>
  <c r="O13" i="1908"/>
  <c r="K8" i="1908"/>
  <c r="A78" i="1908"/>
  <c r="A79" i="1908" s="1"/>
  <c r="A80" i="1908" s="1"/>
  <c r="A81" i="1908" s="1"/>
  <c r="A82" i="1908" s="1"/>
  <c r="A83" i="1908" s="1"/>
  <c r="AF62" i="1908"/>
  <c r="AF61" i="1908"/>
  <c r="AF64" i="1908" s="1"/>
  <c r="AA23" i="1908"/>
  <c r="Z23" i="1908"/>
  <c r="Y23" i="1908"/>
  <c r="X23" i="1908"/>
  <c r="W23" i="1908"/>
  <c r="V23" i="1908"/>
  <c r="U23" i="1908"/>
  <c r="T23" i="1908"/>
  <c r="S23" i="1908"/>
  <c r="R23" i="1908"/>
  <c r="N23" i="1908"/>
  <c r="J23" i="1908"/>
  <c r="I23" i="1908"/>
  <c r="AF22" i="1908"/>
  <c r="AB22" i="1908"/>
  <c r="Q22" i="1908"/>
  <c r="P22" i="1908"/>
  <c r="AC22" i="1908" s="1"/>
  <c r="O22" i="1908"/>
  <c r="M22" i="1908"/>
  <c r="AF21" i="1908"/>
  <c r="Q21" i="1908"/>
  <c r="P21" i="1908" s="1"/>
  <c r="AC21" i="1908" s="1"/>
  <c r="O21" i="1908"/>
  <c r="AF20" i="1908"/>
  <c r="Q20" i="1908"/>
  <c r="P20" i="1908" s="1"/>
  <c r="AC20" i="1908" s="1"/>
  <c r="M20" i="1908"/>
  <c r="AF19" i="1908"/>
  <c r="Q19" i="1908"/>
  <c r="P19" i="1908" s="1"/>
  <c r="AC19" i="1908" s="1"/>
  <c r="M19" i="1908"/>
  <c r="O19" i="1908"/>
  <c r="AF18" i="1908"/>
  <c r="Q18" i="1908"/>
  <c r="O18" i="1908"/>
  <c r="P18" i="1908"/>
  <c r="AC18" i="1908" s="1"/>
  <c r="AF17" i="1908"/>
  <c r="AB17" i="1908"/>
  <c r="Q17" i="1908"/>
  <c r="P17" i="1908"/>
  <c r="AC17" i="1908" s="1"/>
  <c r="O17" i="1908"/>
  <c r="M17" i="1908"/>
  <c r="AF16" i="1908"/>
  <c r="AB16" i="1908"/>
  <c r="Q16" i="1908"/>
  <c r="P16" i="1908"/>
  <c r="AC16" i="1908" s="1"/>
  <c r="O16" i="1908"/>
  <c r="M16" i="1908"/>
  <c r="K16" i="1908"/>
  <c r="AF15" i="1908"/>
  <c r="AB15" i="1908"/>
  <c r="Q15" i="1908"/>
  <c r="P15" i="1908"/>
  <c r="AC15" i="1908" s="1"/>
  <c r="O15" i="1908"/>
  <c r="M15" i="1908"/>
  <c r="AF14" i="1908"/>
  <c r="Q14" i="1908"/>
  <c r="AB14" i="1908"/>
  <c r="AF13" i="1908"/>
  <c r="AB13" i="1908"/>
  <c r="Q13" i="1908"/>
  <c r="M13" i="1908"/>
  <c r="AF12" i="1908"/>
  <c r="AB12" i="1908"/>
  <c r="Q12" i="1908"/>
  <c r="P12" i="1908" s="1"/>
  <c r="AC12" i="1908" s="1"/>
  <c r="O12" i="1908"/>
  <c r="M12" i="1908"/>
  <c r="AF10" i="1908"/>
  <c r="Q10" i="1908"/>
  <c r="AB10" i="1908"/>
  <c r="AF9" i="1908"/>
  <c r="AB9" i="1908"/>
  <c r="Q9" i="1908"/>
  <c r="P9" i="1908" s="1"/>
  <c r="AC9" i="1908" s="1"/>
  <c r="M9" i="1908"/>
  <c r="O9" i="1908"/>
  <c r="AF8" i="1908"/>
  <c r="AB8" i="1908"/>
  <c r="Q8" i="1908"/>
  <c r="P8" i="1908" s="1"/>
  <c r="AC8" i="1908" s="1"/>
  <c r="O8" i="1908"/>
  <c r="M8" i="1908"/>
  <c r="AF7" i="1908"/>
  <c r="Q7" i="1908"/>
  <c r="P7" i="1908" s="1"/>
  <c r="AC7" i="1908" s="1"/>
  <c r="O7" i="1908"/>
  <c r="AF6" i="1908"/>
  <c r="AB6" i="1908"/>
  <c r="Q6" i="1908"/>
  <c r="P6" i="1908"/>
  <c r="AC6" i="1908" s="1"/>
  <c r="O6" i="1908"/>
  <c r="M6" i="1908"/>
  <c r="K6" i="1908"/>
  <c r="AD8" i="1908" l="1"/>
  <c r="AB20" i="1908"/>
  <c r="AD20" i="1908" s="1"/>
  <c r="P13" i="1908"/>
  <c r="AC13" i="1908" s="1"/>
  <c r="AD13" i="1908" s="1"/>
  <c r="Q23" i="1908"/>
  <c r="AD15" i="1908"/>
  <c r="AD16" i="1908"/>
  <c r="AD17" i="1908"/>
  <c r="AD12" i="1908"/>
  <c r="AD22" i="1908"/>
  <c r="AD6" i="1908"/>
  <c r="AD9" i="1908"/>
  <c r="O10" i="1908"/>
  <c r="AB19" i="1908"/>
  <c r="AD19" i="1908" s="1"/>
  <c r="L23" i="1908"/>
  <c r="O23" i="1908" s="1"/>
  <c r="O14" i="1908"/>
  <c r="M7" i="1908"/>
  <c r="AB7" i="1908"/>
  <c r="AD7" i="1908" s="1"/>
  <c r="P10" i="1908"/>
  <c r="AC10" i="1908" s="1"/>
  <c r="P14" i="1908"/>
  <c r="AC14" i="1908" s="1"/>
  <c r="M18" i="1908"/>
  <c r="AB18" i="1908"/>
  <c r="AD18" i="1908" s="1"/>
  <c r="M21" i="1908"/>
  <c r="AB21" i="1908"/>
  <c r="AD21" i="1908" s="1"/>
  <c r="K23" i="1908"/>
  <c r="M10" i="1908"/>
  <c r="M14" i="1908"/>
  <c r="AD10" i="1908" l="1"/>
  <c r="P23" i="1908"/>
  <c r="M23" i="1908"/>
  <c r="AB23" i="1908"/>
  <c r="AC23" i="1908"/>
  <c r="AD14" i="1908"/>
  <c r="AD23" i="1908" l="1"/>
  <c r="AE13" i="1908" l="1"/>
  <c r="AE11" i="1908"/>
  <c r="AE18" i="1908"/>
  <c r="AE21" i="1908"/>
  <c r="AE10" i="1908"/>
  <c r="AE6" i="1908"/>
  <c r="AE12" i="1908"/>
  <c r="AE16" i="1908"/>
  <c r="AE19" i="1908"/>
  <c r="AE7" i="1908"/>
  <c r="AE17" i="1908"/>
  <c r="AE14" i="1908"/>
  <c r="AE22" i="1908"/>
  <c r="AE8" i="1908"/>
  <c r="AE15" i="1908"/>
  <c r="AE20" i="1908"/>
  <c r="AE9" i="1908"/>
  <c r="AG19" i="16" l="1"/>
  <c r="AG18" i="16"/>
  <c r="AG16" i="16"/>
  <c r="AG14" i="16"/>
  <c r="AG13" i="16"/>
  <c r="AG11" i="16"/>
  <c r="AG10" i="16"/>
  <c r="AG8" i="16"/>
  <c r="AG7" i="16"/>
  <c r="AG4" i="16"/>
  <c r="AG17" i="16"/>
  <c r="AG15" i="16"/>
  <c r="AG12" i="16"/>
  <c r="AG9" i="16"/>
  <c r="AG6" i="16"/>
  <c r="AG5" i="16"/>
  <c r="AG3" i="16"/>
</calcChain>
</file>

<file path=xl/sharedStrings.xml><?xml version="1.0" encoding="utf-8"?>
<sst xmlns="http://schemas.openxmlformats.org/spreadsheetml/2006/main" count="5670" uniqueCount="582">
  <si>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</si>
  <si>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</si>
  <si>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</si>
  <si>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</si>
  <si>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</si>
  <si>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</si>
  <si>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</si>
  <si>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</si>
  <si>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</si>
  <si>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</si>
  <si>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</si>
  <si>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</si>
  <si>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</si>
  <si>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</si>
  <si>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</si>
  <si>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</si>
  <si>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</si>
  <si>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</si>
  <si>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</si>
  <si>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</si>
  <si>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</si>
  <si>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</si>
  <si>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</si>
  <si>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</si>
  <si>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</si>
  <si>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</si>
  <si>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</si>
  <si>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</si>
  <si>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</si>
  <si>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</si>
  <si>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</si>
  <si>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</si>
  <si>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</si>
  <si>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</si>
  <si>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</si>
  <si>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</si>
  <si>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</si>
  <si>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</si>
  <si>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</si>
  <si>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</si>
  <si>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</si>
  <si>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</si>
  <si>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</si>
  <si>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</si>
  <si>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</si>
  <si>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</si>
  <si>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</si>
  <si>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</si>
  <si>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</si>
  <si>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</si>
  <si>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</si>
  <si>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</si>
  <si>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</si>
  <si>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</si>
  <si>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</si>
  <si>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</si>
  <si>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</si>
  <si>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</si>
  <si>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</si>
  <si>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</si>
  <si>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</si>
  <si>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</si>
  <si>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</si>
  <si>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</si>
  <si>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</si>
  <si>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</si>
  <si>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</si>
  <si>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</si>
  <si>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</si>
  <si>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</si>
  <si>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</si>
  <si>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</si>
  <si>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</si>
  <si>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</si>
  <si>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</si>
  <si>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</si>
  <si>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</si>
  <si>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</si>
  <si>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</si>
  <si>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</si>
  <si>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</si>
  <si>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</si>
  <si>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</si>
  <si>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</si>
  <si>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</si>
  <si>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</si>
  <si>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</si>
  <si>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</si>
  <si>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</si>
  <si>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</si>
  <si>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</si>
  <si>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</si>
  <si>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</si>
  <si>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</si>
  <si>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</si>
  <si>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</si>
  <si>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</si>
  <si>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</si>
  <si>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</si>
  <si>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</si>
  <si>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</si>
  <si>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</si>
  <si>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</si>
  <si>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</si>
  <si>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</si>
  <si>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</si>
  <si>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</si>
  <si>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</si>
  <si>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</si>
  <si>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</si>
  <si>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</si>
  <si>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</si>
  <si>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</si>
  <si>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</si>
  <si>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</si>
  <si>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</si>
  <si>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</si>
  <si>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</si>
  <si>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SST</t>
    <phoneticPr fontId="2" type="noConversion"/>
  </si>
  <si>
    <t>가스</t>
    <phoneticPr fontId="2" type="noConversion"/>
  </si>
  <si>
    <t>AYE</t>
    <phoneticPr fontId="2" type="noConversion"/>
  </si>
  <si>
    <t>14호기</t>
    <phoneticPr fontId="2" type="noConversion"/>
  </si>
  <si>
    <t>15호기</t>
    <phoneticPr fontId="2" type="noConversion"/>
  </si>
  <si>
    <t>16호기</t>
    <phoneticPr fontId="2" type="noConversion"/>
  </si>
  <si>
    <t>수리후양산</t>
    <phoneticPr fontId="2" type="noConversion"/>
  </si>
  <si>
    <t>SGF2030</t>
    <phoneticPr fontId="2" type="noConversion"/>
  </si>
  <si>
    <t>품  명</t>
    <phoneticPr fontId="2" type="noConversion"/>
  </si>
  <si>
    <t>.</t>
    <phoneticPr fontId="2" type="noConversion"/>
  </si>
  <si>
    <t>8</t>
    <phoneticPr fontId="2" type="noConversion"/>
  </si>
  <si>
    <t>SGP2030R N/P</t>
    <phoneticPr fontId="2" type="noConversion"/>
  </si>
  <si>
    <t>SGF2033</t>
    <phoneticPr fontId="2" type="noConversion"/>
  </si>
  <si>
    <t>3</t>
    <phoneticPr fontId="2" type="noConversion"/>
  </si>
  <si>
    <t>COVER</t>
    <phoneticPr fontId="2" type="noConversion"/>
  </si>
  <si>
    <t>JD4901</t>
    <phoneticPr fontId="2" type="noConversion"/>
  </si>
  <si>
    <t>SF2255 I/V</t>
    <phoneticPr fontId="2" type="noConversion"/>
  </si>
  <si>
    <t>SGP2020R</t>
    <phoneticPr fontId="2" type="noConversion"/>
  </si>
  <si>
    <t>KR6458AB456CA</t>
    <phoneticPr fontId="2" type="noConversion"/>
  </si>
  <si>
    <t>LATCH</t>
    <phoneticPr fontId="2" type="noConversion"/>
  </si>
  <si>
    <t>K-JR01903-D180ZA</t>
    <phoneticPr fontId="2" type="noConversion"/>
  </si>
  <si>
    <t>SGF2033 N/P</t>
    <phoneticPr fontId="2" type="noConversion"/>
  </si>
  <si>
    <t>STOPPPER</t>
    <phoneticPr fontId="2" type="noConversion"/>
  </si>
  <si>
    <t>K-JR01734-E092TA</t>
    <phoneticPr fontId="2" type="noConversion"/>
  </si>
  <si>
    <t>7301</t>
    <phoneticPr fontId="2" type="noConversion"/>
  </si>
  <si>
    <t>STOPPER</t>
    <phoneticPr fontId="2" type="noConversion"/>
  </si>
  <si>
    <t>SGF2030 N/P</t>
    <phoneticPr fontId="2" type="noConversion"/>
  </si>
  <si>
    <t>AMB0230A-KAA-R1</t>
    <phoneticPr fontId="2" type="noConversion"/>
  </si>
  <si>
    <t>SF2255</t>
    <phoneticPr fontId="2" type="noConversion"/>
  </si>
  <si>
    <t>4</t>
    <phoneticPr fontId="2" type="noConversion"/>
  </si>
  <si>
    <t>AMB0172A-KAA-R2</t>
    <phoneticPr fontId="2" type="noConversion"/>
  </si>
  <si>
    <t>7</t>
    <phoneticPr fontId="2" type="noConversion"/>
  </si>
  <si>
    <t>K-AR3553-1A</t>
    <phoneticPr fontId="2" type="noConversion"/>
  </si>
  <si>
    <t>CAM</t>
    <phoneticPr fontId="2" type="noConversion"/>
  </si>
  <si>
    <t>K-AR3552-1A</t>
    <phoneticPr fontId="2" type="noConversion"/>
  </si>
  <si>
    <t>AMB20E4A-KAA-R7</t>
    <phoneticPr fontId="2" type="noConversion"/>
  </si>
  <si>
    <t>F/A</t>
    <phoneticPr fontId="2" type="noConversion"/>
  </si>
  <si>
    <t>K-AR3548-1A</t>
    <phoneticPr fontId="2" type="noConversion"/>
  </si>
  <si>
    <t>K-AR3550-1A</t>
    <phoneticPr fontId="2" type="noConversion"/>
  </si>
  <si>
    <t>22P(4POST)</t>
    <phoneticPr fontId="2" type="noConversion"/>
  </si>
  <si>
    <t>OKINS</t>
    <phoneticPr fontId="2" type="noConversion"/>
  </si>
  <si>
    <t>BLUE</t>
    <phoneticPr fontId="2" type="noConversion"/>
  </si>
  <si>
    <t>NP595-877-014#LB</t>
    <phoneticPr fontId="2" type="noConversion"/>
  </si>
  <si>
    <t>K-JR01887-B221AUA</t>
    <phoneticPr fontId="2" type="noConversion"/>
  </si>
  <si>
    <t>KR6414-B414UA</t>
    <phoneticPr fontId="2" type="noConversion"/>
  </si>
  <si>
    <t>KR6414-D414PA</t>
    <phoneticPr fontId="2" type="noConversion"/>
  </si>
  <si>
    <t>288E84M-B102C-2</t>
    <phoneticPr fontId="2" type="noConversion"/>
  </si>
  <si>
    <t>코아파손3회정지</t>
    <phoneticPr fontId="2" type="noConversion"/>
  </si>
  <si>
    <t>KR6303-E07TA</t>
    <phoneticPr fontId="2" type="noConversion"/>
  </si>
  <si>
    <r>
      <t>2021년 01월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</si>
  <si>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01월 호기별 가동현황</t>
    <phoneticPr fontId="2" type="noConversion"/>
  </si>
  <si>
    <t>전일 ISSUE 사항(01일)</t>
    <phoneticPr fontId="2" type="noConversion"/>
  </si>
  <si>
    <t>수리후양산-&gt;코아파손정지</t>
    <phoneticPr fontId="2" type="noConversion"/>
  </si>
  <si>
    <t>5</t>
    <phoneticPr fontId="2" type="noConversion"/>
  </si>
  <si>
    <t>LATCH</t>
    <phoneticPr fontId="2" type="noConversion"/>
  </si>
  <si>
    <t>KR6303-E07TA</t>
    <phoneticPr fontId="2" type="noConversion"/>
  </si>
  <si>
    <t>발주분양산-&gt;밀핀파손수리-&gt;1C낙하불량</t>
    <phoneticPr fontId="2" type="noConversion"/>
  </si>
  <si>
    <t>당일 진행 사항(02일)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</si>
  <si>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</si>
  <si>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</si>
  <si>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</si>
  <si>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2021년 01월 02일(주간)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</si>
  <si>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전일 ISSUE 사항(02일)</t>
    <phoneticPr fontId="2" type="noConversion"/>
  </si>
  <si>
    <t>게이트미각후양산</t>
    <phoneticPr fontId="2" type="noConversion"/>
  </si>
  <si>
    <t>15</t>
    <phoneticPr fontId="2" type="noConversion"/>
  </si>
  <si>
    <t>코아파손수리후양산</t>
    <phoneticPr fontId="2" type="noConversion"/>
  </si>
  <si>
    <t>12</t>
    <phoneticPr fontId="2" type="noConversion"/>
  </si>
  <si>
    <t>당일 진행 사항(04일)</t>
    <phoneticPr fontId="2" type="noConversion"/>
  </si>
  <si>
    <t>HDBB08-078H1</t>
    <phoneticPr fontId="2" type="noConversion"/>
  </si>
  <si>
    <t>발주분양산</t>
    <phoneticPr fontId="2" type="noConversion"/>
  </si>
  <si>
    <t>HICON</t>
    <phoneticPr fontId="2" type="noConversion"/>
  </si>
  <si>
    <t>HOLDER</t>
    <phoneticPr fontId="2" type="noConversion"/>
  </si>
  <si>
    <t>SAMPLE 진행 사항(02일)</t>
    <phoneticPr fontId="2" type="noConversion"/>
  </si>
  <si>
    <t>수정</t>
    <phoneticPr fontId="2" type="noConversion"/>
  </si>
  <si>
    <t>1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</si>
  <si>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</si>
  <si>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</si>
  <si>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2021년 01월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</si>
  <si>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AMB20G2A-KAA-R1</t>
    <phoneticPr fontId="2" type="noConversion"/>
  </si>
  <si>
    <t>SGF2041</t>
    <phoneticPr fontId="2" type="noConversion"/>
  </si>
  <si>
    <t>AMB0186A-KAA-R1</t>
    <phoneticPr fontId="2" type="noConversion"/>
  </si>
  <si>
    <t>LATCH PLATE</t>
    <phoneticPr fontId="2" type="noConversion"/>
  </si>
  <si>
    <t>AMB09J4A-KAA-R1</t>
    <phoneticPr fontId="2" type="noConversion"/>
  </si>
  <si>
    <t>FLOATING</t>
    <phoneticPr fontId="2" type="noConversion"/>
  </si>
  <si>
    <t>HDBB08-078F2</t>
    <phoneticPr fontId="2" type="noConversion"/>
  </si>
  <si>
    <t>전일 ISSUE 사항(04일)</t>
    <phoneticPr fontId="2" type="noConversion"/>
  </si>
  <si>
    <t>코아파손정지</t>
    <phoneticPr fontId="2" type="noConversion"/>
  </si>
  <si>
    <t>2</t>
    <phoneticPr fontId="2" type="noConversion"/>
  </si>
  <si>
    <t>치수확인후양산</t>
    <phoneticPr fontId="2" type="noConversion"/>
  </si>
  <si>
    <t>코아파손2회정지</t>
    <phoneticPr fontId="2" type="noConversion"/>
  </si>
  <si>
    <t>HDBB08-078F3</t>
    <phoneticPr fontId="2" type="noConversion"/>
  </si>
  <si>
    <t>14</t>
    <phoneticPr fontId="2" type="noConversion"/>
  </si>
  <si>
    <t>POST박힘수리</t>
    <phoneticPr fontId="2" type="noConversion"/>
  </si>
  <si>
    <t>11</t>
    <phoneticPr fontId="2" type="noConversion"/>
  </si>
  <si>
    <t>당일 진행 사항(05일)</t>
    <phoneticPr fontId="2" type="noConversion"/>
  </si>
  <si>
    <t>HDBB08-078B4</t>
    <phoneticPr fontId="2" type="noConversion"/>
  </si>
  <si>
    <t>13</t>
    <phoneticPr fontId="2" type="noConversion"/>
  </si>
  <si>
    <t>SAMPLE 진행 사항(04일)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</si>
  <si>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</si>
  <si>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</si>
  <si>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2021년 01월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</si>
  <si>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SLIDER</t>
    <phoneticPr fontId="2" type="noConversion"/>
  </si>
  <si>
    <t>K-JR01887-A221ATA</t>
    <phoneticPr fontId="2" type="noConversion"/>
  </si>
  <si>
    <t>전일 ISSUE 사항(05일)</t>
    <phoneticPr fontId="2" type="noConversion"/>
  </si>
  <si>
    <t>코아파손수리</t>
    <phoneticPr fontId="2" type="noConversion"/>
  </si>
  <si>
    <t>게이트파손수리</t>
    <phoneticPr fontId="2" type="noConversion"/>
  </si>
  <si>
    <t>당일 진행 사항(06일)</t>
    <phoneticPr fontId="2" type="noConversion"/>
  </si>
  <si>
    <t>BOTTOM</t>
    <phoneticPr fontId="2" type="noConversion"/>
  </si>
  <si>
    <t>HDBB08-078B2</t>
    <phoneticPr fontId="2" type="noConversion"/>
  </si>
  <si>
    <t>M2</t>
    <phoneticPr fontId="2" type="noConversion"/>
  </si>
  <si>
    <t>AMS08155A-KBB-R2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</si>
  <si>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</si>
  <si>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</si>
  <si>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</si>
  <si>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2021년 01월 06일 일일생산현황</t>
    </r>
    <r>
      <rPr>
        <b/>
        <sz val="14"/>
        <color indexed="8"/>
        <rFont val="굴림체"/>
        <family val="3"/>
        <charset val="129"/>
      </rPr>
      <t>(07일 09시 현재)</t>
    </r>
    <phoneticPr fontId="2" type="noConversion"/>
  </si>
  <si>
    <t>M2 CONN</t>
    <phoneticPr fontId="2" type="noConversion"/>
  </si>
  <si>
    <t>HDBB08-078B3</t>
    <phoneticPr fontId="2" type="noConversion"/>
  </si>
  <si>
    <t>AMB0359A-KAA-R1</t>
    <phoneticPr fontId="2" type="noConversion"/>
  </si>
  <si>
    <t>전일 ISSUE 사항(06일)</t>
    <phoneticPr fontId="2" type="noConversion"/>
  </si>
  <si>
    <t>FLOAT</t>
    <phoneticPr fontId="2" type="noConversion"/>
  </si>
  <si>
    <t>세척후양산-&gt;코아파손정지</t>
    <phoneticPr fontId="2" type="noConversion"/>
  </si>
  <si>
    <t>치수확인후양산-&gt;밀핀파손수리</t>
    <phoneticPr fontId="2" type="noConversion"/>
  </si>
  <si>
    <t>당일 진행 사항(07일)</t>
    <phoneticPr fontId="2" type="noConversion"/>
  </si>
  <si>
    <t>NP413-082-092#GP</t>
    <phoneticPr fontId="2" type="noConversion"/>
  </si>
  <si>
    <t>NP413-187-092#IN-A</t>
    <phoneticPr fontId="2" type="noConversion"/>
  </si>
  <si>
    <t>9</t>
    <phoneticPr fontId="2" type="noConversion"/>
  </si>
  <si>
    <t>SAMPLE 진행 사항(06일)</t>
    <phoneticPr fontId="2" type="noConversion"/>
  </si>
  <si>
    <t>K-JR01923-C01AWA</t>
    <phoneticPr fontId="2" type="noConversion"/>
  </si>
  <si>
    <t>K-R2764-1A</t>
    <phoneticPr fontId="2" type="noConversion"/>
  </si>
  <si>
    <t>K-R2767-1A</t>
    <phoneticPr fontId="2" type="noConversion"/>
  </si>
  <si>
    <t>이관</t>
    <phoneticPr fontId="2" type="noConversion"/>
  </si>
  <si>
    <t>신작</t>
    <phoneticPr fontId="2" type="noConversion"/>
  </si>
  <si>
    <t>상측박힘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</si>
  <si>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</si>
  <si>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</si>
  <si>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t>CONN</t>
    <phoneticPr fontId="2" type="noConversion"/>
  </si>
  <si>
    <r>
      <t>2021년 01월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</si>
  <si>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t>AMB09F5A-KAA-R3</t>
    <phoneticPr fontId="2" type="noConversion"/>
  </si>
  <si>
    <t>LEAD GUIDE</t>
    <phoneticPr fontId="2" type="noConversion"/>
  </si>
  <si>
    <t>K-R2768-1B</t>
    <phoneticPr fontId="2" type="noConversion"/>
  </si>
  <si>
    <t>ADAPTER</t>
    <phoneticPr fontId="2" type="noConversion"/>
  </si>
  <si>
    <t>K-R2890-1C</t>
    <phoneticPr fontId="2" type="noConversion"/>
  </si>
  <si>
    <t>전일 ISSUE 사항(07일)</t>
    <phoneticPr fontId="2" type="noConversion"/>
  </si>
  <si>
    <t>수정후양산</t>
    <phoneticPr fontId="2" type="noConversion"/>
  </si>
  <si>
    <t>하측박힘정지</t>
    <phoneticPr fontId="2" type="noConversion"/>
  </si>
  <si>
    <t>발주분양산-&gt;HOOK BURR2회정지</t>
    <phoneticPr fontId="2" type="noConversion"/>
  </si>
  <si>
    <t>NP413-187-092#GP</t>
    <phoneticPr fontId="2" type="noConversion"/>
  </si>
  <si>
    <t>당일 진행 사항(08일)</t>
    <phoneticPr fontId="2" type="noConversion"/>
  </si>
  <si>
    <t>NP413-187-092#IN-B</t>
    <phoneticPr fontId="2" type="noConversion"/>
  </si>
  <si>
    <t>NP635-315-006#LB</t>
    <phoneticPr fontId="2" type="noConversion"/>
  </si>
  <si>
    <t>10</t>
    <phoneticPr fontId="2" type="noConversion"/>
  </si>
  <si>
    <t>SAMPLE 진행 사항(07일)</t>
    <phoneticPr fontId="2" type="noConversion"/>
  </si>
  <si>
    <t>K-R2769-1A</t>
    <phoneticPr fontId="2" type="noConversion"/>
  </si>
  <si>
    <t xml:space="preserve">LATCH 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</si>
  <si>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</si>
  <si>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</si>
  <si>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2021년 01월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</si>
  <si>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K-JR01875-E01TA</t>
    <phoneticPr fontId="2" type="noConversion"/>
  </si>
  <si>
    <t>SGP2030R</t>
    <phoneticPr fontId="2" type="noConversion"/>
  </si>
  <si>
    <t>전일 ISSUE 사항(08일)</t>
    <phoneticPr fontId="2" type="noConversion"/>
  </si>
  <si>
    <t>발주분양산-&gt;코아파손정지</t>
    <phoneticPr fontId="2" type="noConversion"/>
  </si>
  <si>
    <t>세척후양산</t>
    <phoneticPr fontId="2" type="noConversion"/>
  </si>
  <si>
    <t>발주분양산-&gt;형상이상-&gt;상측박힘정지</t>
    <phoneticPr fontId="2" type="noConversion"/>
  </si>
  <si>
    <t>당일 진행 사항(09일)</t>
    <phoneticPr fontId="2" type="noConversion"/>
  </si>
  <si>
    <t>HR03B-406A1</t>
    <phoneticPr fontId="2" type="noConversion"/>
  </si>
  <si>
    <t>SAMPLE 진행 사항(08일)</t>
    <phoneticPr fontId="2" type="noConversion"/>
  </si>
  <si>
    <t>옵션이상 2회진행</t>
    <phoneticPr fontId="2" type="noConversion"/>
  </si>
  <si>
    <t>K-JR01923-B324AUC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</si>
  <si>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</si>
  <si>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</si>
  <si>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2021년 01월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</si>
  <si>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HB03B-406A1</t>
    <phoneticPr fontId="2" type="noConversion"/>
  </si>
  <si>
    <t>전일 ISSUE 사항(09일)</t>
    <phoneticPr fontId="2" type="noConversion"/>
  </si>
  <si>
    <t>HOOK파손2회-&gt;1C 막음</t>
    <phoneticPr fontId="2" type="noConversion"/>
  </si>
  <si>
    <t>수리후양산-&gt;상측박힘수리</t>
    <phoneticPr fontId="2" type="noConversion"/>
  </si>
  <si>
    <t>당일 진행 사항(11일)</t>
    <phoneticPr fontId="2" type="noConversion"/>
  </si>
  <si>
    <t>KR6458AB456PMA</t>
    <phoneticPr fontId="2" type="noConversion"/>
  </si>
  <si>
    <t>RV1.0-1.2HD-1.15A1</t>
    <phoneticPr fontId="2" type="noConversion"/>
  </si>
  <si>
    <t>RIVET</t>
    <phoneticPr fontId="2" type="noConversion"/>
  </si>
  <si>
    <t>AMM0899A-KAB-R1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</si>
  <si>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</si>
  <si>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</si>
  <si>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</si>
  <si>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2021년 01월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</si>
  <si>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SF2250EPR</t>
    <phoneticPr fontId="2" type="noConversion"/>
  </si>
  <si>
    <t>RTP Y/L</t>
    <phoneticPr fontId="2" type="noConversion"/>
  </si>
  <si>
    <t>NP635-315-006#IN-B</t>
    <phoneticPr fontId="2" type="noConversion"/>
  </si>
  <si>
    <t>LG35</t>
    <phoneticPr fontId="2" type="noConversion"/>
  </si>
  <si>
    <t>72P</t>
    <phoneticPr fontId="2" type="noConversion"/>
  </si>
  <si>
    <t>전일 ISSUE 사항(11일)</t>
    <phoneticPr fontId="2" type="noConversion"/>
  </si>
  <si>
    <t>뜯김 1C 막음</t>
    <phoneticPr fontId="2" type="noConversion"/>
  </si>
  <si>
    <t>K-JR01903-D180ZA(증)</t>
    <phoneticPr fontId="2" type="noConversion"/>
  </si>
  <si>
    <t>당일 진행 사항(12일)</t>
    <phoneticPr fontId="2" type="noConversion"/>
  </si>
  <si>
    <t>수리후양산-&gt;뜯김정지</t>
    <phoneticPr fontId="2" type="noConversion"/>
  </si>
  <si>
    <t>NP635-315-006#IN-A</t>
    <phoneticPr fontId="2" type="noConversion"/>
  </si>
  <si>
    <t>6</t>
    <phoneticPr fontId="2" type="noConversion"/>
  </si>
  <si>
    <t>KR6156-C841TB</t>
    <phoneticPr fontId="2" type="noConversion"/>
  </si>
  <si>
    <t>SAMPLE 진행 사항(11일)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</si>
  <si>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</si>
  <si>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</si>
  <si>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2021년 01월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</si>
  <si>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AMM0890A-KAA-R1</t>
    <phoneticPr fontId="2" type="noConversion"/>
  </si>
  <si>
    <t>HR03A-06A1</t>
    <phoneticPr fontId="2" type="noConversion"/>
  </si>
  <si>
    <t>전일 ISSUE 사항(12일)</t>
    <phoneticPr fontId="2" type="noConversion"/>
  </si>
  <si>
    <t>미성형정지</t>
    <phoneticPr fontId="2" type="noConversion"/>
  </si>
  <si>
    <t>뜯김2회수리</t>
    <phoneticPr fontId="2" type="noConversion"/>
  </si>
  <si>
    <t>당일 진행 사항(13일)</t>
    <phoneticPr fontId="2" type="noConversion"/>
  </si>
  <si>
    <t>38P</t>
    <phoneticPr fontId="2" type="noConversion"/>
  </si>
  <si>
    <t>AM0164A-A</t>
    <phoneticPr fontId="2" type="noConversion"/>
  </si>
  <si>
    <t>SAMPLE 진행 사항(12일)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</si>
  <si>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</si>
  <si>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</si>
  <si>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2021년 01월 13일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</si>
  <si>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HRCS-03C13</t>
    <phoneticPr fontId="2" type="noConversion"/>
  </si>
  <si>
    <t>E PR</t>
    <phoneticPr fontId="2" type="noConversion"/>
  </si>
  <si>
    <t>전일 ISSUE 사항(13일)</t>
    <phoneticPr fontId="2" type="noConversion"/>
  </si>
  <si>
    <t>코아파손수리-&gt;상측박힘수리</t>
    <phoneticPr fontId="2" type="noConversion"/>
  </si>
  <si>
    <t>발주분양산-&gt;런너막힘수리</t>
    <phoneticPr fontId="2" type="noConversion"/>
  </si>
  <si>
    <t>HOOK BURR정지</t>
    <phoneticPr fontId="2" type="noConversion"/>
  </si>
  <si>
    <t>당일 진행 사항(14일)</t>
    <phoneticPr fontId="2" type="noConversion"/>
  </si>
  <si>
    <t>HR03A-05A1</t>
    <phoneticPr fontId="2" type="noConversion"/>
  </si>
  <si>
    <t>HR03B-406A2</t>
    <phoneticPr fontId="2" type="noConversion"/>
  </si>
  <si>
    <t>SAMPLE 진행 사항(13일)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</si>
  <si>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</si>
  <si>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</si>
  <si>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2021년 01월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</si>
  <si>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HB03B-406A2</t>
    <phoneticPr fontId="2" type="noConversion"/>
  </si>
  <si>
    <t>전일 ISSUE 사항(14일)</t>
    <phoneticPr fontId="2" type="noConversion"/>
  </si>
  <si>
    <t>가스빼기후양산</t>
    <phoneticPr fontId="2" type="noConversion"/>
  </si>
  <si>
    <t>수리후양산-&gt;HOOK BURR 1C막음</t>
    <phoneticPr fontId="2" type="noConversion"/>
  </si>
  <si>
    <t>수리후양산-&gt;HOOK 긁힘수리</t>
    <phoneticPr fontId="2" type="noConversion"/>
  </si>
  <si>
    <t>당일 진행 사항(15일)</t>
    <phoneticPr fontId="2" type="noConversion"/>
  </si>
  <si>
    <t>발주분양산-&gt;BURR 2회수리</t>
    <phoneticPr fontId="2" type="noConversion"/>
  </si>
  <si>
    <t>SAMPLE 진행 사항(14일)</t>
    <phoneticPr fontId="2" type="noConversion"/>
  </si>
  <si>
    <t>AMB09E8B-KAA-R1</t>
    <phoneticPr fontId="2" type="noConversion"/>
  </si>
  <si>
    <t>AMB0165B-KAA-R1</t>
    <phoneticPr fontId="2" type="noConversion"/>
  </si>
  <si>
    <t>JD4901 N/P</t>
    <phoneticPr fontId="2" type="noConversion"/>
  </si>
  <si>
    <t>SGF2050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</si>
  <si>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</si>
  <si>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</si>
  <si>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2021년 01월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</si>
  <si>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KR6197-D475PA</t>
    <phoneticPr fontId="2" type="noConversion"/>
  </si>
  <si>
    <t>전일 ISSUE 사항(15일)</t>
    <phoneticPr fontId="2" type="noConversion"/>
  </si>
  <si>
    <t>수리후양산-&gt;하측뜯김2회수리</t>
    <phoneticPr fontId="2" type="noConversion"/>
  </si>
  <si>
    <t>수리후양산-&gt;코아파손진행</t>
    <phoneticPr fontId="2" type="noConversion"/>
  </si>
  <si>
    <t>당일 진행 사항(18일)</t>
    <phoneticPr fontId="2" type="noConversion"/>
  </si>
  <si>
    <t>AMB0482A-KAA-R1</t>
    <phoneticPr fontId="2" type="noConversion"/>
  </si>
  <si>
    <t>288C84A-B125A</t>
    <phoneticPr fontId="2" type="noConversion"/>
  </si>
  <si>
    <t>KR6422-B589CA</t>
    <phoneticPr fontId="2" type="noConversion"/>
  </si>
  <si>
    <t>K-JR01860-H01AZB/D</t>
    <phoneticPr fontId="2" type="noConversion"/>
  </si>
  <si>
    <t>ST/HOL</t>
    <phoneticPr fontId="2" type="noConversion"/>
  </si>
  <si>
    <t>SAMPLE 진행 사항(15일)</t>
    <phoneticPr fontId="2" type="noConversion"/>
  </si>
  <si>
    <t>AMB0347A-KAA-R1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</si>
  <si>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</si>
  <si>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</si>
  <si>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2021년 01월 18일 일일생산현황</t>
    </r>
    <r>
      <rPr>
        <b/>
        <sz val="14"/>
        <color indexed="8"/>
        <rFont val="굴림체"/>
        <family val="3"/>
        <charset val="129"/>
      </rPr>
      <t>(19일 09시 현재)</t>
    </r>
    <phoneticPr fontId="2" type="noConversion"/>
  </si>
  <si>
    <t>KR6422-A556YA</t>
    <phoneticPr fontId="2" type="noConversion"/>
  </si>
  <si>
    <t>메카텍</t>
    <phoneticPr fontId="2" type="noConversion"/>
  </si>
  <si>
    <t>공용LEVER</t>
    <phoneticPr fontId="2" type="noConversion"/>
  </si>
  <si>
    <t>GRAY</t>
    <phoneticPr fontId="2" type="noConversion"/>
  </si>
  <si>
    <t>ST/KOLDER</t>
    <phoneticPr fontId="2" type="noConversion"/>
  </si>
  <si>
    <t>전일 ISSUE 사항(18일)</t>
    <phoneticPr fontId="2" type="noConversion"/>
  </si>
  <si>
    <t>1C단차 막음</t>
    <phoneticPr fontId="2" type="noConversion"/>
  </si>
  <si>
    <t>코아파손수리-&gt;뜯김수리</t>
    <phoneticPr fontId="2" type="noConversion"/>
  </si>
  <si>
    <t>ST/HOLDER</t>
    <phoneticPr fontId="2" type="noConversion"/>
  </si>
  <si>
    <t>가스수리-&gt;치수NG정지</t>
    <phoneticPr fontId="2" type="noConversion"/>
  </si>
  <si>
    <t>당일 진행 사항(19일)</t>
    <phoneticPr fontId="2" type="noConversion"/>
  </si>
  <si>
    <t>HSCB65-M04A1(4C)</t>
    <phoneticPr fontId="2" type="noConversion"/>
  </si>
  <si>
    <t>16</t>
    <phoneticPr fontId="2" type="noConversion"/>
  </si>
  <si>
    <t>BURR정지</t>
    <phoneticPr fontId="2" type="noConversion"/>
  </si>
  <si>
    <t>SAMPLE 진행 사항(18일)</t>
    <phoneticPr fontId="2" type="noConversion"/>
  </si>
  <si>
    <t>AMB1935A-KAA-R1</t>
    <phoneticPr fontId="2" type="noConversion"/>
  </si>
  <si>
    <t>ACTUATOR</t>
    <phoneticPr fontId="2" type="noConversion"/>
  </si>
  <si>
    <t>SGF2041,SGF2030</t>
    <phoneticPr fontId="2" type="noConversion"/>
  </si>
  <si>
    <t>31</t>
    <phoneticPr fontId="2" type="noConversion"/>
  </si>
  <si>
    <t>SGF2041 뜯김</t>
    <phoneticPr fontId="2" type="noConversion"/>
  </si>
  <si>
    <t>AMB0244A-KAA-R1</t>
    <phoneticPr fontId="2" type="noConversion"/>
  </si>
  <si>
    <t>36</t>
    <phoneticPr fontId="2" type="noConversion"/>
  </si>
  <si>
    <t>밀핀이상 2회진행</t>
    <phoneticPr fontId="2" type="noConversion"/>
  </si>
  <si>
    <t>HR05B-BOTTOM1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</si>
  <si>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</si>
  <si>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</si>
  <si>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2021년 01월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</si>
  <si>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전일 ISSUE 사항(19일)</t>
    <phoneticPr fontId="2" type="noConversion"/>
  </si>
  <si>
    <t>2C양산</t>
    <phoneticPr fontId="2" type="noConversion"/>
  </si>
  <si>
    <t>런너막힘수리</t>
    <phoneticPr fontId="2" type="noConversion"/>
  </si>
  <si>
    <t>수리후양산-&gt;코아파손2회수리-&gt;상측뜯김수리</t>
    <phoneticPr fontId="2" type="noConversion"/>
  </si>
  <si>
    <t>치수2회수리</t>
    <phoneticPr fontId="2" type="noConversion"/>
  </si>
  <si>
    <t>당일 진행 사항(20일)</t>
    <phoneticPr fontId="2" type="noConversion"/>
  </si>
  <si>
    <t>옵션확인후양산</t>
    <phoneticPr fontId="2" type="noConversion"/>
  </si>
  <si>
    <t>AMM0849A-KAA-R2</t>
    <phoneticPr fontId="2" type="noConversion"/>
  </si>
  <si>
    <t>SAMPLE 진행 사항(19일)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</si>
  <si>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</si>
  <si>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</si>
  <si>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2021년 01월 20일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</si>
  <si>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GN2330</t>
    <phoneticPr fontId="2" type="noConversion"/>
  </si>
  <si>
    <t>전일 ISSUE 사항(20일)</t>
    <phoneticPr fontId="2" type="noConversion"/>
  </si>
  <si>
    <t>미성형수리후양산</t>
    <phoneticPr fontId="2" type="noConversion"/>
  </si>
  <si>
    <t>런너수리후양산</t>
    <phoneticPr fontId="2" type="noConversion"/>
  </si>
  <si>
    <t>ST/HO</t>
    <phoneticPr fontId="2" type="noConversion"/>
  </si>
  <si>
    <t>당일 진행 사항(21일)</t>
    <phoneticPr fontId="2" type="noConversion"/>
  </si>
  <si>
    <t>2P</t>
    <phoneticPr fontId="2" type="noConversion"/>
  </si>
  <si>
    <t>SAMPLE 진행 사항(20일)</t>
    <phoneticPr fontId="2" type="noConversion"/>
  </si>
  <si>
    <t>HR05B-COVER1</t>
    <phoneticPr fontId="2" type="noConversion"/>
  </si>
  <si>
    <t>런너수리 2회진행</t>
    <phoneticPr fontId="2" type="noConversion"/>
  </si>
  <si>
    <t>AMB07Z2A-KAA-R1</t>
    <phoneticPr fontId="2" type="noConversion"/>
  </si>
  <si>
    <t>32</t>
    <phoneticPr fontId="2" type="noConversion"/>
  </si>
  <si>
    <t>AMB07Z1A-KAA-R1</t>
    <phoneticPr fontId="2" type="noConversion"/>
  </si>
  <si>
    <t>PX13322</t>
    <phoneticPr fontId="2" type="noConversion"/>
  </si>
  <si>
    <t>AMB09J2A-KAA-R1</t>
    <phoneticPr fontId="2" type="noConversion"/>
  </si>
  <si>
    <t>NP413-187-105#MO</t>
    <phoneticPr fontId="2" type="noConversion"/>
  </si>
  <si>
    <t>NP413-187-105#IN-B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</si>
  <si>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</si>
  <si>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</si>
  <si>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t>상측박힘3회</t>
    <phoneticPr fontId="2" type="noConversion"/>
  </si>
  <si>
    <r>
      <t>2021년 01월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</si>
  <si>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AMB09J4B-KAA-R1</t>
    <phoneticPr fontId="2" type="noConversion"/>
  </si>
  <si>
    <t>2P BASE/UNDER</t>
    <phoneticPr fontId="2" type="noConversion"/>
  </si>
  <si>
    <t>2*1</t>
    <phoneticPr fontId="2" type="noConversion"/>
  </si>
  <si>
    <t>전일 ISSUE 사항(21일)</t>
    <phoneticPr fontId="2" type="noConversion"/>
  </si>
  <si>
    <t>K-JR01923-B324AUA</t>
    <phoneticPr fontId="2" type="noConversion"/>
  </si>
  <si>
    <t>당일 진행 사항(22일)</t>
    <phoneticPr fontId="2" type="noConversion"/>
  </si>
  <si>
    <t>AMB09J3B-KAA-R1</t>
    <phoneticPr fontId="2" type="noConversion"/>
  </si>
  <si>
    <t>SAMPLE 진행 사항(21일)</t>
    <phoneticPr fontId="2" type="noConversion"/>
  </si>
  <si>
    <t>HR05B-FLOATING1</t>
    <phoneticPr fontId="2" type="noConversion"/>
  </si>
  <si>
    <t>NP413-187-105#IN-A</t>
    <phoneticPr fontId="2" type="noConversion"/>
  </si>
  <si>
    <t>HR05B-BASE1</t>
    <phoneticPr fontId="2" type="noConversion"/>
  </si>
  <si>
    <t>AMB0187A-KAA-R1</t>
    <phoneticPr fontId="2" type="noConversion"/>
  </si>
  <si>
    <t>SGF2041,2033</t>
    <phoneticPr fontId="2" type="noConversion"/>
  </si>
  <si>
    <t>요청</t>
    <phoneticPr fontId="2" type="noConversion"/>
  </si>
  <si>
    <t>옵션</t>
    <phoneticPr fontId="2" type="noConversion"/>
  </si>
  <si>
    <t>SGF2041 진행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</si>
  <si>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</si>
  <si>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</si>
  <si>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2021년 01월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</si>
  <si>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AMS08155A-KAA-R2</t>
    <phoneticPr fontId="2" type="noConversion"/>
  </si>
  <si>
    <t>K-JR01883-F01AWA</t>
    <phoneticPr fontId="2" type="noConversion"/>
  </si>
  <si>
    <t>전일 ISSUE 사항(22일)</t>
    <phoneticPr fontId="2" type="noConversion"/>
  </si>
  <si>
    <t>발주분양산-&gt;HOOK파손수리</t>
    <phoneticPr fontId="2" type="noConversion"/>
  </si>
  <si>
    <t>당일 진행 사항(23일)</t>
    <phoneticPr fontId="2" type="noConversion"/>
  </si>
  <si>
    <t>SAMPLE 진행 사항(22일)</t>
    <phoneticPr fontId="2" type="noConversion"/>
  </si>
  <si>
    <t>KR6463-D180PSA</t>
    <phoneticPr fontId="2" type="noConversion"/>
  </si>
  <si>
    <t>AMB1936A-KAA-R1</t>
    <phoneticPr fontId="2" type="noConversion"/>
  </si>
  <si>
    <t>AMB09J1A-KAA-R1</t>
    <phoneticPr fontId="2" type="noConversion"/>
  </si>
  <si>
    <t>AMB0245A-KAA-R1</t>
    <phoneticPr fontId="2" type="noConversion"/>
  </si>
  <si>
    <t>5050GM</t>
    <phoneticPr fontId="2" type="noConversion"/>
  </si>
  <si>
    <t>1번파손 막고 진행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</si>
  <si>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</si>
  <si>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</si>
  <si>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2021년 01월 23일(주간)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</si>
  <si>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전일 ISSUE 사항(23일)</t>
    <phoneticPr fontId="2" type="noConversion"/>
  </si>
  <si>
    <t>KR6422-B569CA</t>
    <phoneticPr fontId="2" type="noConversion"/>
  </si>
  <si>
    <t>당일 진행 사항(25일)</t>
    <phoneticPr fontId="2" type="noConversion"/>
  </si>
  <si>
    <t>승인후양산</t>
    <phoneticPr fontId="2" type="noConversion"/>
  </si>
  <si>
    <t>SAMPLE 진행 사항(23일)</t>
    <phoneticPr fontId="2" type="noConversion"/>
  </si>
  <si>
    <t>AMM0890A-KAD-R1</t>
    <phoneticPr fontId="2" type="noConversion"/>
  </si>
  <si>
    <t>KR6166CB299UA</t>
    <phoneticPr fontId="2" type="noConversion"/>
  </si>
  <si>
    <t>KR6463-GA180PLA</t>
    <phoneticPr fontId="2" type="noConversion"/>
  </si>
  <si>
    <t>AMB0189A-KAA-R1</t>
    <phoneticPr fontId="2" type="noConversion"/>
  </si>
  <si>
    <t>뜯김수리</t>
    <phoneticPr fontId="2" type="noConversion"/>
  </si>
  <si>
    <t>AMB0188A-KAA-R1</t>
    <phoneticPr fontId="2" type="noConversion"/>
  </si>
  <si>
    <t>KR6463-B180PMA</t>
    <phoneticPr fontId="2" type="noConversion"/>
  </si>
  <si>
    <t>AMB0360A-KAA-R1</t>
    <phoneticPr fontId="2" type="noConversion"/>
  </si>
  <si>
    <t>상측박힘수리</t>
    <phoneticPr fontId="2" type="noConversion"/>
  </si>
  <si>
    <t>AMB0361A-KAA-R1</t>
    <phoneticPr fontId="2" type="noConversion"/>
  </si>
  <si>
    <t>KR6463-C180TA</t>
    <phoneticPr fontId="2" type="noConversion"/>
  </si>
  <si>
    <t>KR6463-A180YA</t>
    <phoneticPr fontId="2" type="noConversion"/>
  </si>
  <si>
    <t>PX13322 W/T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</si>
  <si>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</si>
  <si>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</si>
  <si>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2021년 01월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</si>
  <si>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K-R2981-1B</t>
    <phoneticPr fontId="2" type="noConversion"/>
  </si>
  <si>
    <t>전일 ISSUE 사항(25일)</t>
    <phoneticPr fontId="2" type="noConversion"/>
  </si>
  <si>
    <t>수리후양산-&gt;코아파손수리</t>
    <phoneticPr fontId="2" type="noConversion"/>
  </si>
  <si>
    <t>발주분양산-&gt;오조립수리</t>
    <phoneticPr fontId="2" type="noConversion"/>
  </si>
  <si>
    <t>당일 진행 사항(26일)</t>
    <phoneticPr fontId="2" type="noConversion"/>
  </si>
  <si>
    <t>AMM0899A-KAD-R1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</si>
  <si>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</si>
  <si>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</si>
  <si>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</si>
  <si>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2021년 01월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</si>
  <si>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</si>
  <si>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밀핀파손수리-&gt;코아파손정지</t>
    <phoneticPr fontId="2" type="noConversion"/>
  </si>
  <si>
    <t>HICON</t>
    <phoneticPr fontId="2" type="noConversion"/>
  </si>
  <si>
    <t>12</t>
    <phoneticPr fontId="2" type="noConversion"/>
  </si>
  <si>
    <t>RIVET</t>
    <phoneticPr fontId="2" type="noConversion"/>
  </si>
  <si>
    <t>수리후양산-&gt;단차수리</t>
    <phoneticPr fontId="2" type="noConversion"/>
  </si>
  <si>
    <t>당일 진행 사항(27일)</t>
    <phoneticPr fontId="2" type="noConversion"/>
  </si>
  <si>
    <t>AMB07M4A-KAA-R1</t>
    <phoneticPr fontId="2" type="noConversion"/>
  </si>
  <si>
    <t>AMB0443A-KAA-R1</t>
    <phoneticPr fontId="2" type="noConversion"/>
  </si>
  <si>
    <t>AMM0885A-KAA-R1</t>
    <phoneticPr fontId="2" type="noConversion"/>
  </si>
  <si>
    <t>AMM0885B-KAA-R1</t>
    <phoneticPr fontId="2" type="noConversion"/>
  </si>
  <si>
    <t>SAMPLE 진행 사항(26일)</t>
    <phoneticPr fontId="2" type="noConversion"/>
  </si>
  <si>
    <t>AMB20G2B-KAA-R1</t>
    <phoneticPr fontId="2" type="noConversion"/>
  </si>
  <si>
    <t>미성형진행</t>
    <phoneticPr fontId="2" type="noConversion"/>
  </si>
  <si>
    <t>COVER</t>
    <phoneticPr fontId="2" type="noConversion"/>
  </si>
  <si>
    <t>HR05B-FLOATING1</t>
    <phoneticPr fontId="2" type="noConversion"/>
  </si>
  <si>
    <t>FLOATING</t>
    <phoneticPr fontId="2" type="noConversion"/>
  </si>
  <si>
    <t>HR05B-COVER1</t>
    <phoneticPr fontId="2" type="noConversion"/>
  </si>
  <si>
    <t>KR6463-B180XX</t>
    <phoneticPr fontId="2" type="noConversion"/>
  </si>
  <si>
    <t>SST</t>
    <phoneticPr fontId="2" type="noConversion"/>
  </si>
  <si>
    <t>BASE</t>
    <phoneticPr fontId="2" type="noConversion"/>
  </si>
  <si>
    <t>SGF2030 N/P</t>
    <phoneticPr fontId="2" type="noConversion"/>
  </si>
  <si>
    <t>수정</t>
    <phoneticPr fontId="2" type="noConversion"/>
  </si>
  <si>
    <t>2</t>
    <phoneticPr fontId="2" type="noConversion"/>
  </si>
  <si>
    <t>7301,SGF2030</t>
    <phoneticPr fontId="2" type="noConversion"/>
  </si>
  <si>
    <t>원재료</t>
    <phoneticPr fontId="2" type="noConversion"/>
  </si>
  <si>
    <t>3</t>
    <phoneticPr fontId="2" type="noConversion"/>
  </si>
  <si>
    <t>테스트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</si>
  <si>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</si>
  <si>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</si>
  <si>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t>에젝터 이상</t>
    <phoneticPr fontId="2" type="noConversion"/>
  </si>
  <si>
    <t>에젝터 볼스크류 교체 에정</t>
    <phoneticPr fontId="2" type="noConversion"/>
  </si>
  <si>
    <t>소딕</t>
    <phoneticPr fontId="2" type="noConversion"/>
  </si>
  <si>
    <t>견적진행중</t>
    <phoneticPr fontId="2" type="noConversion"/>
  </si>
  <si>
    <r>
      <t>2021년 01월 27일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</si>
  <si>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8301</t>
    <phoneticPr fontId="2" type="noConversion"/>
  </si>
  <si>
    <t>NP504-291-147#LO</t>
    <phoneticPr fontId="2" type="noConversion"/>
  </si>
  <si>
    <t>G1300H</t>
    <phoneticPr fontId="2" type="noConversion"/>
  </si>
  <si>
    <t>PLATE</t>
    <phoneticPr fontId="2" type="noConversion"/>
  </si>
  <si>
    <t>HR03A-06B2</t>
    <phoneticPr fontId="2" type="noConversion"/>
  </si>
  <si>
    <t>전일 ISSUE 사항(27일)</t>
    <phoneticPr fontId="2" type="noConversion"/>
  </si>
  <si>
    <t>코아파손2회수리</t>
    <phoneticPr fontId="2" type="noConversion"/>
  </si>
  <si>
    <t>발주분양산-&gt;코아파손수리</t>
    <phoneticPr fontId="2" type="noConversion"/>
  </si>
  <si>
    <t>당일 진행 사항(28일)</t>
    <phoneticPr fontId="2" type="noConversion"/>
  </si>
  <si>
    <t>AMB0150A-KAA-R1</t>
    <phoneticPr fontId="2" type="noConversion"/>
  </si>
  <si>
    <t>SAMPLE 진행 사항(27일)</t>
    <phoneticPr fontId="2" type="noConversion"/>
  </si>
  <si>
    <t>상측박힘 코아파손</t>
    <phoneticPr fontId="2" type="noConversion"/>
  </si>
  <si>
    <t>상측박힘 코아파손수리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</si>
  <si>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</si>
  <si>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</si>
  <si>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2021년 01월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</si>
  <si>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 xml:space="preserve">SGF2030 </t>
    <phoneticPr fontId="2" type="noConversion"/>
  </si>
  <si>
    <t>AMB0355A-KAA-R2</t>
    <phoneticPr fontId="2" type="noConversion"/>
  </si>
  <si>
    <t>전일 ISSUE 사항(28일)</t>
    <phoneticPr fontId="2" type="noConversion"/>
  </si>
  <si>
    <t>발주분양산-&gt;칼퀴수리</t>
    <phoneticPr fontId="2" type="noConversion"/>
  </si>
  <si>
    <t>발주분양산-&gt;BURR수리</t>
    <phoneticPr fontId="2" type="noConversion"/>
  </si>
  <si>
    <t>당일 진행 사항(29일)</t>
    <phoneticPr fontId="2" type="noConversion"/>
  </si>
  <si>
    <t>AMM0822A-KAB-R1</t>
    <phoneticPr fontId="2" type="noConversion"/>
  </si>
  <si>
    <t>SAMPLE 진행 사항(28일)</t>
    <phoneticPr fontId="2" type="noConversion"/>
  </si>
  <si>
    <t>AMB07U9A-KAA-R3(2C)</t>
    <phoneticPr fontId="2" type="noConversion"/>
  </si>
  <si>
    <t>칼퀴수리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</si>
  <si>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</si>
  <si>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</si>
  <si>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2021년 01월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</si>
  <si>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발주/SPL</t>
    <phoneticPr fontId="2" type="noConversion"/>
  </si>
  <si>
    <t>F/ADAPTER</t>
    <phoneticPr fontId="2" type="noConversion"/>
  </si>
  <si>
    <t>NEXT</t>
    <phoneticPr fontId="2" type="noConversion"/>
  </si>
  <si>
    <t>H과제 FLOATING_A1-01</t>
    <phoneticPr fontId="2" type="noConversion"/>
  </si>
  <si>
    <t xml:space="preserve">SF2255 </t>
    <phoneticPr fontId="2" type="noConversion"/>
  </si>
  <si>
    <t>전일 ISSUE 사항(29일)</t>
    <phoneticPr fontId="2" type="noConversion"/>
  </si>
  <si>
    <t>밀핀파손수리</t>
    <phoneticPr fontId="2" type="noConversion"/>
  </si>
  <si>
    <t>H-FLOATING</t>
    <phoneticPr fontId="2" type="noConversion"/>
  </si>
  <si>
    <t>발주분양산-&gt;발주분양산-&gt;뜯김정지</t>
    <phoneticPr fontId="2" type="noConversion"/>
  </si>
  <si>
    <t>당일 진행 사항(01일)</t>
    <phoneticPr fontId="2" type="noConversion"/>
  </si>
  <si>
    <t>H과제 BOTTOM_A1-02</t>
    <phoneticPr fontId="2" type="noConversion"/>
  </si>
  <si>
    <t>H-BOTTOM</t>
    <phoneticPr fontId="2" type="noConversion"/>
  </si>
  <si>
    <t>30P(4POST)</t>
    <phoneticPr fontId="2" type="noConversion"/>
  </si>
  <si>
    <t>PIN BLOCK(5.1mm)</t>
    <phoneticPr fontId="2" type="noConversion"/>
  </si>
  <si>
    <t>JTN</t>
    <phoneticPr fontId="2" type="noConversion"/>
  </si>
  <si>
    <t>SAMPLE 진행 사항(29일)</t>
    <phoneticPr fontId="2" type="noConversion"/>
  </si>
  <si>
    <t>AMB20E4A-KAA-R8</t>
    <phoneticPr fontId="2" type="noConversion"/>
  </si>
  <si>
    <t>금형 수리 내역(29일)</t>
    <phoneticPr fontId="2" type="noConversion"/>
  </si>
  <si>
    <t>설비 점검 내역(29일)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</si>
</sst>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52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8" fillId="29" borderId="8" xfId="2" applyFont="1" applyFill="1" applyBorder="1" applyAlignment="1">
      <alignment horizontal="center" vertical="center"/>
    </xf>
    <xf numFmtId="0" fontId="7" fillId="29" borderId="53" xfId="0" applyFont="1" applyFill="1" applyBorder="1" applyAlignment="1">
      <alignment horizontal="center" vertical="center"/>
    </xf>
    <xf numFmtId="9" fontId="7" fillId="29" borderId="38" xfId="8" applyFont="1" applyFill="1" applyBorder="1" applyAlignment="1">
      <alignment horizontal="center" vertical="center"/>
    </xf>
    <xf numFmtId="9" fontId="7" fillId="29" borderId="24" xfId="8" applyFont="1" applyFill="1" applyBorder="1" applyAlignment="1">
      <alignment horizontal="center" vertical="center"/>
    </xf>
    <xf numFmtId="9" fontId="7" fillId="29" borderId="33" xfId="8" applyFont="1" applyFill="1" applyBorder="1" applyAlignment="1">
      <alignment horizontal="center" vertical="center"/>
    </xf>
    <xf numFmtId="9" fontId="7" fillId="29" borderId="31" xfId="8" applyFont="1" applyFill="1" applyBorder="1" applyAlignment="1">
      <alignment horizontal="center" vertical="center"/>
    </xf>
    <xf numFmtId="9" fontId="7" fillId="29" borderId="53" xfId="8" applyFont="1" applyFill="1" applyBorder="1" applyAlignment="1">
      <alignment horizontal="center" vertical="center"/>
    </xf>
    <xf numFmtId="9" fontId="7" fillId="29" borderId="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6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7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8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10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10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1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1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1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LATCH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'01'!$L$6:$L$22</c:f>
              <c:numCache>
                <c:formatCode>_(* #,##0_);_(* \(#,##0\);_(* "-"_);_(@_)</c:formatCode>
                <c:ptCount val="17"/>
                <c:pt idx="1">
                  <c:v>5880</c:v>
                </c:pt>
                <c:pt idx="2">
                  <c:v>2672</c:v>
                </c:pt>
                <c:pt idx="3">
                  <c:v>4752</c:v>
                </c:pt>
                <c:pt idx="4">
                  <c:v>3380</c:v>
                </c:pt>
                <c:pt idx="5">
                  <c:v>3458</c:v>
                </c:pt>
                <c:pt idx="6">
                  <c:v>5715</c:v>
                </c:pt>
                <c:pt idx="7">
                  <c:v>4634</c:v>
                </c:pt>
                <c:pt idx="8">
                  <c:v>4109</c:v>
                </c:pt>
                <c:pt idx="11">
                  <c:v>19102</c:v>
                </c:pt>
                <c:pt idx="12">
                  <c:v>11892</c:v>
                </c:pt>
                <c:pt idx="13">
                  <c:v>5368</c:v>
                </c:pt>
                <c:pt idx="14">
                  <c:v>5680</c:v>
                </c:pt>
                <c:pt idx="15">
                  <c:v>5643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1-4E86-BE81-9D9B8D9FECD2}"/>
            </c:ext>
          </c:extLst>
        </c:ser>
        <c:ser>
          <c:idx val="1"/>
          <c:order val="1"/>
          <c:tx>
            <c:v>계획</c:v>
          </c:tx>
          <c:cat>
            <c:strRef>
              <c:f>'01'!$D$6:$D$22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LATCH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5880</c:v>
                </c:pt>
                <c:pt idx="2">
                  <c:v>2672</c:v>
                </c:pt>
                <c:pt idx="3">
                  <c:v>4752</c:v>
                </c:pt>
                <c:pt idx="4">
                  <c:v>3380</c:v>
                </c:pt>
                <c:pt idx="5">
                  <c:v>3458</c:v>
                </c:pt>
                <c:pt idx="6">
                  <c:v>5715</c:v>
                </c:pt>
                <c:pt idx="7">
                  <c:v>4634</c:v>
                </c:pt>
                <c:pt idx="8">
                  <c:v>4109</c:v>
                </c:pt>
                <c:pt idx="9">
                  <c:v>926</c:v>
                </c:pt>
                <c:pt idx="10">
                  <c:v>1015</c:v>
                </c:pt>
                <c:pt idx="11">
                  <c:v>19102</c:v>
                </c:pt>
                <c:pt idx="12">
                  <c:v>11892</c:v>
                </c:pt>
                <c:pt idx="13">
                  <c:v>5368</c:v>
                </c:pt>
                <c:pt idx="14">
                  <c:v>5680</c:v>
                </c:pt>
                <c:pt idx="15">
                  <c:v>5643</c:v>
                </c:pt>
                <c:pt idx="16">
                  <c:v>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11-4E86-BE81-9D9B8D9F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58%</c:v>
                </c:pt>
                <c:pt idx="3">
                  <c:v>92%</c:v>
                </c:pt>
                <c:pt idx="4">
                  <c:v>17%</c:v>
                </c:pt>
                <c:pt idx="5">
                  <c:v>75%</c:v>
                </c:pt>
                <c:pt idx="6">
                  <c:v>100%</c:v>
                </c:pt>
                <c:pt idx="7">
                  <c:v>88%</c:v>
                </c:pt>
                <c:pt idx="8">
                  <c:v>83%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LATCH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0.58333333333333337</c:v>
                </c:pt>
                <c:pt idx="3">
                  <c:v>0.91666666666666663</c:v>
                </c:pt>
                <c:pt idx="4">
                  <c:v>0.16666666666666666</c:v>
                </c:pt>
                <c:pt idx="5">
                  <c:v>0.75</c:v>
                </c:pt>
                <c:pt idx="6">
                  <c:v>1</c:v>
                </c:pt>
                <c:pt idx="7">
                  <c:v>0.875</c:v>
                </c:pt>
                <c:pt idx="8">
                  <c:v>0.83333333333333337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8-402E-AFF4-6553F8C8887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8-402E-AFF4-6553F8C888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LATCH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'01'!$AE$6:$AE$22</c:f>
              <c:numCache>
                <c:formatCode>0%</c:formatCode>
                <c:ptCount val="17"/>
                <c:pt idx="0">
                  <c:v>0.65441176470588236</c:v>
                </c:pt>
                <c:pt idx="1">
                  <c:v>0.65441176470588236</c:v>
                </c:pt>
                <c:pt idx="2">
                  <c:v>0.65441176470588236</c:v>
                </c:pt>
                <c:pt idx="3">
                  <c:v>0.65441176470588236</c:v>
                </c:pt>
                <c:pt idx="4">
                  <c:v>0.65441176470588236</c:v>
                </c:pt>
                <c:pt idx="5">
                  <c:v>0.65441176470588236</c:v>
                </c:pt>
                <c:pt idx="6">
                  <c:v>0.65441176470588236</c:v>
                </c:pt>
                <c:pt idx="7">
                  <c:v>0.65441176470588236</c:v>
                </c:pt>
                <c:pt idx="8">
                  <c:v>0.65441176470588236</c:v>
                </c:pt>
                <c:pt idx="9">
                  <c:v>0.65441176470588236</c:v>
                </c:pt>
                <c:pt idx="10">
                  <c:v>0.65441176470588236</c:v>
                </c:pt>
                <c:pt idx="11">
                  <c:v>0.65441176470588236</c:v>
                </c:pt>
                <c:pt idx="12">
                  <c:v>0.65441176470588236</c:v>
                </c:pt>
                <c:pt idx="13">
                  <c:v>0.65441176470588236</c:v>
                </c:pt>
                <c:pt idx="14">
                  <c:v>0.65441176470588236</c:v>
                </c:pt>
                <c:pt idx="15">
                  <c:v>0.65441176470588236</c:v>
                </c:pt>
                <c:pt idx="16">
                  <c:v>0.65441176470588236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D8-402E-AFF4-6553F8C8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LATCH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'01'!$L$6:$L$22</c:f>
              <c:numCache>
                <c:formatCode>_(* #,##0_);_(* \(#,##0\);_(* "-"_);_(@_)</c:formatCode>
                <c:ptCount val="17"/>
                <c:pt idx="1">
                  <c:v>5880</c:v>
                </c:pt>
                <c:pt idx="2">
                  <c:v>2672</c:v>
                </c:pt>
                <c:pt idx="3">
                  <c:v>4752</c:v>
                </c:pt>
                <c:pt idx="4">
                  <c:v>3380</c:v>
                </c:pt>
                <c:pt idx="5">
                  <c:v>3458</c:v>
                </c:pt>
                <c:pt idx="6">
                  <c:v>5715</c:v>
                </c:pt>
                <c:pt idx="7">
                  <c:v>4634</c:v>
                </c:pt>
                <c:pt idx="8">
                  <c:v>4109</c:v>
                </c:pt>
                <c:pt idx="11">
                  <c:v>19102</c:v>
                </c:pt>
                <c:pt idx="12">
                  <c:v>11892</c:v>
                </c:pt>
                <c:pt idx="13">
                  <c:v>5368</c:v>
                </c:pt>
                <c:pt idx="14">
                  <c:v>5680</c:v>
                </c:pt>
                <c:pt idx="15">
                  <c:v>5643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94-41C4-9D0C-295FEF3A2252}"/>
            </c:ext>
          </c:extLst>
        </c:ser>
        <c:ser>
          <c:idx val="1"/>
          <c:order val="1"/>
          <c:tx>
            <c:v>계획</c:v>
          </c:tx>
          <c:cat>
            <c:strRef>
              <c:f>'01'!$D$6:$D$22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LATCH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5880</c:v>
                </c:pt>
                <c:pt idx="2">
                  <c:v>2672</c:v>
                </c:pt>
                <c:pt idx="3">
                  <c:v>4752</c:v>
                </c:pt>
                <c:pt idx="4">
                  <c:v>3380</c:v>
                </c:pt>
                <c:pt idx="5">
                  <c:v>3458</c:v>
                </c:pt>
                <c:pt idx="6">
                  <c:v>5715</c:v>
                </c:pt>
                <c:pt idx="7">
                  <c:v>4634</c:v>
                </c:pt>
                <c:pt idx="8">
                  <c:v>4109</c:v>
                </c:pt>
                <c:pt idx="9">
                  <c:v>926</c:v>
                </c:pt>
                <c:pt idx="10">
                  <c:v>1015</c:v>
                </c:pt>
                <c:pt idx="11">
                  <c:v>19102</c:v>
                </c:pt>
                <c:pt idx="12">
                  <c:v>11892</c:v>
                </c:pt>
                <c:pt idx="13">
                  <c:v>5368</c:v>
                </c:pt>
                <c:pt idx="14">
                  <c:v>5680</c:v>
                </c:pt>
                <c:pt idx="15">
                  <c:v>5643</c:v>
                </c:pt>
                <c:pt idx="16">
                  <c:v>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94-41C4-9D0C-295FEF3A2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58%</c:v>
                </c:pt>
                <c:pt idx="3">
                  <c:v>92%</c:v>
                </c:pt>
                <c:pt idx="4">
                  <c:v>17%</c:v>
                </c:pt>
                <c:pt idx="5">
                  <c:v>75%</c:v>
                </c:pt>
                <c:pt idx="6">
                  <c:v>100%</c:v>
                </c:pt>
                <c:pt idx="7">
                  <c:v>88%</c:v>
                </c:pt>
                <c:pt idx="8">
                  <c:v>83%</c:v>
                </c:pt>
                <c:pt idx="9">
                  <c:v>0%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LATCH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0.58333333333333337</c:v>
                </c:pt>
                <c:pt idx="3">
                  <c:v>0.91666666666666663</c:v>
                </c:pt>
                <c:pt idx="4">
                  <c:v>0.16666666666666666</c:v>
                </c:pt>
                <c:pt idx="5">
                  <c:v>0.75</c:v>
                </c:pt>
                <c:pt idx="6">
                  <c:v>1</c:v>
                </c:pt>
                <c:pt idx="7">
                  <c:v>0.875</c:v>
                </c:pt>
                <c:pt idx="8">
                  <c:v>0.83333333333333337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C-4E4E-8000-07E33BECE78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BC-4E4E-8000-07E33BECE78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CAM</c:v>
                </c:pt>
                <c:pt idx="5">
                  <c:v>LATCH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LATCH</c:v>
                </c:pt>
                <c:pt idx="12">
                  <c:v>LATCH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'01'!$AE$6:$AE$22</c:f>
              <c:numCache>
                <c:formatCode>0%</c:formatCode>
                <c:ptCount val="17"/>
                <c:pt idx="0">
                  <c:v>0.65441176470588236</c:v>
                </c:pt>
                <c:pt idx="1">
                  <c:v>0.65441176470588236</c:v>
                </c:pt>
                <c:pt idx="2">
                  <c:v>0.65441176470588236</c:v>
                </c:pt>
                <c:pt idx="3">
                  <c:v>0.65441176470588236</c:v>
                </c:pt>
                <c:pt idx="4">
                  <c:v>0.65441176470588236</c:v>
                </c:pt>
                <c:pt idx="5">
                  <c:v>0.65441176470588236</c:v>
                </c:pt>
                <c:pt idx="6">
                  <c:v>0.65441176470588236</c:v>
                </c:pt>
                <c:pt idx="7">
                  <c:v>0.65441176470588236</c:v>
                </c:pt>
                <c:pt idx="8">
                  <c:v>0.65441176470588236</c:v>
                </c:pt>
                <c:pt idx="9">
                  <c:v>0.65441176470588236</c:v>
                </c:pt>
                <c:pt idx="10">
                  <c:v>0.65441176470588236</c:v>
                </c:pt>
                <c:pt idx="11">
                  <c:v>0.65441176470588236</c:v>
                </c:pt>
                <c:pt idx="12">
                  <c:v>0.65441176470588236</c:v>
                </c:pt>
                <c:pt idx="13">
                  <c:v>0.65441176470588236</c:v>
                </c:pt>
                <c:pt idx="14">
                  <c:v>0.65441176470588236</c:v>
                </c:pt>
                <c:pt idx="15">
                  <c:v>0.65441176470588236</c:v>
                </c:pt>
                <c:pt idx="16">
                  <c:v>0.65441176470588236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BC-4E4E-8000-07E33BECE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A66-43CF-85B7-64195A0971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6-43CF-85B7-64195A09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A66-43CF-85B7-64195A0971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6-43CF-85B7-64195A09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LATCH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1">
                  <c:v>2696</c:v>
                </c:pt>
                <c:pt idx="2">
                  <c:v>918</c:v>
                </c:pt>
                <c:pt idx="3">
                  <c:v>2389</c:v>
                </c:pt>
                <c:pt idx="4">
                  <c:v>1630</c:v>
                </c:pt>
                <c:pt idx="5">
                  <c:v>2598</c:v>
                </c:pt>
                <c:pt idx="6">
                  <c:v>2453</c:v>
                </c:pt>
                <c:pt idx="7">
                  <c:v>1908</c:v>
                </c:pt>
                <c:pt idx="10">
                  <c:v>8016</c:v>
                </c:pt>
                <c:pt idx="11">
                  <c:v>2536</c:v>
                </c:pt>
                <c:pt idx="12">
                  <c:v>2414</c:v>
                </c:pt>
                <c:pt idx="13">
                  <c:v>2619</c:v>
                </c:pt>
                <c:pt idx="14">
                  <c:v>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C-4B96-83D5-C904B2FFF6F6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LATCH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2696</c:v>
                </c:pt>
                <c:pt idx="2">
                  <c:v>918</c:v>
                </c:pt>
                <c:pt idx="3">
                  <c:v>2389</c:v>
                </c:pt>
                <c:pt idx="4">
                  <c:v>1630</c:v>
                </c:pt>
                <c:pt idx="5">
                  <c:v>2598</c:v>
                </c:pt>
                <c:pt idx="6">
                  <c:v>2453</c:v>
                </c:pt>
                <c:pt idx="7">
                  <c:v>1908</c:v>
                </c:pt>
                <c:pt idx="8">
                  <c:v>926</c:v>
                </c:pt>
                <c:pt idx="9">
                  <c:v>1015</c:v>
                </c:pt>
                <c:pt idx="10">
                  <c:v>8016</c:v>
                </c:pt>
                <c:pt idx="11">
                  <c:v>2536</c:v>
                </c:pt>
                <c:pt idx="12">
                  <c:v>2414</c:v>
                </c:pt>
                <c:pt idx="13">
                  <c:v>2619</c:v>
                </c:pt>
                <c:pt idx="14">
                  <c:v>1830</c:v>
                </c:pt>
                <c:pt idx="15">
                  <c:v>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C-4B96-83D5-C904B2FFF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46%</c:v>
                </c:pt>
                <c:pt idx="2">
                  <c:v>29%</c:v>
                </c:pt>
                <c:pt idx="3">
                  <c:v>46%</c:v>
                </c:pt>
                <c:pt idx="4">
                  <c:v>42%</c:v>
                </c:pt>
                <c:pt idx="5">
                  <c:v>46%</c:v>
                </c:pt>
                <c:pt idx="6">
                  <c:v>46%</c:v>
                </c:pt>
                <c:pt idx="7">
                  <c:v>38%</c:v>
                </c:pt>
                <c:pt idx="8">
                  <c:v>0%</c:v>
                </c:pt>
                <c:pt idx="9">
                  <c:v>0%</c:v>
                </c:pt>
                <c:pt idx="10">
                  <c:v>46%</c:v>
                </c:pt>
                <c:pt idx="11">
                  <c:v>25%</c:v>
                </c:pt>
                <c:pt idx="12">
                  <c:v>46%</c:v>
                </c:pt>
                <c:pt idx="13">
                  <c:v>46%</c:v>
                </c:pt>
                <c:pt idx="14">
                  <c:v>38%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LATCH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0.45833333333333331</c:v>
                </c:pt>
                <c:pt idx="2">
                  <c:v>0.29166666666666669</c:v>
                </c:pt>
                <c:pt idx="3">
                  <c:v>0.45833333333333331</c:v>
                </c:pt>
                <c:pt idx="4">
                  <c:v>0.41666666666666669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0.375</c:v>
                </c:pt>
                <c:pt idx="8">
                  <c:v>0</c:v>
                </c:pt>
                <c:pt idx="9">
                  <c:v>0</c:v>
                </c:pt>
                <c:pt idx="10">
                  <c:v>0.45833333333333331</c:v>
                </c:pt>
                <c:pt idx="11">
                  <c:v>0.25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0.375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4E-4147-966B-20FD95332AB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4E-4147-966B-20FD95332AB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LATCH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0.30729166666666669</c:v>
                </c:pt>
                <c:pt idx="1">
                  <c:v>0.30729166666666669</c:v>
                </c:pt>
                <c:pt idx="2">
                  <c:v>0.30729166666666669</c:v>
                </c:pt>
                <c:pt idx="3">
                  <c:v>0.30729166666666669</c:v>
                </c:pt>
                <c:pt idx="4">
                  <c:v>0.30729166666666669</c:v>
                </c:pt>
                <c:pt idx="5">
                  <c:v>0.30729166666666669</c:v>
                </c:pt>
                <c:pt idx="6">
                  <c:v>0.30729166666666669</c:v>
                </c:pt>
                <c:pt idx="7">
                  <c:v>0.30729166666666669</c:v>
                </c:pt>
                <c:pt idx="8">
                  <c:v>0.30729166666666669</c:v>
                </c:pt>
                <c:pt idx="9">
                  <c:v>0.30729166666666669</c:v>
                </c:pt>
                <c:pt idx="10">
                  <c:v>0.30729166666666669</c:v>
                </c:pt>
                <c:pt idx="11">
                  <c:v>0.30729166666666669</c:v>
                </c:pt>
                <c:pt idx="12">
                  <c:v>0.30729166666666669</c:v>
                </c:pt>
                <c:pt idx="13">
                  <c:v>0.30729166666666669</c:v>
                </c:pt>
                <c:pt idx="14">
                  <c:v>0.30729166666666669</c:v>
                </c:pt>
                <c:pt idx="15">
                  <c:v>0.30729166666666669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4E-4147-966B-20FD95332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LATCH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1">
                  <c:v>2696</c:v>
                </c:pt>
                <c:pt idx="2">
                  <c:v>918</c:v>
                </c:pt>
                <c:pt idx="3">
                  <c:v>2389</c:v>
                </c:pt>
                <c:pt idx="4">
                  <c:v>1630</c:v>
                </c:pt>
                <c:pt idx="5">
                  <c:v>2598</c:v>
                </c:pt>
                <c:pt idx="6">
                  <c:v>2453</c:v>
                </c:pt>
                <c:pt idx="7">
                  <c:v>1908</c:v>
                </c:pt>
                <c:pt idx="10">
                  <c:v>8016</c:v>
                </c:pt>
                <c:pt idx="11">
                  <c:v>2536</c:v>
                </c:pt>
                <c:pt idx="12">
                  <c:v>2414</c:v>
                </c:pt>
                <c:pt idx="13">
                  <c:v>2619</c:v>
                </c:pt>
                <c:pt idx="14">
                  <c:v>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E-4DDF-9450-F6C1467AC77F}"/>
            </c:ext>
          </c:extLst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LATCH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2696</c:v>
                </c:pt>
                <c:pt idx="2">
                  <c:v>918</c:v>
                </c:pt>
                <c:pt idx="3">
                  <c:v>2389</c:v>
                </c:pt>
                <c:pt idx="4">
                  <c:v>1630</c:v>
                </c:pt>
                <c:pt idx="5">
                  <c:v>2598</c:v>
                </c:pt>
                <c:pt idx="6">
                  <c:v>2453</c:v>
                </c:pt>
                <c:pt idx="7">
                  <c:v>1908</c:v>
                </c:pt>
                <c:pt idx="8">
                  <c:v>926</c:v>
                </c:pt>
                <c:pt idx="9">
                  <c:v>1015</c:v>
                </c:pt>
                <c:pt idx="10">
                  <c:v>8016</c:v>
                </c:pt>
                <c:pt idx="11">
                  <c:v>2536</c:v>
                </c:pt>
                <c:pt idx="12">
                  <c:v>2414</c:v>
                </c:pt>
                <c:pt idx="13">
                  <c:v>2619</c:v>
                </c:pt>
                <c:pt idx="14">
                  <c:v>1830</c:v>
                </c:pt>
                <c:pt idx="15">
                  <c:v>69704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8E-4DDF-9450-F6C1467AC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6"/>
                <c:pt idx="0">
                  <c:v>0%</c:v>
                </c:pt>
                <c:pt idx="1">
                  <c:v>46%</c:v>
                </c:pt>
                <c:pt idx="2">
                  <c:v>29%</c:v>
                </c:pt>
                <c:pt idx="3">
                  <c:v>46%</c:v>
                </c:pt>
                <c:pt idx="4">
                  <c:v>42%</c:v>
                </c:pt>
                <c:pt idx="5">
                  <c:v>46%</c:v>
                </c:pt>
                <c:pt idx="6">
                  <c:v>46%</c:v>
                </c:pt>
                <c:pt idx="7">
                  <c:v>38%</c:v>
                </c:pt>
                <c:pt idx="8">
                  <c:v>0%</c:v>
                </c:pt>
                <c:pt idx="9">
                  <c:v>0%</c:v>
                </c:pt>
                <c:pt idx="10">
                  <c:v>46%</c:v>
                </c:pt>
                <c:pt idx="11">
                  <c:v>25%</c:v>
                </c:pt>
                <c:pt idx="12">
                  <c:v>46%</c:v>
                </c:pt>
                <c:pt idx="13">
                  <c:v>46%</c:v>
                </c:pt>
                <c:pt idx="14">
                  <c:v>38%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LATCH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0.45833333333333331</c:v>
                </c:pt>
                <c:pt idx="2">
                  <c:v>0.29166666666666669</c:v>
                </c:pt>
                <c:pt idx="3">
                  <c:v>0.45833333333333331</c:v>
                </c:pt>
                <c:pt idx="4">
                  <c:v>0.41666666666666669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0.375</c:v>
                </c:pt>
                <c:pt idx="8">
                  <c:v>0</c:v>
                </c:pt>
                <c:pt idx="9">
                  <c:v>0</c:v>
                </c:pt>
                <c:pt idx="10">
                  <c:v>0.45833333333333331</c:v>
                </c:pt>
                <c:pt idx="11">
                  <c:v>0.25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0.375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6-48A6-9BD2-082836BFACE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936-48A6-9BD2-082836BFACE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'02'!$D$6:$D$21</c:f>
              <c:strCache>
                <c:ptCount val="15"/>
                <c:pt idx="0">
                  <c:v>F/A</c:v>
                </c:pt>
                <c:pt idx="1">
                  <c:v>BASE</c:v>
                </c:pt>
                <c:pt idx="2">
                  <c:v>BASE</c:v>
                </c:pt>
                <c:pt idx="3">
                  <c:v>STOPPPER</c:v>
                </c:pt>
                <c:pt idx="4">
                  <c:v>LATCH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LATCH</c:v>
                </c:pt>
                <c:pt idx="11">
                  <c:v>LATCH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0.30729166666666669</c:v>
                </c:pt>
                <c:pt idx="1">
                  <c:v>0.30729166666666669</c:v>
                </c:pt>
                <c:pt idx="2">
                  <c:v>0.30729166666666669</c:v>
                </c:pt>
                <c:pt idx="3">
                  <c:v>0.30729166666666669</c:v>
                </c:pt>
                <c:pt idx="4">
                  <c:v>0.30729166666666669</c:v>
                </c:pt>
                <c:pt idx="5">
                  <c:v>0.30729166666666669</c:v>
                </c:pt>
                <c:pt idx="6">
                  <c:v>0.30729166666666669</c:v>
                </c:pt>
                <c:pt idx="7">
                  <c:v>0.30729166666666669</c:v>
                </c:pt>
                <c:pt idx="8">
                  <c:v>0.30729166666666669</c:v>
                </c:pt>
                <c:pt idx="9">
                  <c:v>0.30729166666666669</c:v>
                </c:pt>
                <c:pt idx="10">
                  <c:v>0.30729166666666669</c:v>
                </c:pt>
                <c:pt idx="11">
                  <c:v>0.30729166666666669</c:v>
                </c:pt>
                <c:pt idx="12">
                  <c:v>0.30729166666666669</c:v>
                </c:pt>
                <c:pt idx="13">
                  <c:v>0.30729166666666669</c:v>
                </c:pt>
                <c:pt idx="14">
                  <c:v>0.30729166666666669</c:v>
                </c:pt>
                <c:pt idx="15">
                  <c:v>0.30729166666666669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36-48A6-9BD2-082836BFA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0CC-41BE-85A4-F8CF3278C7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C-41BE-85A4-F8CF3278C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0CC-41BE-85A4-F8CF3278C73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CC-41BE-85A4-F8CF3278C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'04'!$D$6:$D$24</c:f>
              <c:strCache>
                <c:ptCount val="18"/>
                <c:pt idx="0">
                  <c:v>F/A</c:v>
                </c:pt>
                <c:pt idx="1">
                  <c:v>BASE</c:v>
                </c:pt>
                <c:pt idx="2">
                  <c:v>F/A</c:v>
                </c:pt>
                <c:pt idx="3">
                  <c:v>BASE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BASE</c:v>
                </c:pt>
                <c:pt idx="12">
                  <c:v>LATCH PLATE</c:v>
                </c:pt>
                <c:pt idx="13">
                  <c:v>LATCH</c:v>
                </c:pt>
                <c:pt idx="14">
                  <c:v>FLOATING</c:v>
                </c:pt>
                <c:pt idx="15">
                  <c:v>BASE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'04'!$L$6:$L$24</c:f>
              <c:numCache>
                <c:formatCode>_(* #,##0_);_(* \(#,##0\);_(* "-"_);_(@_)</c:formatCode>
                <c:ptCount val="19"/>
                <c:pt idx="1">
                  <c:v>1461</c:v>
                </c:pt>
                <c:pt idx="2">
                  <c:v>130</c:v>
                </c:pt>
                <c:pt idx="3">
                  <c:v>2251</c:v>
                </c:pt>
                <c:pt idx="4">
                  <c:v>5076</c:v>
                </c:pt>
                <c:pt idx="5">
                  <c:v>11988</c:v>
                </c:pt>
                <c:pt idx="6">
                  <c:v>5455</c:v>
                </c:pt>
                <c:pt idx="7">
                  <c:v>5366</c:v>
                </c:pt>
                <c:pt idx="8">
                  <c:v>5229</c:v>
                </c:pt>
                <c:pt idx="11">
                  <c:v>480</c:v>
                </c:pt>
                <c:pt idx="12">
                  <c:v>260</c:v>
                </c:pt>
                <c:pt idx="13">
                  <c:v>4546</c:v>
                </c:pt>
                <c:pt idx="14">
                  <c:v>3414</c:v>
                </c:pt>
                <c:pt idx="15">
                  <c:v>5327</c:v>
                </c:pt>
                <c:pt idx="16">
                  <c:v>4631</c:v>
                </c:pt>
                <c:pt idx="17">
                  <c:v>5368</c:v>
                </c:pt>
                <c:pt idx="18">
                  <c:v>63720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A-4897-9ED9-9995B278B7DF}"/>
            </c:ext>
          </c:extLst>
        </c:ser>
        <c:ser>
          <c:idx val="1"/>
          <c:order val="1"/>
          <c:tx>
            <c:v>계획</c:v>
          </c:tx>
          <c:cat>
            <c:strRef>
              <c:f>'04'!$D$6:$D$24</c:f>
              <c:strCache>
                <c:ptCount val="18"/>
                <c:pt idx="0">
                  <c:v>F/A</c:v>
                </c:pt>
                <c:pt idx="1">
                  <c:v>BASE</c:v>
                </c:pt>
                <c:pt idx="2">
                  <c:v>F/A</c:v>
                </c:pt>
                <c:pt idx="3">
                  <c:v>BASE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BASE</c:v>
                </c:pt>
                <c:pt idx="12">
                  <c:v>LATCH PLATE</c:v>
                </c:pt>
                <c:pt idx="13">
                  <c:v>LATCH</c:v>
                </c:pt>
                <c:pt idx="14">
                  <c:v>FLOATING</c:v>
                </c:pt>
                <c:pt idx="15">
                  <c:v>BASE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'04'!$J$6:$J$24</c:f>
              <c:numCache>
                <c:formatCode>_(* #,##0_);_(* \(#,##0\);_(* "-"_);_(@_)</c:formatCode>
                <c:ptCount val="19"/>
                <c:pt idx="0">
                  <c:v>3401</c:v>
                </c:pt>
                <c:pt idx="1">
                  <c:v>1461</c:v>
                </c:pt>
                <c:pt idx="2">
                  <c:v>130</c:v>
                </c:pt>
                <c:pt idx="3">
                  <c:v>2251</c:v>
                </c:pt>
                <c:pt idx="4">
                  <c:v>5076</c:v>
                </c:pt>
                <c:pt idx="5">
                  <c:v>11988</c:v>
                </c:pt>
                <c:pt idx="6">
                  <c:v>5455</c:v>
                </c:pt>
                <c:pt idx="7">
                  <c:v>5366</c:v>
                </c:pt>
                <c:pt idx="8">
                  <c:v>5229</c:v>
                </c:pt>
                <c:pt idx="9">
                  <c:v>926</c:v>
                </c:pt>
                <c:pt idx="10">
                  <c:v>1015</c:v>
                </c:pt>
                <c:pt idx="11">
                  <c:v>480</c:v>
                </c:pt>
                <c:pt idx="12">
                  <c:v>260</c:v>
                </c:pt>
                <c:pt idx="13">
                  <c:v>4546</c:v>
                </c:pt>
                <c:pt idx="14">
                  <c:v>3414</c:v>
                </c:pt>
                <c:pt idx="15">
                  <c:v>5327</c:v>
                </c:pt>
                <c:pt idx="16">
                  <c:v>4631</c:v>
                </c:pt>
                <c:pt idx="17">
                  <c:v>5368</c:v>
                </c:pt>
                <c:pt idx="18">
                  <c:v>63720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3A-4897-9ED9-9995B278B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'04'!$AD$6:$AD$24</c:f>
              <c:strCache>
                <c:ptCount val="19"/>
                <c:pt idx="0">
                  <c:v>0%</c:v>
                </c:pt>
                <c:pt idx="1">
                  <c:v>25%</c:v>
                </c:pt>
                <c:pt idx="2">
                  <c:v>8%</c:v>
                </c:pt>
                <c:pt idx="3">
                  <c:v>42%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92%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8%</c:v>
                </c:pt>
                <c:pt idx="13">
                  <c:v>29%</c:v>
                </c:pt>
                <c:pt idx="14">
                  <c:v>63%</c:v>
                </c:pt>
                <c:pt idx="15">
                  <c:v>100%</c:v>
                </c:pt>
                <c:pt idx="16">
                  <c:v>88%</c:v>
                </c:pt>
                <c:pt idx="17">
                  <c:v>100%</c:v>
                </c:pt>
                <c:pt idx="18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'04'!$D$6:$D$24</c:f>
              <c:strCache>
                <c:ptCount val="18"/>
                <c:pt idx="0">
                  <c:v>F/A</c:v>
                </c:pt>
                <c:pt idx="1">
                  <c:v>BASE</c:v>
                </c:pt>
                <c:pt idx="2">
                  <c:v>F/A</c:v>
                </c:pt>
                <c:pt idx="3">
                  <c:v>BASE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BASE</c:v>
                </c:pt>
                <c:pt idx="12">
                  <c:v>LATCH PLATE</c:v>
                </c:pt>
                <c:pt idx="13">
                  <c:v>LATCH</c:v>
                </c:pt>
                <c:pt idx="14">
                  <c:v>FLOATING</c:v>
                </c:pt>
                <c:pt idx="15">
                  <c:v>BASE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'04'!$AD$6:$AD$24</c:f>
              <c:numCache>
                <c:formatCode>0%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8.3333333333333329E-2</c:v>
                </c:pt>
                <c:pt idx="3">
                  <c:v>0.41666666666666669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8.3333333333333329E-2</c:v>
                </c:pt>
                <c:pt idx="13">
                  <c:v>0.29166666666666669</c:v>
                </c:pt>
                <c:pt idx="14">
                  <c:v>0.625</c:v>
                </c:pt>
                <c:pt idx="15">
                  <c:v>1</c:v>
                </c:pt>
                <c:pt idx="16">
                  <c:v>0.875</c:v>
                </c:pt>
                <c:pt idx="17">
                  <c:v>1</c:v>
                </c:pt>
                <c:pt idx="18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3-44E3-9FFA-5BDE338B0EF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E3-44E3-9FFA-5BDE338B0EF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'04'!$D$6:$D$24</c:f>
              <c:strCache>
                <c:ptCount val="18"/>
                <c:pt idx="0">
                  <c:v>F/A</c:v>
                </c:pt>
                <c:pt idx="1">
                  <c:v>BASE</c:v>
                </c:pt>
                <c:pt idx="2">
                  <c:v>F/A</c:v>
                </c:pt>
                <c:pt idx="3">
                  <c:v>BASE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BASE</c:v>
                </c:pt>
                <c:pt idx="12">
                  <c:v>LATCH PLATE</c:v>
                </c:pt>
                <c:pt idx="13">
                  <c:v>LATCH</c:v>
                </c:pt>
                <c:pt idx="14">
                  <c:v>FLOATING</c:v>
                </c:pt>
                <c:pt idx="15">
                  <c:v>BASE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'04'!$AE$6:$AE$24</c:f>
              <c:numCache>
                <c:formatCode>0%</c:formatCode>
                <c:ptCount val="19"/>
                <c:pt idx="0">
                  <c:v>0.55921052631578949</c:v>
                </c:pt>
                <c:pt idx="1">
                  <c:v>0.55921052631578949</c:v>
                </c:pt>
                <c:pt idx="2">
                  <c:v>0.55921052631578949</c:v>
                </c:pt>
                <c:pt idx="3">
                  <c:v>0.55921052631578949</c:v>
                </c:pt>
                <c:pt idx="4">
                  <c:v>0.55921052631578949</c:v>
                </c:pt>
                <c:pt idx="5">
                  <c:v>0.55921052631578949</c:v>
                </c:pt>
                <c:pt idx="6">
                  <c:v>0.55921052631578949</c:v>
                </c:pt>
                <c:pt idx="7">
                  <c:v>0.55921052631578949</c:v>
                </c:pt>
                <c:pt idx="8">
                  <c:v>0.55921052631578949</c:v>
                </c:pt>
                <c:pt idx="9">
                  <c:v>0.55921052631578949</c:v>
                </c:pt>
                <c:pt idx="10">
                  <c:v>0.55921052631578949</c:v>
                </c:pt>
                <c:pt idx="11">
                  <c:v>0.55921052631578949</c:v>
                </c:pt>
                <c:pt idx="12">
                  <c:v>0.55921052631578949</c:v>
                </c:pt>
                <c:pt idx="13">
                  <c:v>0.55921052631578949</c:v>
                </c:pt>
                <c:pt idx="14">
                  <c:v>0.55921052631578949</c:v>
                </c:pt>
                <c:pt idx="15">
                  <c:v>0.55921052631578949</c:v>
                </c:pt>
                <c:pt idx="16">
                  <c:v>0.55921052631578949</c:v>
                </c:pt>
                <c:pt idx="17">
                  <c:v>0.55921052631578949</c:v>
                </c:pt>
                <c:pt idx="18">
                  <c:v>0.55921052631578949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E3-44E3-9FFA-5BDE338B0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'04'!$D$6:$D$24</c:f>
              <c:strCache>
                <c:ptCount val="18"/>
                <c:pt idx="0">
                  <c:v>F/A</c:v>
                </c:pt>
                <c:pt idx="1">
                  <c:v>BASE</c:v>
                </c:pt>
                <c:pt idx="2">
                  <c:v>F/A</c:v>
                </c:pt>
                <c:pt idx="3">
                  <c:v>BASE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BASE</c:v>
                </c:pt>
                <c:pt idx="12">
                  <c:v>LATCH PLATE</c:v>
                </c:pt>
                <c:pt idx="13">
                  <c:v>LATCH</c:v>
                </c:pt>
                <c:pt idx="14">
                  <c:v>FLOATING</c:v>
                </c:pt>
                <c:pt idx="15">
                  <c:v>BASE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'04'!$L$6:$L$24</c:f>
              <c:numCache>
                <c:formatCode>_(* #,##0_);_(* \(#,##0\);_(* "-"_);_(@_)</c:formatCode>
                <c:ptCount val="19"/>
                <c:pt idx="1">
                  <c:v>1461</c:v>
                </c:pt>
                <c:pt idx="2">
                  <c:v>130</c:v>
                </c:pt>
                <c:pt idx="3">
                  <c:v>2251</c:v>
                </c:pt>
                <c:pt idx="4">
                  <c:v>5076</c:v>
                </c:pt>
                <c:pt idx="5">
                  <c:v>11988</c:v>
                </c:pt>
                <c:pt idx="6">
                  <c:v>5455</c:v>
                </c:pt>
                <c:pt idx="7">
                  <c:v>5366</c:v>
                </c:pt>
                <c:pt idx="8">
                  <c:v>5229</c:v>
                </c:pt>
                <c:pt idx="11">
                  <c:v>480</c:v>
                </c:pt>
                <c:pt idx="12">
                  <c:v>260</c:v>
                </c:pt>
                <c:pt idx="13">
                  <c:v>4546</c:v>
                </c:pt>
                <c:pt idx="14">
                  <c:v>3414</c:v>
                </c:pt>
                <c:pt idx="15">
                  <c:v>5327</c:v>
                </c:pt>
                <c:pt idx="16">
                  <c:v>4631</c:v>
                </c:pt>
                <c:pt idx="17">
                  <c:v>5368</c:v>
                </c:pt>
                <c:pt idx="18">
                  <c:v>63720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BF-406D-AF5F-ED5243B30D79}"/>
            </c:ext>
          </c:extLst>
        </c:ser>
        <c:ser>
          <c:idx val="1"/>
          <c:order val="1"/>
          <c:tx>
            <c:v>계획</c:v>
          </c:tx>
          <c:cat>
            <c:strRef>
              <c:f>'04'!$D$6:$D$24</c:f>
              <c:strCache>
                <c:ptCount val="18"/>
                <c:pt idx="0">
                  <c:v>F/A</c:v>
                </c:pt>
                <c:pt idx="1">
                  <c:v>BASE</c:v>
                </c:pt>
                <c:pt idx="2">
                  <c:v>F/A</c:v>
                </c:pt>
                <c:pt idx="3">
                  <c:v>BASE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BASE</c:v>
                </c:pt>
                <c:pt idx="12">
                  <c:v>LATCH PLATE</c:v>
                </c:pt>
                <c:pt idx="13">
                  <c:v>LATCH</c:v>
                </c:pt>
                <c:pt idx="14">
                  <c:v>FLOATING</c:v>
                </c:pt>
                <c:pt idx="15">
                  <c:v>BASE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'04'!$J$6:$J$24</c:f>
              <c:numCache>
                <c:formatCode>_(* #,##0_);_(* \(#,##0\);_(* "-"_);_(@_)</c:formatCode>
                <c:ptCount val="19"/>
                <c:pt idx="0">
                  <c:v>3401</c:v>
                </c:pt>
                <c:pt idx="1">
                  <c:v>1461</c:v>
                </c:pt>
                <c:pt idx="2">
                  <c:v>130</c:v>
                </c:pt>
                <c:pt idx="3">
                  <c:v>2251</c:v>
                </c:pt>
                <c:pt idx="4">
                  <c:v>5076</c:v>
                </c:pt>
                <c:pt idx="5">
                  <c:v>11988</c:v>
                </c:pt>
                <c:pt idx="6">
                  <c:v>5455</c:v>
                </c:pt>
                <c:pt idx="7">
                  <c:v>5366</c:v>
                </c:pt>
                <c:pt idx="8">
                  <c:v>5229</c:v>
                </c:pt>
                <c:pt idx="9">
                  <c:v>926</c:v>
                </c:pt>
                <c:pt idx="10">
                  <c:v>1015</c:v>
                </c:pt>
                <c:pt idx="11">
                  <c:v>480</c:v>
                </c:pt>
                <c:pt idx="12">
                  <c:v>260</c:v>
                </c:pt>
                <c:pt idx="13">
                  <c:v>4546</c:v>
                </c:pt>
                <c:pt idx="14">
                  <c:v>3414</c:v>
                </c:pt>
                <c:pt idx="15">
                  <c:v>5327</c:v>
                </c:pt>
                <c:pt idx="16">
                  <c:v>4631</c:v>
                </c:pt>
                <c:pt idx="17">
                  <c:v>5368</c:v>
                </c:pt>
                <c:pt idx="18">
                  <c:v>63720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BF-406D-AF5F-ED5243B30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'04'!$AD$6:$AD$24</c:f>
              <c:strCache>
                <c:ptCount val="19"/>
                <c:pt idx="0">
                  <c:v>0%</c:v>
                </c:pt>
                <c:pt idx="1">
                  <c:v>25%</c:v>
                </c:pt>
                <c:pt idx="2">
                  <c:v>8%</c:v>
                </c:pt>
                <c:pt idx="3">
                  <c:v>42%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100%</c:v>
                </c:pt>
                <c:pt idx="8">
                  <c:v>92%</c:v>
                </c:pt>
                <c:pt idx="9">
                  <c:v>0%</c:v>
                </c:pt>
                <c:pt idx="10">
                  <c:v>0%</c:v>
                </c:pt>
                <c:pt idx="11">
                  <c:v>17%</c:v>
                </c:pt>
                <c:pt idx="12">
                  <c:v>8%</c:v>
                </c:pt>
                <c:pt idx="13">
                  <c:v>29%</c:v>
                </c:pt>
                <c:pt idx="14">
                  <c:v>63%</c:v>
                </c:pt>
                <c:pt idx="15">
                  <c:v>100%</c:v>
                </c:pt>
                <c:pt idx="16">
                  <c:v>88%</c:v>
                </c:pt>
                <c:pt idx="17">
                  <c:v>100%</c:v>
                </c:pt>
                <c:pt idx="18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'04'!$D$6:$D$24</c:f>
              <c:strCache>
                <c:ptCount val="18"/>
                <c:pt idx="0">
                  <c:v>F/A</c:v>
                </c:pt>
                <c:pt idx="1">
                  <c:v>BASE</c:v>
                </c:pt>
                <c:pt idx="2">
                  <c:v>F/A</c:v>
                </c:pt>
                <c:pt idx="3">
                  <c:v>BASE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BASE</c:v>
                </c:pt>
                <c:pt idx="12">
                  <c:v>LATCH PLATE</c:v>
                </c:pt>
                <c:pt idx="13">
                  <c:v>LATCH</c:v>
                </c:pt>
                <c:pt idx="14">
                  <c:v>FLOATING</c:v>
                </c:pt>
                <c:pt idx="15">
                  <c:v>BASE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'04'!$AD$6:$AD$24</c:f>
              <c:numCache>
                <c:formatCode>0%</c:formatCode>
                <c:ptCount val="19"/>
                <c:pt idx="0">
                  <c:v>0</c:v>
                </c:pt>
                <c:pt idx="1">
                  <c:v>0.25</c:v>
                </c:pt>
                <c:pt idx="2">
                  <c:v>8.3333333333333329E-2</c:v>
                </c:pt>
                <c:pt idx="3">
                  <c:v>0.41666666666666669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8.3333333333333329E-2</c:v>
                </c:pt>
                <c:pt idx="13">
                  <c:v>0.29166666666666669</c:v>
                </c:pt>
                <c:pt idx="14">
                  <c:v>0.625</c:v>
                </c:pt>
                <c:pt idx="15">
                  <c:v>1</c:v>
                </c:pt>
                <c:pt idx="16">
                  <c:v>0.875</c:v>
                </c:pt>
                <c:pt idx="17">
                  <c:v>1</c:v>
                </c:pt>
                <c:pt idx="18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B6-4113-B876-5446A1A29C8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B6-4113-B876-5446A1A29C8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'04'!$D$6:$D$24</c:f>
              <c:strCache>
                <c:ptCount val="18"/>
                <c:pt idx="0">
                  <c:v>F/A</c:v>
                </c:pt>
                <c:pt idx="1">
                  <c:v>BASE</c:v>
                </c:pt>
                <c:pt idx="2">
                  <c:v>F/A</c:v>
                </c:pt>
                <c:pt idx="3">
                  <c:v>BASE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BASE</c:v>
                </c:pt>
                <c:pt idx="11">
                  <c:v>BASE</c:v>
                </c:pt>
                <c:pt idx="12">
                  <c:v>LATCH PLATE</c:v>
                </c:pt>
                <c:pt idx="13">
                  <c:v>LATCH</c:v>
                </c:pt>
                <c:pt idx="14">
                  <c:v>FLOATING</c:v>
                </c:pt>
                <c:pt idx="15">
                  <c:v>BASE</c:v>
                </c:pt>
                <c:pt idx="16">
                  <c:v>COVER</c:v>
                </c:pt>
                <c:pt idx="17">
                  <c:v>BASE</c:v>
                </c:pt>
              </c:strCache>
            </c:strRef>
          </c:cat>
          <c:val>
            <c:numRef>
              <c:f>'04'!$AE$6:$AE$24</c:f>
              <c:numCache>
                <c:formatCode>0%</c:formatCode>
                <c:ptCount val="19"/>
                <c:pt idx="0">
                  <c:v>0.55921052631578949</c:v>
                </c:pt>
                <c:pt idx="1">
                  <c:v>0.55921052631578949</c:v>
                </c:pt>
                <c:pt idx="2">
                  <c:v>0.55921052631578949</c:v>
                </c:pt>
                <c:pt idx="3">
                  <c:v>0.55921052631578949</c:v>
                </c:pt>
                <c:pt idx="4">
                  <c:v>0.55921052631578949</c:v>
                </c:pt>
                <c:pt idx="5">
                  <c:v>0.55921052631578949</c:v>
                </c:pt>
                <c:pt idx="6">
                  <c:v>0.55921052631578949</c:v>
                </c:pt>
                <c:pt idx="7">
                  <c:v>0.55921052631578949</c:v>
                </c:pt>
                <c:pt idx="8">
                  <c:v>0.55921052631578949</c:v>
                </c:pt>
                <c:pt idx="9">
                  <c:v>0.55921052631578949</c:v>
                </c:pt>
                <c:pt idx="10">
                  <c:v>0.55921052631578949</c:v>
                </c:pt>
                <c:pt idx="11">
                  <c:v>0.55921052631578949</c:v>
                </c:pt>
                <c:pt idx="12">
                  <c:v>0.55921052631578949</c:v>
                </c:pt>
                <c:pt idx="13">
                  <c:v>0.55921052631578949</c:v>
                </c:pt>
                <c:pt idx="14">
                  <c:v>0.55921052631578949</c:v>
                </c:pt>
                <c:pt idx="15">
                  <c:v>0.55921052631578949</c:v>
                </c:pt>
                <c:pt idx="16">
                  <c:v>0.55921052631578949</c:v>
                </c:pt>
                <c:pt idx="17">
                  <c:v>0.55921052631578949</c:v>
                </c:pt>
                <c:pt idx="18">
                  <c:v>0.55921052631578949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B6-4113-B876-5446A1A29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412-47E4-81FD-0205B8FB6A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2-47E4-81FD-0205B8FB6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412-47E4-81FD-0205B8FB6AC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12-47E4-81FD-0205B8FB6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HOLDER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2">
                  <c:v>1271</c:v>
                </c:pt>
                <c:pt idx="3">
                  <c:v>5367</c:v>
                </c:pt>
                <c:pt idx="4">
                  <c:v>12980</c:v>
                </c:pt>
                <c:pt idx="5">
                  <c:v>5797</c:v>
                </c:pt>
                <c:pt idx="6">
                  <c:v>5303</c:v>
                </c:pt>
                <c:pt idx="7">
                  <c:v>4984</c:v>
                </c:pt>
                <c:pt idx="10">
                  <c:v>4303</c:v>
                </c:pt>
                <c:pt idx="11">
                  <c:v>6022</c:v>
                </c:pt>
                <c:pt idx="12">
                  <c:v>5156</c:v>
                </c:pt>
                <c:pt idx="13">
                  <c:v>5216</c:v>
                </c:pt>
                <c:pt idx="14">
                  <c:v>3481</c:v>
                </c:pt>
                <c:pt idx="15">
                  <c:v>69508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94-442A-8102-1245482CB7E2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HOLDER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130</c:v>
                </c:pt>
                <c:pt idx="2">
                  <c:v>1271</c:v>
                </c:pt>
                <c:pt idx="3">
                  <c:v>5367</c:v>
                </c:pt>
                <c:pt idx="4">
                  <c:v>12980</c:v>
                </c:pt>
                <c:pt idx="5">
                  <c:v>5797</c:v>
                </c:pt>
                <c:pt idx="6">
                  <c:v>5303</c:v>
                </c:pt>
                <c:pt idx="7">
                  <c:v>4984</c:v>
                </c:pt>
                <c:pt idx="8">
                  <c:v>926</c:v>
                </c:pt>
                <c:pt idx="9">
                  <c:v>1015</c:v>
                </c:pt>
                <c:pt idx="10">
                  <c:v>4303</c:v>
                </c:pt>
                <c:pt idx="11">
                  <c:v>6022</c:v>
                </c:pt>
                <c:pt idx="12">
                  <c:v>5327</c:v>
                </c:pt>
                <c:pt idx="13">
                  <c:v>5216</c:v>
                </c:pt>
                <c:pt idx="14">
                  <c:v>3481</c:v>
                </c:pt>
                <c:pt idx="15">
                  <c:v>69508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4-442A-8102-1245482CB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93%</c:v>
                </c:pt>
                <c:pt idx="13">
                  <c:v>100%</c:v>
                </c:pt>
                <c:pt idx="14">
                  <c:v>63%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HOLDER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0.92757023965959573</c:v>
                </c:pt>
                <c:pt idx="13">
                  <c:v>1</c:v>
                </c:pt>
                <c:pt idx="14">
                  <c:v>0.625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F4-4E65-B60C-8797D360589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F4-4E65-B60C-8797D36058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HOLDER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0.65693147331205815</c:v>
                </c:pt>
                <c:pt idx="1">
                  <c:v>0.65693147331205815</c:v>
                </c:pt>
                <c:pt idx="2">
                  <c:v>0.65693147331205815</c:v>
                </c:pt>
                <c:pt idx="3">
                  <c:v>0.65693147331205815</c:v>
                </c:pt>
                <c:pt idx="4">
                  <c:v>0.65693147331205815</c:v>
                </c:pt>
                <c:pt idx="5">
                  <c:v>0.65693147331205815</c:v>
                </c:pt>
                <c:pt idx="6">
                  <c:v>0.65693147331205815</c:v>
                </c:pt>
                <c:pt idx="7">
                  <c:v>0.65693147331205815</c:v>
                </c:pt>
                <c:pt idx="8">
                  <c:v>0.65693147331205815</c:v>
                </c:pt>
                <c:pt idx="9">
                  <c:v>0.65693147331205815</c:v>
                </c:pt>
                <c:pt idx="10">
                  <c:v>0.65693147331205815</c:v>
                </c:pt>
                <c:pt idx="11">
                  <c:v>0.65693147331205815</c:v>
                </c:pt>
                <c:pt idx="12">
                  <c:v>0.65693147331205815</c:v>
                </c:pt>
                <c:pt idx="13">
                  <c:v>0.65693147331205815</c:v>
                </c:pt>
                <c:pt idx="14">
                  <c:v>0.65693147331205815</c:v>
                </c:pt>
                <c:pt idx="15">
                  <c:v>0.65693147331205815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F4-4E65-B60C-8797D3605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HOLDER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'05'!$L$6:$L$21</c:f>
              <c:numCache>
                <c:formatCode>_(* #,##0_);_(* \(#,##0\);_(* "-"_);_(@_)</c:formatCode>
                <c:ptCount val="16"/>
                <c:pt idx="2">
                  <c:v>1271</c:v>
                </c:pt>
                <c:pt idx="3">
                  <c:v>5367</c:v>
                </c:pt>
                <c:pt idx="4">
                  <c:v>12980</c:v>
                </c:pt>
                <c:pt idx="5">
                  <c:v>5797</c:v>
                </c:pt>
                <c:pt idx="6">
                  <c:v>5303</c:v>
                </c:pt>
                <c:pt idx="7">
                  <c:v>4984</c:v>
                </c:pt>
                <c:pt idx="10">
                  <c:v>4303</c:v>
                </c:pt>
                <c:pt idx="11">
                  <c:v>6022</c:v>
                </c:pt>
                <c:pt idx="12">
                  <c:v>5156</c:v>
                </c:pt>
                <c:pt idx="13">
                  <c:v>5216</c:v>
                </c:pt>
                <c:pt idx="14">
                  <c:v>3481</c:v>
                </c:pt>
                <c:pt idx="15">
                  <c:v>69508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D-4E25-89E0-E124E3A639C6}"/>
            </c:ext>
          </c:extLst>
        </c:ser>
        <c:ser>
          <c:idx val="1"/>
          <c:order val="1"/>
          <c:tx>
            <c:v>계획</c:v>
          </c:tx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HOLDER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130</c:v>
                </c:pt>
                <c:pt idx="2">
                  <c:v>1271</c:v>
                </c:pt>
                <c:pt idx="3">
                  <c:v>5367</c:v>
                </c:pt>
                <c:pt idx="4">
                  <c:v>12980</c:v>
                </c:pt>
                <c:pt idx="5">
                  <c:v>5797</c:v>
                </c:pt>
                <c:pt idx="6">
                  <c:v>5303</c:v>
                </c:pt>
                <c:pt idx="7">
                  <c:v>4984</c:v>
                </c:pt>
                <c:pt idx="8">
                  <c:v>926</c:v>
                </c:pt>
                <c:pt idx="9">
                  <c:v>1015</c:v>
                </c:pt>
                <c:pt idx="10">
                  <c:v>4303</c:v>
                </c:pt>
                <c:pt idx="11">
                  <c:v>6022</c:v>
                </c:pt>
                <c:pt idx="12">
                  <c:v>5327</c:v>
                </c:pt>
                <c:pt idx="13">
                  <c:v>5216</c:v>
                </c:pt>
                <c:pt idx="14">
                  <c:v>3481</c:v>
                </c:pt>
                <c:pt idx="15">
                  <c:v>69508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D-4E25-89E0-E124E3A63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29%</c:v>
                </c:pt>
                <c:pt idx="3">
                  <c:v>100%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88%</c:v>
                </c:pt>
                <c:pt idx="8">
                  <c:v>0%</c:v>
                </c:pt>
                <c:pt idx="9">
                  <c:v>0%</c:v>
                </c:pt>
                <c:pt idx="10">
                  <c:v>79%</c:v>
                </c:pt>
                <c:pt idx="11">
                  <c:v>100%</c:v>
                </c:pt>
                <c:pt idx="12">
                  <c:v>93%</c:v>
                </c:pt>
                <c:pt idx="13">
                  <c:v>100%</c:v>
                </c:pt>
                <c:pt idx="14">
                  <c:v>63%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HOLDER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0.29166666666666669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0.875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1</c:v>
                </c:pt>
                <c:pt idx="12">
                  <c:v>0.92757023965959573</c:v>
                </c:pt>
                <c:pt idx="13">
                  <c:v>1</c:v>
                </c:pt>
                <c:pt idx="14">
                  <c:v>0.625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1-4C5B-84B0-C6FDDCFD4DD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11-4C5B-84B0-C6FDDCFD4D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'05'!$D$6:$D$21</c:f>
              <c:strCache>
                <c:ptCount val="15"/>
                <c:pt idx="0">
                  <c:v>F/A</c:v>
                </c:pt>
                <c:pt idx="1">
                  <c:v>F/A</c:v>
                </c:pt>
                <c:pt idx="2">
                  <c:v>BASE</c:v>
                </c:pt>
                <c:pt idx="3">
                  <c:v>STOPPPER</c:v>
                </c:pt>
                <c:pt idx="4">
                  <c:v>HOLDER</c:v>
                </c:pt>
                <c:pt idx="5">
                  <c:v>STOPPPER</c:v>
                </c:pt>
                <c:pt idx="6">
                  <c:v>BASE</c:v>
                </c:pt>
                <c:pt idx="7">
                  <c:v>STOPPPER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2">
                  <c:v>BASE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'05'!$AE$6:$AE$21</c:f>
              <c:numCache>
                <c:formatCode>0%</c:formatCode>
                <c:ptCount val="16"/>
                <c:pt idx="0">
                  <c:v>0.65693147331205815</c:v>
                </c:pt>
                <c:pt idx="1">
                  <c:v>0.65693147331205815</c:v>
                </c:pt>
                <c:pt idx="2">
                  <c:v>0.65693147331205815</c:v>
                </c:pt>
                <c:pt idx="3">
                  <c:v>0.65693147331205815</c:v>
                </c:pt>
                <c:pt idx="4">
                  <c:v>0.65693147331205815</c:v>
                </c:pt>
                <c:pt idx="5">
                  <c:v>0.65693147331205815</c:v>
                </c:pt>
                <c:pt idx="6">
                  <c:v>0.65693147331205815</c:v>
                </c:pt>
                <c:pt idx="7">
                  <c:v>0.65693147331205815</c:v>
                </c:pt>
                <c:pt idx="8">
                  <c:v>0.65693147331205815</c:v>
                </c:pt>
                <c:pt idx="9">
                  <c:v>0.65693147331205815</c:v>
                </c:pt>
                <c:pt idx="10">
                  <c:v>0.65693147331205815</c:v>
                </c:pt>
                <c:pt idx="11">
                  <c:v>0.65693147331205815</c:v>
                </c:pt>
                <c:pt idx="12">
                  <c:v>0.65693147331205815</c:v>
                </c:pt>
                <c:pt idx="13">
                  <c:v>0.65693147331205815</c:v>
                </c:pt>
                <c:pt idx="14">
                  <c:v>0.65693147331205815</c:v>
                </c:pt>
                <c:pt idx="15">
                  <c:v>0.65693147331205815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1-4C5B-84B0-C6FDDCFD4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5FD-4EBD-8CE6-5209AD1049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FD-4EBD-8CE6-5209AD104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5FD-4EBD-8CE6-5209AD10490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FD-4EBD-8CE6-5209AD104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'06'!$D$6:$D$23</c:f>
              <c:strCache>
                <c:ptCount val="17"/>
                <c:pt idx="0">
                  <c:v>F/A</c:v>
                </c:pt>
                <c:pt idx="1">
                  <c:v>F/A</c:v>
                </c:pt>
                <c:pt idx="2">
                  <c:v>M2 CONN</c:v>
                </c:pt>
                <c:pt idx="3">
                  <c:v>BOTTOM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'06'!$L$6:$L$23</c:f>
              <c:numCache>
                <c:formatCode>_(* #,##0_);_(* \(#,##0\);_(* "-"_);_(@_)</c:formatCode>
                <c:ptCount val="18"/>
                <c:pt idx="2">
                  <c:v>800</c:v>
                </c:pt>
                <c:pt idx="3">
                  <c:v>4197</c:v>
                </c:pt>
                <c:pt idx="4">
                  <c:v>4162</c:v>
                </c:pt>
                <c:pt idx="5">
                  <c:v>7734</c:v>
                </c:pt>
                <c:pt idx="6">
                  <c:v>5793</c:v>
                </c:pt>
                <c:pt idx="7">
                  <c:v>2504</c:v>
                </c:pt>
                <c:pt idx="8">
                  <c:v>1500</c:v>
                </c:pt>
                <c:pt idx="9">
                  <c:v>480</c:v>
                </c:pt>
                <c:pt idx="11">
                  <c:v>4438</c:v>
                </c:pt>
                <c:pt idx="12">
                  <c:v>5850</c:v>
                </c:pt>
                <c:pt idx="13">
                  <c:v>4083</c:v>
                </c:pt>
                <c:pt idx="14">
                  <c:v>5686</c:v>
                </c:pt>
                <c:pt idx="15">
                  <c:v>3883</c:v>
                </c:pt>
                <c:pt idx="16">
                  <c:v>5680</c:v>
                </c:pt>
                <c:pt idx="17">
                  <c:v>69956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8-475C-A6A7-5248D58EDD39}"/>
            </c:ext>
          </c:extLst>
        </c:ser>
        <c:ser>
          <c:idx val="1"/>
          <c:order val="1"/>
          <c:tx>
            <c:v>계획</c:v>
          </c:tx>
          <c:cat>
            <c:strRef>
              <c:f>'06'!$D$6:$D$23</c:f>
              <c:strCache>
                <c:ptCount val="17"/>
                <c:pt idx="0">
                  <c:v>F/A</c:v>
                </c:pt>
                <c:pt idx="1">
                  <c:v>F/A</c:v>
                </c:pt>
                <c:pt idx="2">
                  <c:v>M2 CONN</c:v>
                </c:pt>
                <c:pt idx="3">
                  <c:v>BOTTOM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'06'!$J$6:$J$23</c:f>
              <c:numCache>
                <c:formatCode>_(* #,##0_);_(* \(#,##0\);_(* "-"_);_(@_)</c:formatCode>
                <c:ptCount val="18"/>
                <c:pt idx="0">
                  <c:v>3401</c:v>
                </c:pt>
                <c:pt idx="1">
                  <c:v>130</c:v>
                </c:pt>
                <c:pt idx="2">
                  <c:v>800</c:v>
                </c:pt>
                <c:pt idx="3">
                  <c:v>4197</c:v>
                </c:pt>
                <c:pt idx="4">
                  <c:v>4162</c:v>
                </c:pt>
                <c:pt idx="5">
                  <c:v>7734</c:v>
                </c:pt>
                <c:pt idx="6">
                  <c:v>5793</c:v>
                </c:pt>
                <c:pt idx="7">
                  <c:v>2504</c:v>
                </c:pt>
                <c:pt idx="8">
                  <c:v>1500</c:v>
                </c:pt>
                <c:pt idx="9">
                  <c:v>480</c:v>
                </c:pt>
                <c:pt idx="10">
                  <c:v>926</c:v>
                </c:pt>
                <c:pt idx="11">
                  <c:v>4438</c:v>
                </c:pt>
                <c:pt idx="12">
                  <c:v>5850</c:v>
                </c:pt>
                <c:pt idx="13">
                  <c:v>4083</c:v>
                </c:pt>
                <c:pt idx="14">
                  <c:v>5686</c:v>
                </c:pt>
                <c:pt idx="15">
                  <c:v>3883</c:v>
                </c:pt>
                <c:pt idx="16">
                  <c:v>5680</c:v>
                </c:pt>
                <c:pt idx="17">
                  <c:v>69956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8-475C-A6A7-5248D58ED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21%</c:v>
                </c:pt>
                <c:pt idx="3">
                  <c:v>75%</c:v>
                </c:pt>
                <c:pt idx="4">
                  <c:v>83%</c:v>
                </c:pt>
                <c:pt idx="5">
                  <c:v>71%</c:v>
                </c:pt>
                <c:pt idx="6">
                  <c:v>100%</c:v>
                </c:pt>
                <c:pt idx="7">
                  <c:v>58%</c:v>
                </c:pt>
                <c:pt idx="8">
                  <c:v>25%</c:v>
                </c:pt>
                <c:pt idx="9">
                  <c:v>13%</c:v>
                </c:pt>
                <c:pt idx="10">
                  <c:v>0%</c:v>
                </c:pt>
                <c:pt idx="11">
                  <c:v>88%</c:v>
                </c:pt>
                <c:pt idx="12">
                  <c:v>100%</c:v>
                </c:pt>
                <c:pt idx="13">
                  <c:v>75%</c:v>
                </c:pt>
                <c:pt idx="14">
                  <c:v>100%</c:v>
                </c:pt>
                <c:pt idx="15">
                  <c:v>75%</c:v>
                </c:pt>
                <c:pt idx="16">
                  <c:v>100%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'06'!$D$6:$D$23</c:f>
              <c:strCache>
                <c:ptCount val="17"/>
                <c:pt idx="0">
                  <c:v>F/A</c:v>
                </c:pt>
                <c:pt idx="1">
                  <c:v>F/A</c:v>
                </c:pt>
                <c:pt idx="2">
                  <c:v>M2 CONN</c:v>
                </c:pt>
                <c:pt idx="3">
                  <c:v>BOTTOM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'06'!$AD$6:$AD$23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0.20833333333333334</c:v>
                </c:pt>
                <c:pt idx="3">
                  <c:v>0.75</c:v>
                </c:pt>
                <c:pt idx="4">
                  <c:v>0.83333333333333337</c:v>
                </c:pt>
                <c:pt idx="5">
                  <c:v>0.70833333333333337</c:v>
                </c:pt>
                <c:pt idx="6">
                  <c:v>1</c:v>
                </c:pt>
                <c:pt idx="7">
                  <c:v>0.58333333333333337</c:v>
                </c:pt>
                <c:pt idx="8">
                  <c:v>0.25</c:v>
                </c:pt>
                <c:pt idx="9">
                  <c:v>0.125</c:v>
                </c:pt>
                <c:pt idx="10">
                  <c:v>0</c:v>
                </c:pt>
                <c:pt idx="11">
                  <c:v>0.875</c:v>
                </c:pt>
                <c:pt idx="12">
                  <c:v>1</c:v>
                </c:pt>
                <c:pt idx="13">
                  <c:v>0.75</c:v>
                </c:pt>
                <c:pt idx="14">
                  <c:v>1</c:v>
                </c:pt>
                <c:pt idx="15">
                  <c:v>0.75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2-486C-8D1B-C8D78BCBAB5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B2-486C-8D1B-C8D78BCBAB5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'06'!$D$6:$D$23</c:f>
              <c:strCache>
                <c:ptCount val="17"/>
                <c:pt idx="0">
                  <c:v>F/A</c:v>
                </c:pt>
                <c:pt idx="1">
                  <c:v>F/A</c:v>
                </c:pt>
                <c:pt idx="2">
                  <c:v>M2 CONN</c:v>
                </c:pt>
                <c:pt idx="3">
                  <c:v>BOTTOM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'06'!$AE$6:$AE$23</c:f>
              <c:numCache>
                <c:formatCode>0%</c:formatCode>
                <c:ptCount val="18"/>
                <c:pt idx="0">
                  <c:v>0.60185185185185175</c:v>
                </c:pt>
                <c:pt idx="1">
                  <c:v>0.60185185185185175</c:v>
                </c:pt>
                <c:pt idx="2">
                  <c:v>0.60185185185185175</c:v>
                </c:pt>
                <c:pt idx="3">
                  <c:v>0.60185185185185175</c:v>
                </c:pt>
                <c:pt idx="4">
                  <c:v>0.60185185185185175</c:v>
                </c:pt>
                <c:pt idx="5">
                  <c:v>0.60185185185185175</c:v>
                </c:pt>
                <c:pt idx="6">
                  <c:v>0.60185185185185175</c:v>
                </c:pt>
                <c:pt idx="7">
                  <c:v>0.60185185185185175</c:v>
                </c:pt>
                <c:pt idx="8">
                  <c:v>0.60185185185185175</c:v>
                </c:pt>
                <c:pt idx="9">
                  <c:v>0.60185185185185175</c:v>
                </c:pt>
                <c:pt idx="10">
                  <c:v>0.60185185185185175</c:v>
                </c:pt>
                <c:pt idx="11">
                  <c:v>0.60185185185185175</c:v>
                </c:pt>
                <c:pt idx="12">
                  <c:v>0.60185185185185175</c:v>
                </c:pt>
                <c:pt idx="13">
                  <c:v>0.60185185185185175</c:v>
                </c:pt>
                <c:pt idx="14">
                  <c:v>0.60185185185185175</c:v>
                </c:pt>
                <c:pt idx="15">
                  <c:v>0.60185185185185175</c:v>
                </c:pt>
                <c:pt idx="16">
                  <c:v>0.60185185185185175</c:v>
                </c:pt>
                <c:pt idx="17">
                  <c:v>0.60185185185185175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B2-486C-8D1B-C8D78BCBA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'06'!$D$6:$D$23</c:f>
              <c:strCache>
                <c:ptCount val="17"/>
                <c:pt idx="0">
                  <c:v>F/A</c:v>
                </c:pt>
                <c:pt idx="1">
                  <c:v>F/A</c:v>
                </c:pt>
                <c:pt idx="2">
                  <c:v>M2 CONN</c:v>
                </c:pt>
                <c:pt idx="3">
                  <c:v>BOTTOM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'06'!$L$6:$L$23</c:f>
              <c:numCache>
                <c:formatCode>_(* #,##0_);_(* \(#,##0\);_(* "-"_);_(@_)</c:formatCode>
                <c:ptCount val="18"/>
                <c:pt idx="2">
                  <c:v>800</c:v>
                </c:pt>
                <c:pt idx="3">
                  <c:v>4197</c:v>
                </c:pt>
                <c:pt idx="4">
                  <c:v>4162</c:v>
                </c:pt>
                <c:pt idx="5">
                  <c:v>7734</c:v>
                </c:pt>
                <c:pt idx="6">
                  <c:v>5793</c:v>
                </c:pt>
                <c:pt idx="7">
                  <c:v>2504</c:v>
                </c:pt>
                <c:pt idx="8">
                  <c:v>1500</c:v>
                </c:pt>
                <c:pt idx="9">
                  <c:v>480</c:v>
                </c:pt>
                <c:pt idx="11">
                  <c:v>4438</c:v>
                </c:pt>
                <c:pt idx="12">
                  <c:v>5850</c:v>
                </c:pt>
                <c:pt idx="13">
                  <c:v>4083</c:v>
                </c:pt>
                <c:pt idx="14">
                  <c:v>5686</c:v>
                </c:pt>
                <c:pt idx="15">
                  <c:v>3883</c:v>
                </c:pt>
                <c:pt idx="16">
                  <c:v>5680</c:v>
                </c:pt>
                <c:pt idx="17">
                  <c:v>69956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7-4AF8-9FF3-A5B778E4480A}"/>
            </c:ext>
          </c:extLst>
        </c:ser>
        <c:ser>
          <c:idx val="1"/>
          <c:order val="1"/>
          <c:tx>
            <c:v>계획</c:v>
          </c:tx>
          <c:cat>
            <c:strRef>
              <c:f>'06'!$D$6:$D$23</c:f>
              <c:strCache>
                <c:ptCount val="17"/>
                <c:pt idx="0">
                  <c:v>F/A</c:v>
                </c:pt>
                <c:pt idx="1">
                  <c:v>F/A</c:v>
                </c:pt>
                <c:pt idx="2">
                  <c:v>M2 CONN</c:v>
                </c:pt>
                <c:pt idx="3">
                  <c:v>BOTTOM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'06'!$J$6:$J$23</c:f>
              <c:numCache>
                <c:formatCode>_(* #,##0_);_(* \(#,##0\);_(* "-"_);_(@_)</c:formatCode>
                <c:ptCount val="18"/>
                <c:pt idx="0">
                  <c:v>3401</c:v>
                </c:pt>
                <c:pt idx="1">
                  <c:v>130</c:v>
                </c:pt>
                <c:pt idx="2">
                  <c:v>800</c:v>
                </c:pt>
                <c:pt idx="3">
                  <c:v>4197</c:v>
                </c:pt>
                <c:pt idx="4">
                  <c:v>4162</c:v>
                </c:pt>
                <c:pt idx="5">
                  <c:v>7734</c:v>
                </c:pt>
                <c:pt idx="6">
                  <c:v>5793</c:v>
                </c:pt>
                <c:pt idx="7">
                  <c:v>2504</c:v>
                </c:pt>
                <c:pt idx="8">
                  <c:v>1500</c:v>
                </c:pt>
                <c:pt idx="9">
                  <c:v>480</c:v>
                </c:pt>
                <c:pt idx="10">
                  <c:v>926</c:v>
                </c:pt>
                <c:pt idx="11">
                  <c:v>4438</c:v>
                </c:pt>
                <c:pt idx="12">
                  <c:v>5850</c:v>
                </c:pt>
                <c:pt idx="13">
                  <c:v>4083</c:v>
                </c:pt>
                <c:pt idx="14">
                  <c:v>5686</c:v>
                </c:pt>
                <c:pt idx="15">
                  <c:v>3883</c:v>
                </c:pt>
                <c:pt idx="16">
                  <c:v>5680</c:v>
                </c:pt>
                <c:pt idx="17">
                  <c:v>69956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7-4AF8-9FF3-A5B778E44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21%</c:v>
                </c:pt>
                <c:pt idx="3">
                  <c:v>75%</c:v>
                </c:pt>
                <c:pt idx="4">
                  <c:v>83%</c:v>
                </c:pt>
                <c:pt idx="5">
                  <c:v>71%</c:v>
                </c:pt>
                <c:pt idx="6">
                  <c:v>100%</c:v>
                </c:pt>
                <c:pt idx="7">
                  <c:v>58%</c:v>
                </c:pt>
                <c:pt idx="8">
                  <c:v>25%</c:v>
                </c:pt>
                <c:pt idx="9">
                  <c:v>13%</c:v>
                </c:pt>
                <c:pt idx="10">
                  <c:v>0%</c:v>
                </c:pt>
                <c:pt idx="11">
                  <c:v>88%</c:v>
                </c:pt>
                <c:pt idx="12">
                  <c:v>100%</c:v>
                </c:pt>
                <c:pt idx="13">
                  <c:v>75%</c:v>
                </c:pt>
                <c:pt idx="14">
                  <c:v>100%</c:v>
                </c:pt>
                <c:pt idx="15">
                  <c:v>75%</c:v>
                </c:pt>
                <c:pt idx="16">
                  <c:v>100%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'06'!$D$6:$D$23</c:f>
              <c:strCache>
                <c:ptCount val="17"/>
                <c:pt idx="0">
                  <c:v>F/A</c:v>
                </c:pt>
                <c:pt idx="1">
                  <c:v>F/A</c:v>
                </c:pt>
                <c:pt idx="2">
                  <c:v>M2 CONN</c:v>
                </c:pt>
                <c:pt idx="3">
                  <c:v>BOTTOM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'06'!$AD$6:$AD$23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0.20833333333333334</c:v>
                </c:pt>
                <c:pt idx="3">
                  <c:v>0.75</c:v>
                </c:pt>
                <c:pt idx="4">
                  <c:v>0.83333333333333337</c:v>
                </c:pt>
                <c:pt idx="5">
                  <c:v>0.70833333333333337</c:v>
                </c:pt>
                <c:pt idx="6">
                  <c:v>1</c:v>
                </c:pt>
                <c:pt idx="7">
                  <c:v>0.58333333333333337</c:v>
                </c:pt>
                <c:pt idx="8">
                  <c:v>0.25</c:v>
                </c:pt>
                <c:pt idx="9">
                  <c:v>0.125</c:v>
                </c:pt>
                <c:pt idx="10">
                  <c:v>0</c:v>
                </c:pt>
                <c:pt idx="11">
                  <c:v>0.875</c:v>
                </c:pt>
                <c:pt idx="12">
                  <c:v>1</c:v>
                </c:pt>
                <c:pt idx="13">
                  <c:v>0.75</c:v>
                </c:pt>
                <c:pt idx="14">
                  <c:v>1</c:v>
                </c:pt>
                <c:pt idx="15">
                  <c:v>0.75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7-4067-8F90-1AD123AA8A7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27-4067-8F90-1AD123AA8A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'06'!$D$6:$D$23</c:f>
              <c:strCache>
                <c:ptCount val="17"/>
                <c:pt idx="0">
                  <c:v>F/A</c:v>
                </c:pt>
                <c:pt idx="1">
                  <c:v>F/A</c:v>
                </c:pt>
                <c:pt idx="2">
                  <c:v>M2 CONN</c:v>
                </c:pt>
                <c:pt idx="3">
                  <c:v>BOTTOM</c:v>
                </c:pt>
                <c:pt idx="4">
                  <c:v>STOPPPER</c:v>
                </c:pt>
                <c:pt idx="5">
                  <c:v>HOLDER</c:v>
                </c:pt>
                <c:pt idx="6">
                  <c:v>STOPPPER</c:v>
                </c:pt>
                <c:pt idx="7">
                  <c:v>BASE</c:v>
                </c:pt>
                <c:pt idx="8">
                  <c:v>STOPPPER</c:v>
                </c:pt>
                <c:pt idx="9">
                  <c:v>COVER</c:v>
                </c:pt>
                <c:pt idx="10">
                  <c:v>BASE</c:v>
                </c:pt>
                <c:pt idx="12">
                  <c:v>SLIDER</c:v>
                </c:pt>
                <c:pt idx="13">
                  <c:v>FLOATING</c:v>
                </c:pt>
                <c:pt idx="14">
                  <c:v>BASE</c:v>
                </c:pt>
                <c:pt idx="15">
                  <c:v>BASE</c:v>
                </c:pt>
                <c:pt idx="16">
                  <c:v>BASE</c:v>
                </c:pt>
              </c:strCache>
            </c:strRef>
          </c:cat>
          <c:val>
            <c:numRef>
              <c:f>'06'!$AE$6:$AE$23</c:f>
              <c:numCache>
                <c:formatCode>0%</c:formatCode>
                <c:ptCount val="18"/>
                <c:pt idx="0">
                  <c:v>0.60185185185185175</c:v>
                </c:pt>
                <c:pt idx="1">
                  <c:v>0.60185185185185175</c:v>
                </c:pt>
                <c:pt idx="2">
                  <c:v>0.60185185185185175</c:v>
                </c:pt>
                <c:pt idx="3">
                  <c:v>0.60185185185185175</c:v>
                </c:pt>
                <c:pt idx="4">
                  <c:v>0.60185185185185175</c:v>
                </c:pt>
                <c:pt idx="5">
                  <c:v>0.60185185185185175</c:v>
                </c:pt>
                <c:pt idx="6">
                  <c:v>0.60185185185185175</c:v>
                </c:pt>
                <c:pt idx="7">
                  <c:v>0.60185185185185175</c:v>
                </c:pt>
                <c:pt idx="8">
                  <c:v>0.60185185185185175</c:v>
                </c:pt>
                <c:pt idx="9">
                  <c:v>0.60185185185185175</c:v>
                </c:pt>
                <c:pt idx="10">
                  <c:v>0.60185185185185175</c:v>
                </c:pt>
                <c:pt idx="11">
                  <c:v>0.60185185185185175</c:v>
                </c:pt>
                <c:pt idx="12">
                  <c:v>0.60185185185185175</c:v>
                </c:pt>
                <c:pt idx="13">
                  <c:v>0.60185185185185175</c:v>
                </c:pt>
                <c:pt idx="14">
                  <c:v>0.60185185185185175</c:v>
                </c:pt>
                <c:pt idx="15">
                  <c:v>0.60185185185185175</c:v>
                </c:pt>
                <c:pt idx="16">
                  <c:v>0.60185185185185175</c:v>
                </c:pt>
                <c:pt idx="17">
                  <c:v>0.60185185185185175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27-4067-8F90-1AD123AA8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EC9-4698-B1C2-89BB3F290D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9-4698-B1C2-89BB3F29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EC9-4698-B1C2-89BB3F290DD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C9-4698-B1C2-89BB3F29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'07'!$D$6:$D$24</c:f>
              <c:strCache>
                <c:ptCount val="18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 PLATE</c:v>
                </c:pt>
                <c:pt idx="8">
                  <c:v>LEAD GUIDE</c:v>
                </c:pt>
                <c:pt idx="9">
                  <c:v>ADAPTER</c:v>
                </c:pt>
                <c:pt idx="10">
                  <c:v>LATCH PLATE</c:v>
                </c:pt>
                <c:pt idx="11">
                  <c:v>BASE</c:v>
                </c:pt>
                <c:pt idx="13">
                  <c:v>SLIDER</c:v>
                </c:pt>
                <c:pt idx="14">
                  <c:v>FLOATING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'07'!$L$6:$L$24</c:f>
              <c:numCache>
                <c:formatCode>_(* #,##0_);_(* \(#,##0\);_(* "-"_);_(@_)</c:formatCode>
                <c:ptCount val="19"/>
                <c:pt idx="2">
                  <c:v>6377</c:v>
                </c:pt>
                <c:pt idx="3">
                  <c:v>3442</c:v>
                </c:pt>
                <c:pt idx="4">
                  <c:v>11152</c:v>
                </c:pt>
                <c:pt idx="5">
                  <c:v>5814</c:v>
                </c:pt>
                <c:pt idx="6">
                  <c:v>4845</c:v>
                </c:pt>
                <c:pt idx="7">
                  <c:v>2000</c:v>
                </c:pt>
                <c:pt idx="8">
                  <c:v>1000</c:v>
                </c:pt>
                <c:pt idx="9">
                  <c:v>600</c:v>
                </c:pt>
                <c:pt idx="10">
                  <c:v>260</c:v>
                </c:pt>
                <c:pt idx="11">
                  <c:v>279</c:v>
                </c:pt>
                <c:pt idx="12">
                  <c:v>1033</c:v>
                </c:pt>
                <c:pt idx="13">
                  <c:v>5280</c:v>
                </c:pt>
                <c:pt idx="14">
                  <c:v>2263</c:v>
                </c:pt>
                <c:pt idx="15">
                  <c:v>4395</c:v>
                </c:pt>
                <c:pt idx="16">
                  <c:v>5357</c:v>
                </c:pt>
                <c:pt idx="17">
                  <c:v>5650</c:v>
                </c:pt>
                <c:pt idx="18">
                  <c:v>66216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A-48AB-8647-364A456E3640}"/>
            </c:ext>
          </c:extLst>
        </c:ser>
        <c:ser>
          <c:idx val="1"/>
          <c:order val="1"/>
          <c:tx>
            <c:v>계획</c:v>
          </c:tx>
          <c:cat>
            <c:strRef>
              <c:f>'07'!$D$6:$D$24</c:f>
              <c:strCache>
                <c:ptCount val="18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 PLATE</c:v>
                </c:pt>
                <c:pt idx="8">
                  <c:v>LEAD GUIDE</c:v>
                </c:pt>
                <c:pt idx="9">
                  <c:v>ADAPTER</c:v>
                </c:pt>
                <c:pt idx="10">
                  <c:v>LATCH PLATE</c:v>
                </c:pt>
                <c:pt idx="11">
                  <c:v>BASE</c:v>
                </c:pt>
                <c:pt idx="13">
                  <c:v>SLIDER</c:v>
                </c:pt>
                <c:pt idx="14">
                  <c:v>FLOATING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'07'!$J$6:$J$24</c:f>
              <c:numCache>
                <c:formatCode>_(* #,##0_);_(* \(#,##0\);_(* "-"_);_(@_)</c:formatCode>
                <c:ptCount val="19"/>
                <c:pt idx="0">
                  <c:v>3401</c:v>
                </c:pt>
                <c:pt idx="1">
                  <c:v>130</c:v>
                </c:pt>
                <c:pt idx="2">
                  <c:v>6377</c:v>
                </c:pt>
                <c:pt idx="3">
                  <c:v>3442</c:v>
                </c:pt>
                <c:pt idx="4">
                  <c:v>11152</c:v>
                </c:pt>
                <c:pt idx="5">
                  <c:v>5814</c:v>
                </c:pt>
                <c:pt idx="6">
                  <c:v>4845</c:v>
                </c:pt>
                <c:pt idx="7">
                  <c:v>2000</c:v>
                </c:pt>
                <c:pt idx="8">
                  <c:v>1000</c:v>
                </c:pt>
                <c:pt idx="9">
                  <c:v>1000</c:v>
                </c:pt>
                <c:pt idx="10">
                  <c:v>260</c:v>
                </c:pt>
                <c:pt idx="11">
                  <c:v>279</c:v>
                </c:pt>
                <c:pt idx="12">
                  <c:v>1033</c:v>
                </c:pt>
                <c:pt idx="13">
                  <c:v>5280</c:v>
                </c:pt>
                <c:pt idx="14">
                  <c:v>2263</c:v>
                </c:pt>
                <c:pt idx="15">
                  <c:v>4395</c:v>
                </c:pt>
                <c:pt idx="16">
                  <c:v>5357</c:v>
                </c:pt>
                <c:pt idx="17">
                  <c:v>5650</c:v>
                </c:pt>
                <c:pt idx="18">
                  <c:v>66216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A-48AB-8647-364A456E3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'07'!$AD$6:$AD$24</c:f>
              <c:strCache>
                <c:ptCount val="19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100%</c:v>
                </c:pt>
                <c:pt idx="5">
                  <c:v>100%</c:v>
                </c:pt>
                <c:pt idx="6">
                  <c:v>92%</c:v>
                </c:pt>
                <c:pt idx="7">
                  <c:v>21%</c:v>
                </c:pt>
                <c:pt idx="8">
                  <c:v>21%</c:v>
                </c:pt>
                <c:pt idx="9">
                  <c:v>10%</c:v>
                </c:pt>
                <c:pt idx="10">
                  <c:v>13%</c:v>
                </c:pt>
                <c:pt idx="11">
                  <c:v>21%</c:v>
                </c:pt>
                <c:pt idx="12">
                  <c:v>21%</c:v>
                </c:pt>
                <c:pt idx="13">
                  <c:v>92%</c:v>
                </c:pt>
                <c:pt idx="14">
                  <c:v>42%</c:v>
                </c:pt>
                <c:pt idx="15">
                  <c:v>88%</c:v>
                </c:pt>
                <c:pt idx="16">
                  <c:v>100%</c:v>
                </c:pt>
                <c:pt idx="17">
                  <c:v>100%</c:v>
                </c:pt>
                <c:pt idx="18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'07'!$D$6:$D$24</c:f>
              <c:strCache>
                <c:ptCount val="18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 PLATE</c:v>
                </c:pt>
                <c:pt idx="8">
                  <c:v>LEAD GUIDE</c:v>
                </c:pt>
                <c:pt idx="9">
                  <c:v>ADAPTER</c:v>
                </c:pt>
                <c:pt idx="10">
                  <c:v>LATCH PLATE</c:v>
                </c:pt>
                <c:pt idx="11">
                  <c:v>BASE</c:v>
                </c:pt>
                <c:pt idx="13">
                  <c:v>SLIDER</c:v>
                </c:pt>
                <c:pt idx="14">
                  <c:v>FLOATING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'07'!$AD$6:$AD$24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0.20833333333333334</c:v>
                </c:pt>
                <c:pt idx="8">
                  <c:v>0.20833333333333334</c:v>
                </c:pt>
                <c:pt idx="9">
                  <c:v>9.9999999999999992E-2</c:v>
                </c:pt>
                <c:pt idx="10">
                  <c:v>0.125</c:v>
                </c:pt>
                <c:pt idx="11">
                  <c:v>0.20833333333333334</c:v>
                </c:pt>
                <c:pt idx="12">
                  <c:v>0.20833333333333334</c:v>
                </c:pt>
                <c:pt idx="13">
                  <c:v>0.91666666666666663</c:v>
                </c:pt>
                <c:pt idx="14">
                  <c:v>0.41666666666666669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E-4EE8-AB35-E7C2ACCD006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9E-4EE8-AB35-E7C2ACCD00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'07'!$D$6:$D$24</c:f>
              <c:strCache>
                <c:ptCount val="18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 PLATE</c:v>
                </c:pt>
                <c:pt idx="8">
                  <c:v>LEAD GUIDE</c:v>
                </c:pt>
                <c:pt idx="9">
                  <c:v>ADAPTER</c:v>
                </c:pt>
                <c:pt idx="10">
                  <c:v>LATCH PLATE</c:v>
                </c:pt>
                <c:pt idx="11">
                  <c:v>BASE</c:v>
                </c:pt>
                <c:pt idx="13">
                  <c:v>SLIDER</c:v>
                </c:pt>
                <c:pt idx="14">
                  <c:v>FLOATING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'07'!$AE$6:$AE$24</c:f>
              <c:numCache>
                <c:formatCode>0%</c:formatCode>
                <c:ptCount val="19"/>
                <c:pt idx="0">
                  <c:v>0.57543859649122808</c:v>
                </c:pt>
                <c:pt idx="1">
                  <c:v>0.57543859649122808</c:v>
                </c:pt>
                <c:pt idx="2">
                  <c:v>0.57543859649122808</c:v>
                </c:pt>
                <c:pt idx="3">
                  <c:v>0.57543859649122808</c:v>
                </c:pt>
                <c:pt idx="4">
                  <c:v>0.57543859649122808</c:v>
                </c:pt>
                <c:pt idx="5">
                  <c:v>0.57543859649122808</c:v>
                </c:pt>
                <c:pt idx="6">
                  <c:v>0.57543859649122808</c:v>
                </c:pt>
                <c:pt idx="7">
                  <c:v>0.57543859649122808</c:v>
                </c:pt>
                <c:pt idx="8">
                  <c:v>0.57543859649122808</c:v>
                </c:pt>
                <c:pt idx="9">
                  <c:v>0.57543859649122808</c:v>
                </c:pt>
                <c:pt idx="10">
                  <c:v>0.57543859649122808</c:v>
                </c:pt>
                <c:pt idx="11">
                  <c:v>0.57543859649122808</c:v>
                </c:pt>
                <c:pt idx="12">
                  <c:v>0.57543859649122808</c:v>
                </c:pt>
                <c:pt idx="13">
                  <c:v>0.57543859649122808</c:v>
                </c:pt>
                <c:pt idx="14">
                  <c:v>0.57543859649122808</c:v>
                </c:pt>
                <c:pt idx="15">
                  <c:v>0.57543859649122808</c:v>
                </c:pt>
                <c:pt idx="16">
                  <c:v>0.57543859649122808</c:v>
                </c:pt>
                <c:pt idx="17">
                  <c:v>0.57543859649122808</c:v>
                </c:pt>
                <c:pt idx="18">
                  <c:v>0.57543859649122808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9E-4EE8-AB35-E7C2ACCD0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'07'!$D$6:$D$24</c:f>
              <c:strCache>
                <c:ptCount val="18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 PLATE</c:v>
                </c:pt>
                <c:pt idx="8">
                  <c:v>LEAD GUIDE</c:v>
                </c:pt>
                <c:pt idx="9">
                  <c:v>ADAPTER</c:v>
                </c:pt>
                <c:pt idx="10">
                  <c:v>LATCH PLATE</c:v>
                </c:pt>
                <c:pt idx="11">
                  <c:v>BASE</c:v>
                </c:pt>
                <c:pt idx="13">
                  <c:v>SLIDER</c:v>
                </c:pt>
                <c:pt idx="14">
                  <c:v>FLOATING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'07'!$L$6:$L$24</c:f>
              <c:numCache>
                <c:formatCode>_(* #,##0_);_(* \(#,##0\);_(* "-"_);_(@_)</c:formatCode>
                <c:ptCount val="19"/>
                <c:pt idx="2">
                  <c:v>6377</c:v>
                </c:pt>
                <c:pt idx="3">
                  <c:v>3442</c:v>
                </c:pt>
                <c:pt idx="4">
                  <c:v>11152</c:v>
                </c:pt>
                <c:pt idx="5">
                  <c:v>5814</c:v>
                </c:pt>
                <c:pt idx="6">
                  <c:v>4845</c:v>
                </c:pt>
                <c:pt idx="7">
                  <c:v>2000</c:v>
                </c:pt>
                <c:pt idx="8">
                  <c:v>1000</c:v>
                </c:pt>
                <c:pt idx="9">
                  <c:v>600</c:v>
                </c:pt>
                <c:pt idx="10">
                  <c:v>260</c:v>
                </c:pt>
                <c:pt idx="11">
                  <c:v>279</c:v>
                </c:pt>
                <c:pt idx="12">
                  <c:v>1033</c:v>
                </c:pt>
                <c:pt idx="13">
                  <c:v>5280</c:v>
                </c:pt>
                <c:pt idx="14">
                  <c:v>2263</c:v>
                </c:pt>
                <c:pt idx="15">
                  <c:v>4395</c:v>
                </c:pt>
                <c:pt idx="16">
                  <c:v>5357</c:v>
                </c:pt>
                <c:pt idx="17">
                  <c:v>5650</c:v>
                </c:pt>
                <c:pt idx="18">
                  <c:v>66216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9-40B0-BA77-CC98148A5761}"/>
            </c:ext>
          </c:extLst>
        </c:ser>
        <c:ser>
          <c:idx val="1"/>
          <c:order val="1"/>
          <c:tx>
            <c:v>계획</c:v>
          </c:tx>
          <c:cat>
            <c:strRef>
              <c:f>'07'!$D$6:$D$24</c:f>
              <c:strCache>
                <c:ptCount val="18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 PLATE</c:v>
                </c:pt>
                <c:pt idx="8">
                  <c:v>LEAD GUIDE</c:v>
                </c:pt>
                <c:pt idx="9">
                  <c:v>ADAPTER</c:v>
                </c:pt>
                <c:pt idx="10">
                  <c:v>LATCH PLATE</c:v>
                </c:pt>
                <c:pt idx="11">
                  <c:v>BASE</c:v>
                </c:pt>
                <c:pt idx="13">
                  <c:v>SLIDER</c:v>
                </c:pt>
                <c:pt idx="14">
                  <c:v>FLOATING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'07'!$J$6:$J$24</c:f>
              <c:numCache>
                <c:formatCode>_(* #,##0_);_(* \(#,##0\);_(* "-"_);_(@_)</c:formatCode>
                <c:ptCount val="19"/>
                <c:pt idx="0">
                  <c:v>3401</c:v>
                </c:pt>
                <c:pt idx="1">
                  <c:v>130</c:v>
                </c:pt>
                <c:pt idx="2">
                  <c:v>6377</c:v>
                </c:pt>
                <c:pt idx="3">
                  <c:v>3442</c:v>
                </c:pt>
                <c:pt idx="4">
                  <c:v>11152</c:v>
                </c:pt>
                <c:pt idx="5">
                  <c:v>5814</c:v>
                </c:pt>
                <c:pt idx="6">
                  <c:v>4845</c:v>
                </c:pt>
                <c:pt idx="7">
                  <c:v>2000</c:v>
                </c:pt>
                <c:pt idx="8">
                  <c:v>1000</c:v>
                </c:pt>
                <c:pt idx="9">
                  <c:v>1000</c:v>
                </c:pt>
                <c:pt idx="10">
                  <c:v>260</c:v>
                </c:pt>
                <c:pt idx="11">
                  <c:v>279</c:v>
                </c:pt>
                <c:pt idx="12">
                  <c:v>1033</c:v>
                </c:pt>
                <c:pt idx="13">
                  <c:v>5280</c:v>
                </c:pt>
                <c:pt idx="14">
                  <c:v>2263</c:v>
                </c:pt>
                <c:pt idx="15">
                  <c:v>4395</c:v>
                </c:pt>
                <c:pt idx="16">
                  <c:v>5357</c:v>
                </c:pt>
                <c:pt idx="17">
                  <c:v>5650</c:v>
                </c:pt>
                <c:pt idx="18">
                  <c:v>66216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C9-40B0-BA77-CC98148A5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'07'!$AD$6:$AD$24</c:f>
              <c:strCache>
                <c:ptCount val="19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100%</c:v>
                </c:pt>
                <c:pt idx="5">
                  <c:v>100%</c:v>
                </c:pt>
                <c:pt idx="6">
                  <c:v>92%</c:v>
                </c:pt>
                <c:pt idx="7">
                  <c:v>21%</c:v>
                </c:pt>
                <c:pt idx="8">
                  <c:v>21%</c:v>
                </c:pt>
                <c:pt idx="9">
                  <c:v>10%</c:v>
                </c:pt>
                <c:pt idx="10">
                  <c:v>13%</c:v>
                </c:pt>
                <c:pt idx="11">
                  <c:v>21%</c:v>
                </c:pt>
                <c:pt idx="12">
                  <c:v>21%</c:v>
                </c:pt>
                <c:pt idx="13">
                  <c:v>92%</c:v>
                </c:pt>
                <c:pt idx="14">
                  <c:v>42%</c:v>
                </c:pt>
                <c:pt idx="15">
                  <c:v>88%</c:v>
                </c:pt>
                <c:pt idx="16">
                  <c:v>100%</c:v>
                </c:pt>
                <c:pt idx="17">
                  <c:v>100%</c:v>
                </c:pt>
                <c:pt idx="18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'07'!$D$6:$D$24</c:f>
              <c:strCache>
                <c:ptCount val="18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 PLATE</c:v>
                </c:pt>
                <c:pt idx="8">
                  <c:v>LEAD GUIDE</c:v>
                </c:pt>
                <c:pt idx="9">
                  <c:v>ADAPTER</c:v>
                </c:pt>
                <c:pt idx="10">
                  <c:v>LATCH PLATE</c:v>
                </c:pt>
                <c:pt idx="11">
                  <c:v>BASE</c:v>
                </c:pt>
                <c:pt idx="13">
                  <c:v>SLIDER</c:v>
                </c:pt>
                <c:pt idx="14">
                  <c:v>FLOATING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'07'!$AD$6:$AD$24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1</c:v>
                </c:pt>
                <c:pt idx="6">
                  <c:v>0.91666666666666663</c:v>
                </c:pt>
                <c:pt idx="7">
                  <c:v>0.20833333333333334</c:v>
                </c:pt>
                <c:pt idx="8">
                  <c:v>0.20833333333333334</c:v>
                </c:pt>
                <c:pt idx="9">
                  <c:v>9.9999999999999992E-2</c:v>
                </c:pt>
                <c:pt idx="10">
                  <c:v>0.125</c:v>
                </c:pt>
                <c:pt idx="11">
                  <c:v>0.20833333333333334</c:v>
                </c:pt>
                <c:pt idx="12">
                  <c:v>0.20833333333333334</c:v>
                </c:pt>
                <c:pt idx="13">
                  <c:v>0.91666666666666663</c:v>
                </c:pt>
                <c:pt idx="14">
                  <c:v>0.41666666666666669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C-4555-BDD3-A7030A87A6C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5C-4555-BDD3-A7030A87A6C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'07'!$D$6:$D$24</c:f>
              <c:strCache>
                <c:ptCount val="18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 PLATE</c:v>
                </c:pt>
                <c:pt idx="8">
                  <c:v>LEAD GUIDE</c:v>
                </c:pt>
                <c:pt idx="9">
                  <c:v>ADAPTER</c:v>
                </c:pt>
                <c:pt idx="10">
                  <c:v>LATCH PLATE</c:v>
                </c:pt>
                <c:pt idx="11">
                  <c:v>BASE</c:v>
                </c:pt>
                <c:pt idx="13">
                  <c:v>SLIDER</c:v>
                </c:pt>
                <c:pt idx="14">
                  <c:v>FLOATING</c:v>
                </c:pt>
                <c:pt idx="15">
                  <c:v>BASE</c:v>
                </c:pt>
                <c:pt idx="16">
                  <c:v>BASE</c:v>
                </c:pt>
                <c:pt idx="17">
                  <c:v>BASE</c:v>
                </c:pt>
              </c:strCache>
            </c:strRef>
          </c:cat>
          <c:val>
            <c:numRef>
              <c:f>'07'!$AE$6:$AE$24</c:f>
              <c:numCache>
                <c:formatCode>0%</c:formatCode>
                <c:ptCount val="19"/>
                <c:pt idx="0">
                  <c:v>0.57543859649122808</c:v>
                </c:pt>
                <c:pt idx="1">
                  <c:v>0.57543859649122808</c:v>
                </c:pt>
                <c:pt idx="2">
                  <c:v>0.57543859649122808</c:v>
                </c:pt>
                <c:pt idx="3">
                  <c:v>0.57543859649122808</c:v>
                </c:pt>
                <c:pt idx="4">
                  <c:v>0.57543859649122808</c:v>
                </c:pt>
                <c:pt idx="5">
                  <c:v>0.57543859649122808</c:v>
                </c:pt>
                <c:pt idx="6">
                  <c:v>0.57543859649122808</c:v>
                </c:pt>
                <c:pt idx="7">
                  <c:v>0.57543859649122808</c:v>
                </c:pt>
                <c:pt idx="8">
                  <c:v>0.57543859649122808</c:v>
                </c:pt>
                <c:pt idx="9">
                  <c:v>0.57543859649122808</c:v>
                </c:pt>
                <c:pt idx="10">
                  <c:v>0.57543859649122808</c:v>
                </c:pt>
                <c:pt idx="11">
                  <c:v>0.57543859649122808</c:v>
                </c:pt>
                <c:pt idx="12">
                  <c:v>0.57543859649122808</c:v>
                </c:pt>
                <c:pt idx="13">
                  <c:v>0.57543859649122808</c:v>
                </c:pt>
                <c:pt idx="14">
                  <c:v>0.57543859649122808</c:v>
                </c:pt>
                <c:pt idx="15">
                  <c:v>0.57543859649122808</c:v>
                </c:pt>
                <c:pt idx="16">
                  <c:v>0.57543859649122808</c:v>
                </c:pt>
                <c:pt idx="17">
                  <c:v>0.57543859649122808</c:v>
                </c:pt>
                <c:pt idx="18">
                  <c:v>0.57543859649122808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5C-4555-BDD3-A7030A87A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B55-402F-92B8-33BE737002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5-402F-92B8-33BE73700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B55-402F-92B8-33BE737002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5-402F-92B8-33BE73700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1">
                  <c:v>6460</c:v>
                </c:pt>
                <c:pt idx="2">
                  <c:v>4829</c:v>
                </c:pt>
                <c:pt idx="3">
                  <c:v>4709</c:v>
                </c:pt>
                <c:pt idx="4">
                  <c:v>11550</c:v>
                </c:pt>
                <c:pt idx="5">
                  <c:v>5796</c:v>
                </c:pt>
                <c:pt idx="6">
                  <c:v>4381</c:v>
                </c:pt>
                <c:pt idx="7">
                  <c:v>1232</c:v>
                </c:pt>
                <c:pt idx="9">
                  <c:v>5209</c:v>
                </c:pt>
                <c:pt idx="11">
                  <c:v>294</c:v>
                </c:pt>
                <c:pt idx="12">
                  <c:v>3494</c:v>
                </c:pt>
                <c:pt idx="13">
                  <c:v>5335</c:v>
                </c:pt>
                <c:pt idx="14">
                  <c:v>5595</c:v>
                </c:pt>
                <c:pt idx="15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E0-49B0-96C3-7825142E06AE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6460</c:v>
                </c:pt>
                <c:pt idx="2">
                  <c:v>4829</c:v>
                </c:pt>
                <c:pt idx="3">
                  <c:v>4709</c:v>
                </c:pt>
                <c:pt idx="4">
                  <c:v>11550</c:v>
                </c:pt>
                <c:pt idx="5">
                  <c:v>5796</c:v>
                </c:pt>
                <c:pt idx="6">
                  <c:v>4381</c:v>
                </c:pt>
                <c:pt idx="7">
                  <c:v>1232</c:v>
                </c:pt>
                <c:pt idx="8">
                  <c:v>279</c:v>
                </c:pt>
                <c:pt idx="9">
                  <c:v>5209</c:v>
                </c:pt>
                <c:pt idx="10">
                  <c:v>5280</c:v>
                </c:pt>
                <c:pt idx="11">
                  <c:v>294</c:v>
                </c:pt>
                <c:pt idx="12">
                  <c:v>3494</c:v>
                </c:pt>
                <c:pt idx="13">
                  <c:v>5335</c:v>
                </c:pt>
                <c:pt idx="14">
                  <c:v>5595</c:v>
                </c:pt>
                <c:pt idx="15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E0-49B0-96C3-7825142E0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88%</c:v>
                </c:pt>
                <c:pt idx="3">
                  <c:v>88%</c:v>
                </c:pt>
                <c:pt idx="4">
                  <c:v>100%</c:v>
                </c:pt>
                <c:pt idx="5">
                  <c:v>100%</c:v>
                </c:pt>
                <c:pt idx="6">
                  <c:v>83%</c:v>
                </c:pt>
                <c:pt idx="7">
                  <c:v>17%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8%</c:v>
                </c:pt>
                <c:pt idx="12">
                  <c:v>33%</c:v>
                </c:pt>
                <c:pt idx="13">
                  <c:v>100%</c:v>
                </c:pt>
                <c:pt idx="14">
                  <c:v>100%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0.875</c:v>
                </c:pt>
                <c:pt idx="3">
                  <c:v>0.875</c:v>
                </c:pt>
                <c:pt idx="4">
                  <c:v>1</c:v>
                </c:pt>
                <c:pt idx="5">
                  <c:v>1</c:v>
                </c:pt>
                <c:pt idx="6">
                  <c:v>0.83333333333333337</c:v>
                </c:pt>
                <c:pt idx="7">
                  <c:v>0.16666666666666666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8.3333333333333329E-2</c:v>
                </c:pt>
                <c:pt idx="12">
                  <c:v>0.33333333333333331</c:v>
                </c:pt>
                <c:pt idx="13">
                  <c:v>1</c:v>
                </c:pt>
                <c:pt idx="14">
                  <c:v>1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0E-49A5-A2E2-D08C82EF9DF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0E-49A5-A2E2-D08C82EF9DF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0.57291666666666663</c:v>
                </c:pt>
                <c:pt idx="1">
                  <c:v>0.57291666666666663</c:v>
                </c:pt>
                <c:pt idx="2">
                  <c:v>0.57291666666666663</c:v>
                </c:pt>
                <c:pt idx="3">
                  <c:v>0.57291666666666663</c:v>
                </c:pt>
                <c:pt idx="4">
                  <c:v>0.57291666666666663</c:v>
                </c:pt>
                <c:pt idx="5">
                  <c:v>0.57291666666666663</c:v>
                </c:pt>
                <c:pt idx="6">
                  <c:v>0.57291666666666663</c:v>
                </c:pt>
                <c:pt idx="7">
                  <c:v>0.57291666666666663</c:v>
                </c:pt>
                <c:pt idx="8">
                  <c:v>0.57291666666666663</c:v>
                </c:pt>
                <c:pt idx="9">
                  <c:v>0.57291666666666663</c:v>
                </c:pt>
                <c:pt idx="10">
                  <c:v>0.57291666666666663</c:v>
                </c:pt>
                <c:pt idx="11">
                  <c:v>0.57291666666666663</c:v>
                </c:pt>
                <c:pt idx="12">
                  <c:v>0.57291666666666663</c:v>
                </c:pt>
                <c:pt idx="13">
                  <c:v>0.57291666666666663</c:v>
                </c:pt>
                <c:pt idx="14">
                  <c:v>0.57291666666666663</c:v>
                </c:pt>
                <c:pt idx="15">
                  <c:v>0.57291666666666663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0E-49A5-A2E2-D08C82EF9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'08'!$L$6:$L$21</c:f>
              <c:numCache>
                <c:formatCode>_(* #,##0_);_(* \(#,##0\);_(* "-"_);_(@_)</c:formatCode>
                <c:ptCount val="16"/>
                <c:pt idx="1">
                  <c:v>6460</c:v>
                </c:pt>
                <c:pt idx="2">
                  <c:v>4829</c:v>
                </c:pt>
                <c:pt idx="3">
                  <c:v>4709</c:v>
                </c:pt>
                <c:pt idx="4">
                  <c:v>11550</c:v>
                </c:pt>
                <c:pt idx="5">
                  <c:v>5796</c:v>
                </c:pt>
                <c:pt idx="6">
                  <c:v>4381</c:v>
                </c:pt>
                <c:pt idx="7">
                  <c:v>1232</c:v>
                </c:pt>
                <c:pt idx="9">
                  <c:v>5209</c:v>
                </c:pt>
                <c:pt idx="11">
                  <c:v>294</c:v>
                </c:pt>
                <c:pt idx="12">
                  <c:v>3494</c:v>
                </c:pt>
                <c:pt idx="13">
                  <c:v>5335</c:v>
                </c:pt>
                <c:pt idx="14">
                  <c:v>5595</c:v>
                </c:pt>
                <c:pt idx="15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4-4924-9B69-45F894E34740}"/>
            </c:ext>
          </c:extLst>
        </c:ser>
        <c:ser>
          <c:idx val="1"/>
          <c:order val="1"/>
          <c:tx>
            <c:v>계획</c:v>
          </c:tx>
          <c:cat>
            <c:strRef>
              <c:f>'08'!$D$6:$D$21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'08'!$J$6:$J$21</c:f>
              <c:numCache>
                <c:formatCode>_(* #,##0_);_(* \(#,##0\);_(* "-"_);_(@_)</c:formatCode>
                <c:ptCount val="16"/>
                <c:pt idx="0">
                  <c:v>3401</c:v>
                </c:pt>
                <c:pt idx="1">
                  <c:v>6460</c:v>
                </c:pt>
                <c:pt idx="2">
                  <c:v>4829</c:v>
                </c:pt>
                <c:pt idx="3">
                  <c:v>4709</c:v>
                </c:pt>
                <c:pt idx="4">
                  <c:v>11550</c:v>
                </c:pt>
                <c:pt idx="5">
                  <c:v>5796</c:v>
                </c:pt>
                <c:pt idx="6">
                  <c:v>4381</c:v>
                </c:pt>
                <c:pt idx="7">
                  <c:v>1232</c:v>
                </c:pt>
                <c:pt idx="8">
                  <c:v>279</c:v>
                </c:pt>
                <c:pt idx="9">
                  <c:v>5209</c:v>
                </c:pt>
                <c:pt idx="10">
                  <c:v>5280</c:v>
                </c:pt>
                <c:pt idx="11">
                  <c:v>294</c:v>
                </c:pt>
                <c:pt idx="12">
                  <c:v>3494</c:v>
                </c:pt>
                <c:pt idx="13">
                  <c:v>5335</c:v>
                </c:pt>
                <c:pt idx="14">
                  <c:v>5595</c:v>
                </c:pt>
                <c:pt idx="15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4-4924-9B69-45F894E34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'08'!$AD$6:$AD$21</c:f>
              <c:strCache>
                <c:ptCount val="16"/>
                <c:pt idx="0">
                  <c:v>0%</c:v>
                </c:pt>
                <c:pt idx="1">
                  <c:v>58%</c:v>
                </c:pt>
                <c:pt idx="2">
                  <c:v>88%</c:v>
                </c:pt>
                <c:pt idx="3">
                  <c:v>88%</c:v>
                </c:pt>
                <c:pt idx="4">
                  <c:v>100%</c:v>
                </c:pt>
                <c:pt idx="5">
                  <c:v>100%</c:v>
                </c:pt>
                <c:pt idx="6">
                  <c:v>83%</c:v>
                </c:pt>
                <c:pt idx="7">
                  <c:v>17%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8%</c:v>
                </c:pt>
                <c:pt idx="12">
                  <c:v>33%</c:v>
                </c:pt>
                <c:pt idx="13">
                  <c:v>100%</c:v>
                </c:pt>
                <c:pt idx="14">
                  <c:v>100%</c:v>
                </c:pt>
                <c:pt idx="15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'08'!$AD$6:$AD$21</c:f>
              <c:numCache>
                <c:formatCode>0%</c:formatCode>
                <c:ptCount val="16"/>
                <c:pt idx="0">
                  <c:v>0</c:v>
                </c:pt>
                <c:pt idx="1">
                  <c:v>0.58333333333333337</c:v>
                </c:pt>
                <c:pt idx="2">
                  <c:v>0.875</c:v>
                </c:pt>
                <c:pt idx="3">
                  <c:v>0.875</c:v>
                </c:pt>
                <c:pt idx="4">
                  <c:v>1</c:v>
                </c:pt>
                <c:pt idx="5">
                  <c:v>1</c:v>
                </c:pt>
                <c:pt idx="6">
                  <c:v>0.83333333333333337</c:v>
                </c:pt>
                <c:pt idx="7">
                  <c:v>0.16666666666666666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8.3333333333333329E-2</c:v>
                </c:pt>
                <c:pt idx="12">
                  <c:v>0.33333333333333331</c:v>
                </c:pt>
                <c:pt idx="13">
                  <c:v>1</c:v>
                </c:pt>
                <c:pt idx="14">
                  <c:v>1</c:v>
                </c:pt>
                <c:pt idx="15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2-4387-A07D-6E6DBB65C7B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6F2-4387-A07D-6E6DBB65C7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FLOATING</c:v>
                </c:pt>
                <c:pt idx="13">
                  <c:v>BASE</c:v>
                </c:pt>
                <c:pt idx="14">
                  <c:v>BASE</c:v>
                </c:pt>
              </c:strCache>
            </c:strRef>
          </c:cat>
          <c:val>
            <c:numRef>
              <c:f>'08'!$AE$6:$AE$21</c:f>
              <c:numCache>
                <c:formatCode>0%</c:formatCode>
                <c:ptCount val="16"/>
                <c:pt idx="0">
                  <c:v>0.57291666666666663</c:v>
                </c:pt>
                <c:pt idx="1">
                  <c:v>0.57291666666666663</c:v>
                </c:pt>
                <c:pt idx="2">
                  <c:v>0.57291666666666663</c:v>
                </c:pt>
                <c:pt idx="3">
                  <c:v>0.57291666666666663</c:v>
                </c:pt>
                <c:pt idx="4">
                  <c:v>0.57291666666666663</c:v>
                </c:pt>
                <c:pt idx="5">
                  <c:v>0.57291666666666663</c:v>
                </c:pt>
                <c:pt idx="6">
                  <c:v>0.57291666666666663</c:v>
                </c:pt>
                <c:pt idx="7">
                  <c:v>0.57291666666666663</c:v>
                </c:pt>
                <c:pt idx="8">
                  <c:v>0.57291666666666663</c:v>
                </c:pt>
                <c:pt idx="9">
                  <c:v>0.57291666666666663</c:v>
                </c:pt>
                <c:pt idx="10">
                  <c:v>0.57291666666666663</c:v>
                </c:pt>
                <c:pt idx="11">
                  <c:v>0.57291666666666663</c:v>
                </c:pt>
                <c:pt idx="12">
                  <c:v>0.57291666666666663</c:v>
                </c:pt>
                <c:pt idx="13">
                  <c:v>0.57291666666666663</c:v>
                </c:pt>
                <c:pt idx="14">
                  <c:v>0.57291666666666663</c:v>
                </c:pt>
                <c:pt idx="15">
                  <c:v>0.57291666666666663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F2-4387-A07D-6E6DBB65C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68C-4780-88D0-CC8DC11F3B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8C-4780-88D0-CC8DC11F3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68C-4780-88D0-CC8DC11F3B4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8C-4780-88D0-CC8DC11F3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'09'!$D$6:$D$22</c:f>
              <c:strCache>
                <c:ptCount val="16"/>
                <c:pt idx="0">
                  <c:v>F/A</c:v>
                </c:pt>
                <c:pt idx="2">
                  <c:v>M2</c:v>
                </c:pt>
                <c:pt idx="3">
                  <c:v>BASE</c:v>
                </c:pt>
                <c:pt idx="4">
                  <c:v>STOPPPER</c:v>
                </c:pt>
                <c:pt idx="6">
                  <c:v>STOPPPER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SLIDER</c:v>
                </c:pt>
                <c:pt idx="12">
                  <c:v>FLOATING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'09'!$L$6:$L$22</c:f>
              <c:numCache>
                <c:formatCode>_(* #,##0_);_(* \(#,##0\);_(* "-"_);_(@_)</c:formatCode>
                <c:ptCount val="17"/>
                <c:pt idx="1">
                  <c:v>12678</c:v>
                </c:pt>
                <c:pt idx="2">
                  <c:v>860</c:v>
                </c:pt>
                <c:pt idx="3">
                  <c:v>584</c:v>
                </c:pt>
                <c:pt idx="4">
                  <c:v>5270</c:v>
                </c:pt>
                <c:pt idx="5">
                  <c:v>4936</c:v>
                </c:pt>
                <c:pt idx="6">
                  <c:v>5920</c:v>
                </c:pt>
                <c:pt idx="7">
                  <c:v>3563</c:v>
                </c:pt>
                <c:pt idx="10">
                  <c:v>5544</c:v>
                </c:pt>
                <c:pt idx="11">
                  <c:v>5606</c:v>
                </c:pt>
                <c:pt idx="13">
                  <c:v>7048</c:v>
                </c:pt>
                <c:pt idx="14">
                  <c:v>5148</c:v>
                </c:pt>
                <c:pt idx="15">
                  <c:v>4980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B-418E-8298-399259628D3D}"/>
            </c:ext>
          </c:extLst>
        </c:ser>
        <c:ser>
          <c:idx val="1"/>
          <c:order val="1"/>
          <c:tx>
            <c:v>계획</c:v>
          </c:tx>
          <c:cat>
            <c:strRef>
              <c:f>'09'!$D$6:$D$22</c:f>
              <c:strCache>
                <c:ptCount val="16"/>
                <c:pt idx="0">
                  <c:v>F/A</c:v>
                </c:pt>
                <c:pt idx="2">
                  <c:v>M2</c:v>
                </c:pt>
                <c:pt idx="3">
                  <c:v>BASE</c:v>
                </c:pt>
                <c:pt idx="4">
                  <c:v>STOPPPER</c:v>
                </c:pt>
                <c:pt idx="6">
                  <c:v>STOPPPER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SLIDER</c:v>
                </c:pt>
                <c:pt idx="12">
                  <c:v>FLOATING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'09'!$J$6:$J$22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12678</c:v>
                </c:pt>
                <c:pt idx="2">
                  <c:v>860</c:v>
                </c:pt>
                <c:pt idx="3">
                  <c:v>584</c:v>
                </c:pt>
                <c:pt idx="4">
                  <c:v>5270</c:v>
                </c:pt>
                <c:pt idx="5">
                  <c:v>4936</c:v>
                </c:pt>
                <c:pt idx="6">
                  <c:v>5920</c:v>
                </c:pt>
                <c:pt idx="7">
                  <c:v>3563</c:v>
                </c:pt>
                <c:pt idx="8">
                  <c:v>1232</c:v>
                </c:pt>
                <c:pt idx="9">
                  <c:v>279</c:v>
                </c:pt>
                <c:pt idx="10">
                  <c:v>5544</c:v>
                </c:pt>
                <c:pt idx="11">
                  <c:v>5606</c:v>
                </c:pt>
                <c:pt idx="12">
                  <c:v>294</c:v>
                </c:pt>
                <c:pt idx="13">
                  <c:v>7048</c:v>
                </c:pt>
                <c:pt idx="14">
                  <c:v>5148</c:v>
                </c:pt>
                <c:pt idx="15">
                  <c:v>4980</c:v>
                </c:pt>
                <c:pt idx="16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B-418E-8298-399259628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21%</c:v>
                </c:pt>
                <c:pt idx="3">
                  <c:v>17%</c:v>
                </c:pt>
                <c:pt idx="4">
                  <c:v>100%</c:v>
                </c:pt>
                <c:pt idx="5">
                  <c:v>79%</c:v>
                </c:pt>
                <c:pt idx="6">
                  <c:v>100%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71%</c:v>
                </c:pt>
                <c:pt idx="14">
                  <c:v>100%</c:v>
                </c:pt>
                <c:pt idx="15">
                  <c:v>92%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0">
                  <c:v>F/A</c:v>
                </c:pt>
                <c:pt idx="2">
                  <c:v>M2</c:v>
                </c:pt>
                <c:pt idx="3">
                  <c:v>BASE</c:v>
                </c:pt>
                <c:pt idx="4">
                  <c:v>STOPPPER</c:v>
                </c:pt>
                <c:pt idx="6">
                  <c:v>STOPPPER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SLIDER</c:v>
                </c:pt>
                <c:pt idx="12">
                  <c:v>FLOATING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'09'!$AD$6:$AD$22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0.20833333333333334</c:v>
                </c:pt>
                <c:pt idx="3">
                  <c:v>0.16666666666666666</c:v>
                </c:pt>
                <c:pt idx="4">
                  <c:v>1</c:v>
                </c:pt>
                <c:pt idx="5">
                  <c:v>0.79166666666666663</c:v>
                </c:pt>
                <c:pt idx="6">
                  <c:v>1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0.70833333333333337</c:v>
                </c:pt>
                <c:pt idx="14">
                  <c:v>1</c:v>
                </c:pt>
                <c:pt idx="15">
                  <c:v>0.91666666666666663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3-4838-89FE-8B35152BB5E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543-4838-89FE-8B35152BB5E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0">
                  <c:v>F/A</c:v>
                </c:pt>
                <c:pt idx="2">
                  <c:v>M2</c:v>
                </c:pt>
                <c:pt idx="3">
                  <c:v>BASE</c:v>
                </c:pt>
                <c:pt idx="4">
                  <c:v>STOPPPER</c:v>
                </c:pt>
                <c:pt idx="6">
                  <c:v>STOPPPER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SLIDER</c:v>
                </c:pt>
                <c:pt idx="12">
                  <c:v>FLOATING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'09'!$AE$6:$AE$22</c:f>
              <c:numCache>
                <c:formatCode>0%</c:formatCode>
                <c:ptCount val="17"/>
                <c:pt idx="0">
                  <c:v>0.55637254901960775</c:v>
                </c:pt>
                <c:pt idx="1">
                  <c:v>0.55637254901960775</c:v>
                </c:pt>
                <c:pt idx="2">
                  <c:v>0.55637254901960775</c:v>
                </c:pt>
                <c:pt idx="3">
                  <c:v>0.55637254901960775</c:v>
                </c:pt>
                <c:pt idx="4">
                  <c:v>0.55637254901960775</c:v>
                </c:pt>
                <c:pt idx="5">
                  <c:v>0.55637254901960775</c:v>
                </c:pt>
                <c:pt idx="6">
                  <c:v>0.55637254901960775</c:v>
                </c:pt>
                <c:pt idx="7">
                  <c:v>0.55637254901960775</c:v>
                </c:pt>
                <c:pt idx="8">
                  <c:v>0.55637254901960775</c:v>
                </c:pt>
                <c:pt idx="9">
                  <c:v>0.55637254901960775</c:v>
                </c:pt>
                <c:pt idx="10">
                  <c:v>0.55637254901960775</c:v>
                </c:pt>
                <c:pt idx="11">
                  <c:v>0.55637254901960775</c:v>
                </c:pt>
                <c:pt idx="12">
                  <c:v>0.55637254901960775</c:v>
                </c:pt>
                <c:pt idx="13">
                  <c:v>0.55637254901960775</c:v>
                </c:pt>
                <c:pt idx="14">
                  <c:v>0.55637254901960775</c:v>
                </c:pt>
                <c:pt idx="15">
                  <c:v>0.55637254901960775</c:v>
                </c:pt>
                <c:pt idx="16">
                  <c:v>0.55637254901960775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43-4838-89FE-8B35152BB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'09'!$D$6:$D$22</c:f>
              <c:strCache>
                <c:ptCount val="16"/>
                <c:pt idx="0">
                  <c:v>F/A</c:v>
                </c:pt>
                <c:pt idx="2">
                  <c:v>M2</c:v>
                </c:pt>
                <c:pt idx="3">
                  <c:v>BASE</c:v>
                </c:pt>
                <c:pt idx="4">
                  <c:v>STOPPPER</c:v>
                </c:pt>
                <c:pt idx="6">
                  <c:v>STOPPPER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SLIDER</c:v>
                </c:pt>
                <c:pt idx="12">
                  <c:v>FLOATING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'09'!$L$6:$L$22</c:f>
              <c:numCache>
                <c:formatCode>_(* #,##0_);_(* \(#,##0\);_(* "-"_);_(@_)</c:formatCode>
                <c:ptCount val="17"/>
                <c:pt idx="1">
                  <c:v>12678</c:v>
                </c:pt>
                <c:pt idx="2">
                  <c:v>860</c:v>
                </c:pt>
                <c:pt idx="3">
                  <c:v>584</c:v>
                </c:pt>
                <c:pt idx="4">
                  <c:v>5270</c:v>
                </c:pt>
                <c:pt idx="5">
                  <c:v>4936</c:v>
                </c:pt>
                <c:pt idx="6">
                  <c:v>5920</c:v>
                </c:pt>
                <c:pt idx="7">
                  <c:v>3563</c:v>
                </c:pt>
                <c:pt idx="10">
                  <c:v>5544</c:v>
                </c:pt>
                <c:pt idx="11">
                  <c:v>5606</c:v>
                </c:pt>
                <c:pt idx="13">
                  <c:v>7048</c:v>
                </c:pt>
                <c:pt idx="14">
                  <c:v>5148</c:v>
                </c:pt>
                <c:pt idx="15">
                  <c:v>4980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7-4DA5-A0C1-41D9713B24CB}"/>
            </c:ext>
          </c:extLst>
        </c:ser>
        <c:ser>
          <c:idx val="1"/>
          <c:order val="1"/>
          <c:tx>
            <c:v>계획</c:v>
          </c:tx>
          <c:cat>
            <c:strRef>
              <c:f>'09'!$D$6:$D$22</c:f>
              <c:strCache>
                <c:ptCount val="16"/>
                <c:pt idx="0">
                  <c:v>F/A</c:v>
                </c:pt>
                <c:pt idx="2">
                  <c:v>M2</c:v>
                </c:pt>
                <c:pt idx="3">
                  <c:v>BASE</c:v>
                </c:pt>
                <c:pt idx="4">
                  <c:v>STOPPPER</c:v>
                </c:pt>
                <c:pt idx="6">
                  <c:v>STOPPPER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SLIDER</c:v>
                </c:pt>
                <c:pt idx="12">
                  <c:v>FLOATING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'09'!$J$6:$J$22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12678</c:v>
                </c:pt>
                <c:pt idx="2">
                  <c:v>860</c:v>
                </c:pt>
                <c:pt idx="3">
                  <c:v>584</c:v>
                </c:pt>
                <c:pt idx="4">
                  <c:v>5270</c:v>
                </c:pt>
                <c:pt idx="5">
                  <c:v>4936</c:v>
                </c:pt>
                <c:pt idx="6">
                  <c:v>5920</c:v>
                </c:pt>
                <c:pt idx="7">
                  <c:v>3563</c:v>
                </c:pt>
                <c:pt idx="8">
                  <c:v>1232</c:v>
                </c:pt>
                <c:pt idx="9">
                  <c:v>279</c:v>
                </c:pt>
                <c:pt idx="10">
                  <c:v>5544</c:v>
                </c:pt>
                <c:pt idx="11">
                  <c:v>5606</c:v>
                </c:pt>
                <c:pt idx="12">
                  <c:v>294</c:v>
                </c:pt>
                <c:pt idx="13">
                  <c:v>7048</c:v>
                </c:pt>
                <c:pt idx="14">
                  <c:v>5148</c:v>
                </c:pt>
                <c:pt idx="15">
                  <c:v>4980</c:v>
                </c:pt>
                <c:pt idx="16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F7-4DA5-A0C1-41D9713B2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21%</c:v>
                </c:pt>
                <c:pt idx="3">
                  <c:v>17%</c:v>
                </c:pt>
                <c:pt idx="4">
                  <c:v>100%</c:v>
                </c:pt>
                <c:pt idx="5">
                  <c:v>79%</c:v>
                </c:pt>
                <c:pt idx="6">
                  <c:v>100%</c:v>
                </c:pt>
                <c:pt idx="7">
                  <c:v>67%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71%</c:v>
                </c:pt>
                <c:pt idx="14">
                  <c:v>100%</c:v>
                </c:pt>
                <c:pt idx="15">
                  <c:v>92%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0">
                  <c:v>F/A</c:v>
                </c:pt>
                <c:pt idx="2">
                  <c:v>M2</c:v>
                </c:pt>
                <c:pt idx="3">
                  <c:v>BASE</c:v>
                </c:pt>
                <c:pt idx="4">
                  <c:v>STOPPPER</c:v>
                </c:pt>
                <c:pt idx="6">
                  <c:v>STOPPPER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SLIDER</c:v>
                </c:pt>
                <c:pt idx="12">
                  <c:v>FLOATING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'09'!$AD$6:$AD$22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0.20833333333333334</c:v>
                </c:pt>
                <c:pt idx="3">
                  <c:v>0.16666666666666666</c:v>
                </c:pt>
                <c:pt idx="4">
                  <c:v>1</c:v>
                </c:pt>
                <c:pt idx="5">
                  <c:v>0.79166666666666663</c:v>
                </c:pt>
                <c:pt idx="6">
                  <c:v>1</c:v>
                </c:pt>
                <c:pt idx="7">
                  <c:v>0.66666666666666663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0.70833333333333337</c:v>
                </c:pt>
                <c:pt idx="14">
                  <c:v>1</c:v>
                </c:pt>
                <c:pt idx="15">
                  <c:v>0.91666666666666663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2-4047-9F4B-27043603CA4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12-4047-9F4B-27043603CA4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0">
                  <c:v>F/A</c:v>
                </c:pt>
                <c:pt idx="2">
                  <c:v>M2</c:v>
                </c:pt>
                <c:pt idx="3">
                  <c:v>BASE</c:v>
                </c:pt>
                <c:pt idx="4">
                  <c:v>STOPPPER</c:v>
                </c:pt>
                <c:pt idx="6">
                  <c:v>STOPPPER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SLIDER</c:v>
                </c:pt>
                <c:pt idx="12">
                  <c:v>FLOATING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'09'!$AE$6:$AE$22</c:f>
              <c:numCache>
                <c:formatCode>0%</c:formatCode>
                <c:ptCount val="17"/>
                <c:pt idx="0">
                  <c:v>0.55637254901960775</c:v>
                </c:pt>
                <c:pt idx="1">
                  <c:v>0.55637254901960775</c:v>
                </c:pt>
                <c:pt idx="2">
                  <c:v>0.55637254901960775</c:v>
                </c:pt>
                <c:pt idx="3">
                  <c:v>0.55637254901960775</c:v>
                </c:pt>
                <c:pt idx="4">
                  <c:v>0.55637254901960775</c:v>
                </c:pt>
                <c:pt idx="5">
                  <c:v>0.55637254901960775</c:v>
                </c:pt>
                <c:pt idx="6">
                  <c:v>0.55637254901960775</c:v>
                </c:pt>
                <c:pt idx="7">
                  <c:v>0.55637254901960775</c:v>
                </c:pt>
                <c:pt idx="8">
                  <c:v>0.55637254901960775</c:v>
                </c:pt>
                <c:pt idx="9">
                  <c:v>0.55637254901960775</c:v>
                </c:pt>
                <c:pt idx="10">
                  <c:v>0.55637254901960775</c:v>
                </c:pt>
                <c:pt idx="11">
                  <c:v>0.55637254901960775</c:v>
                </c:pt>
                <c:pt idx="12">
                  <c:v>0.55637254901960775</c:v>
                </c:pt>
                <c:pt idx="13">
                  <c:v>0.55637254901960775</c:v>
                </c:pt>
                <c:pt idx="14">
                  <c:v>0.55637254901960775</c:v>
                </c:pt>
                <c:pt idx="15">
                  <c:v>0.55637254901960775</c:v>
                </c:pt>
                <c:pt idx="16">
                  <c:v>0.55637254901960775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12-4047-9F4B-27043603C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2BA-4DBF-A9EF-3742073C66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BA-4DBF-A9EF-3742073C6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2BA-4DBF-A9EF-3742073C662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BA-4DBF-A9EF-3742073C6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'11'!$L$6:$L$22</c:f>
              <c:numCache>
                <c:formatCode>_(* #,##0_);_(* \(#,##0\);_(* "-"_);_(@_)</c:formatCode>
                <c:ptCount val="17"/>
                <c:pt idx="1">
                  <c:v>11794</c:v>
                </c:pt>
                <c:pt idx="2">
                  <c:v>3307</c:v>
                </c:pt>
                <c:pt idx="3">
                  <c:v>3351</c:v>
                </c:pt>
                <c:pt idx="4">
                  <c:v>5746</c:v>
                </c:pt>
                <c:pt idx="5">
                  <c:v>5259</c:v>
                </c:pt>
                <c:pt idx="6">
                  <c:v>4597</c:v>
                </c:pt>
                <c:pt idx="7">
                  <c:v>8339</c:v>
                </c:pt>
                <c:pt idx="9">
                  <c:v>5628</c:v>
                </c:pt>
                <c:pt idx="10">
                  <c:v>5547</c:v>
                </c:pt>
                <c:pt idx="11">
                  <c:v>33015</c:v>
                </c:pt>
                <c:pt idx="12">
                  <c:v>8280</c:v>
                </c:pt>
                <c:pt idx="13">
                  <c:v>595</c:v>
                </c:pt>
                <c:pt idx="14">
                  <c:v>2646</c:v>
                </c:pt>
                <c:pt idx="15">
                  <c:v>5238</c:v>
                </c:pt>
                <c:pt idx="16">
                  <c:v>52848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9EA-BC68-A73B46365E44}"/>
            </c:ext>
          </c:extLst>
        </c:ser>
        <c:ser>
          <c:idx val="1"/>
          <c:order val="1"/>
          <c:tx>
            <c:v>계획</c:v>
          </c:tx>
          <c:cat>
            <c:strRef>
              <c:f>'11'!$D$6:$D$22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'11'!$J$6:$J$22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11794</c:v>
                </c:pt>
                <c:pt idx="2">
                  <c:v>3307</c:v>
                </c:pt>
                <c:pt idx="3">
                  <c:v>3351</c:v>
                </c:pt>
                <c:pt idx="4">
                  <c:v>5746</c:v>
                </c:pt>
                <c:pt idx="5">
                  <c:v>5259</c:v>
                </c:pt>
                <c:pt idx="6">
                  <c:v>4597</c:v>
                </c:pt>
                <c:pt idx="7">
                  <c:v>8339</c:v>
                </c:pt>
                <c:pt idx="8">
                  <c:v>279</c:v>
                </c:pt>
                <c:pt idx="9">
                  <c:v>5628</c:v>
                </c:pt>
                <c:pt idx="10">
                  <c:v>5547</c:v>
                </c:pt>
                <c:pt idx="11">
                  <c:v>33015</c:v>
                </c:pt>
                <c:pt idx="12">
                  <c:v>8280</c:v>
                </c:pt>
                <c:pt idx="13">
                  <c:v>595</c:v>
                </c:pt>
                <c:pt idx="14">
                  <c:v>2646</c:v>
                </c:pt>
                <c:pt idx="15">
                  <c:v>5238</c:v>
                </c:pt>
                <c:pt idx="16">
                  <c:v>52848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9EA-BC68-A73B46365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71%</c:v>
                </c:pt>
                <c:pt idx="3">
                  <c:v>58%</c:v>
                </c:pt>
                <c:pt idx="4">
                  <c:v>100%</c:v>
                </c:pt>
                <c:pt idx="5">
                  <c:v>100%</c:v>
                </c:pt>
                <c:pt idx="6">
                  <c:v>88%</c:v>
                </c:pt>
                <c:pt idx="7">
                  <c:v>83%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92%</c:v>
                </c:pt>
                <c:pt idx="12">
                  <c:v>96%</c:v>
                </c:pt>
                <c:pt idx="13">
                  <c:v>25%</c:v>
                </c:pt>
                <c:pt idx="14">
                  <c:v>54%</c:v>
                </c:pt>
                <c:pt idx="15">
                  <c:v>100%</c:v>
                </c:pt>
                <c:pt idx="16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'11'!$AD$6:$AD$22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0.70833333333333337</c:v>
                </c:pt>
                <c:pt idx="3">
                  <c:v>0.58333333333333337</c:v>
                </c:pt>
                <c:pt idx="4">
                  <c:v>1</c:v>
                </c:pt>
                <c:pt idx="5">
                  <c:v>1</c:v>
                </c:pt>
                <c:pt idx="6">
                  <c:v>0.875</c:v>
                </c:pt>
                <c:pt idx="7">
                  <c:v>0.83333333333333337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0.91666666666666663</c:v>
                </c:pt>
                <c:pt idx="12">
                  <c:v>0.95833333333333337</c:v>
                </c:pt>
                <c:pt idx="13">
                  <c:v>0.25</c:v>
                </c:pt>
                <c:pt idx="14">
                  <c:v>0.54166666666666663</c:v>
                </c:pt>
                <c:pt idx="15">
                  <c:v>1</c:v>
                </c:pt>
                <c:pt idx="16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3-41DA-9FEA-99B4851352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A3-41DA-9FEA-99B4851352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'11'!$AE$6:$AE$22</c:f>
              <c:numCache>
                <c:formatCode>0%</c:formatCode>
                <c:ptCount val="17"/>
                <c:pt idx="0">
                  <c:v>0.74019607843137247</c:v>
                </c:pt>
                <c:pt idx="1">
                  <c:v>0.74019607843137247</c:v>
                </c:pt>
                <c:pt idx="2">
                  <c:v>0.74019607843137247</c:v>
                </c:pt>
                <c:pt idx="3">
                  <c:v>0.74019607843137247</c:v>
                </c:pt>
                <c:pt idx="4">
                  <c:v>0.74019607843137247</c:v>
                </c:pt>
                <c:pt idx="5">
                  <c:v>0.74019607843137247</c:v>
                </c:pt>
                <c:pt idx="6">
                  <c:v>0.74019607843137247</c:v>
                </c:pt>
                <c:pt idx="7">
                  <c:v>0.74019607843137247</c:v>
                </c:pt>
                <c:pt idx="8">
                  <c:v>0.74019607843137247</c:v>
                </c:pt>
                <c:pt idx="9">
                  <c:v>0.74019607843137247</c:v>
                </c:pt>
                <c:pt idx="10">
                  <c:v>0.74019607843137247</c:v>
                </c:pt>
                <c:pt idx="11">
                  <c:v>0.74019607843137247</c:v>
                </c:pt>
                <c:pt idx="12">
                  <c:v>0.74019607843137247</c:v>
                </c:pt>
                <c:pt idx="13">
                  <c:v>0.74019607843137247</c:v>
                </c:pt>
                <c:pt idx="14">
                  <c:v>0.74019607843137247</c:v>
                </c:pt>
                <c:pt idx="15">
                  <c:v>0.74019607843137247</c:v>
                </c:pt>
                <c:pt idx="16">
                  <c:v>0.74019607843137247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A3-41DA-9FEA-99B48513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'11'!$L$6:$L$22</c:f>
              <c:numCache>
                <c:formatCode>_(* #,##0_);_(* \(#,##0\);_(* "-"_);_(@_)</c:formatCode>
                <c:ptCount val="17"/>
                <c:pt idx="1">
                  <c:v>11794</c:v>
                </c:pt>
                <c:pt idx="2">
                  <c:v>3307</c:v>
                </c:pt>
                <c:pt idx="3">
                  <c:v>3351</c:v>
                </c:pt>
                <c:pt idx="4">
                  <c:v>5746</c:v>
                </c:pt>
                <c:pt idx="5">
                  <c:v>5259</c:v>
                </c:pt>
                <c:pt idx="6">
                  <c:v>4597</c:v>
                </c:pt>
                <c:pt idx="7">
                  <c:v>8339</c:v>
                </c:pt>
                <c:pt idx="9">
                  <c:v>5628</c:v>
                </c:pt>
                <c:pt idx="10">
                  <c:v>5547</c:v>
                </c:pt>
                <c:pt idx="11">
                  <c:v>33015</c:v>
                </c:pt>
                <c:pt idx="12">
                  <c:v>8280</c:v>
                </c:pt>
                <c:pt idx="13">
                  <c:v>595</c:v>
                </c:pt>
                <c:pt idx="14">
                  <c:v>2646</c:v>
                </c:pt>
                <c:pt idx="15">
                  <c:v>5238</c:v>
                </c:pt>
                <c:pt idx="16">
                  <c:v>52848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2-4CEA-BB64-81132B5FFB5A}"/>
            </c:ext>
          </c:extLst>
        </c:ser>
        <c:ser>
          <c:idx val="1"/>
          <c:order val="1"/>
          <c:tx>
            <c:v>계획</c:v>
          </c:tx>
          <c:cat>
            <c:strRef>
              <c:f>'11'!$D$6:$D$22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'11'!$J$6:$J$22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11794</c:v>
                </c:pt>
                <c:pt idx="2">
                  <c:v>3307</c:v>
                </c:pt>
                <c:pt idx="3">
                  <c:v>3351</c:v>
                </c:pt>
                <c:pt idx="4">
                  <c:v>5746</c:v>
                </c:pt>
                <c:pt idx="5">
                  <c:v>5259</c:v>
                </c:pt>
                <c:pt idx="6">
                  <c:v>4597</c:v>
                </c:pt>
                <c:pt idx="7">
                  <c:v>8339</c:v>
                </c:pt>
                <c:pt idx="8">
                  <c:v>279</c:v>
                </c:pt>
                <c:pt idx="9">
                  <c:v>5628</c:v>
                </c:pt>
                <c:pt idx="10">
                  <c:v>5547</c:v>
                </c:pt>
                <c:pt idx="11">
                  <c:v>33015</c:v>
                </c:pt>
                <c:pt idx="12">
                  <c:v>8280</c:v>
                </c:pt>
                <c:pt idx="13">
                  <c:v>595</c:v>
                </c:pt>
                <c:pt idx="14">
                  <c:v>2646</c:v>
                </c:pt>
                <c:pt idx="15">
                  <c:v>5238</c:v>
                </c:pt>
                <c:pt idx="16">
                  <c:v>52848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2-4CEA-BB64-81132B5FF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'11'!$AD$6:$AD$22</c:f>
              <c:strCache>
                <c:ptCount val="17"/>
                <c:pt idx="0">
                  <c:v>0%</c:v>
                </c:pt>
                <c:pt idx="1">
                  <c:v>100%</c:v>
                </c:pt>
                <c:pt idx="2">
                  <c:v>71%</c:v>
                </c:pt>
                <c:pt idx="3">
                  <c:v>58%</c:v>
                </c:pt>
                <c:pt idx="4">
                  <c:v>100%</c:v>
                </c:pt>
                <c:pt idx="5">
                  <c:v>100%</c:v>
                </c:pt>
                <c:pt idx="6">
                  <c:v>88%</c:v>
                </c:pt>
                <c:pt idx="7">
                  <c:v>83%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92%</c:v>
                </c:pt>
                <c:pt idx="12">
                  <c:v>96%</c:v>
                </c:pt>
                <c:pt idx="13">
                  <c:v>25%</c:v>
                </c:pt>
                <c:pt idx="14">
                  <c:v>54%</c:v>
                </c:pt>
                <c:pt idx="15">
                  <c:v>100%</c:v>
                </c:pt>
                <c:pt idx="16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'11'!$AD$6:$AD$22</c:f>
              <c:numCache>
                <c:formatCode>0%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0.70833333333333337</c:v>
                </c:pt>
                <c:pt idx="3">
                  <c:v>0.58333333333333337</c:v>
                </c:pt>
                <c:pt idx="4">
                  <c:v>1</c:v>
                </c:pt>
                <c:pt idx="5">
                  <c:v>1</c:v>
                </c:pt>
                <c:pt idx="6">
                  <c:v>0.875</c:v>
                </c:pt>
                <c:pt idx="7">
                  <c:v>0.83333333333333337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0.91666666666666663</c:v>
                </c:pt>
                <c:pt idx="12">
                  <c:v>0.95833333333333337</c:v>
                </c:pt>
                <c:pt idx="13">
                  <c:v>0.25</c:v>
                </c:pt>
                <c:pt idx="14">
                  <c:v>0.54166666666666663</c:v>
                </c:pt>
                <c:pt idx="15">
                  <c:v>1</c:v>
                </c:pt>
                <c:pt idx="16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5-48BC-AFDB-209FF1AEF4F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45-48BC-AFDB-209FF1AEF4F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LATCH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3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'11'!$AE$6:$AE$22</c:f>
              <c:numCache>
                <c:formatCode>0%</c:formatCode>
                <c:ptCount val="17"/>
                <c:pt idx="0">
                  <c:v>0.74019607843137247</c:v>
                </c:pt>
                <c:pt idx="1">
                  <c:v>0.74019607843137247</c:v>
                </c:pt>
                <c:pt idx="2">
                  <c:v>0.74019607843137247</c:v>
                </c:pt>
                <c:pt idx="3">
                  <c:v>0.74019607843137247</c:v>
                </c:pt>
                <c:pt idx="4">
                  <c:v>0.74019607843137247</c:v>
                </c:pt>
                <c:pt idx="5">
                  <c:v>0.74019607843137247</c:v>
                </c:pt>
                <c:pt idx="6">
                  <c:v>0.74019607843137247</c:v>
                </c:pt>
                <c:pt idx="7">
                  <c:v>0.74019607843137247</c:v>
                </c:pt>
                <c:pt idx="8">
                  <c:v>0.74019607843137247</c:v>
                </c:pt>
                <c:pt idx="9">
                  <c:v>0.74019607843137247</c:v>
                </c:pt>
                <c:pt idx="10">
                  <c:v>0.74019607843137247</c:v>
                </c:pt>
                <c:pt idx="11">
                  <c:v>0.74019607843137247</c:v>
                </c:pt>
                <c:pt idx="12">
                  <c:v>0.74019607843137247</c:v>
                </c:pt>
                <c:pt idx="13">
                  <c:v>0.74019607843137247</c:v>
                </c:pt>
                <c:pt idx="14">
                  <c:v>0.74019607843137247</c:v>
                </c:pt>
                <c:pt idx="15">
                  <c:v>0.74019607843137247</c:v>
                </c:pt>
                <c:pt idx="16">
                  <c:v>0.74019607843137247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45-48BC-AFDB-209FF1AEF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B03-4784-8B3E-098E53FE1E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03-4784-8B3E-098E53FE1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B03-4784-8B3E-098E53FE1EE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3-4784-8B3E-098E53FE1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'12'!$L$6:$L$22</c:f>
              <c:numCache>
                <c:formatCode>_(* #,##0_);_(* \(#,##0\);_(* "-"_);_(@_)</c:formatCode>
                <c:ptCount val="17"/>
                <c:pt idx="1">
                  <c:v>8804</c:v>
                </c:pt>
                <c:pt idx="2">
                  <c:v>3315</c:v>
                </c:pt>
                <c:pt idx="3">
                  <c:v>4112</c:v>
                </c:pt>
                <c:pt idx="4">
                  <c:v>3850</c:v>
                </c:pt>
                <c:pt idx="5">
                  <c:v>5102</c:v>
                </c:pt>
                <c:pt idx="6">
                  <c:v>5041</c:v>
                </c:pt>
                <c:pt idx="7">
                  <c:v>2214</c:v>
                </c:pt>
                <c:pt idx="8">
                  <c:v>342</c:v>
                </c:pt>
                <c:pt idx="9">
                  <c:v>2438</c:v>
                </c:pt>
                <c:pt idx="10">
                  <c:v>6658</c:v>
                </c:pt>
                <c:pt idx="11">
                  <c:v>5173</c:v>
                </c:pt>
                <c:pt idx="12">
                  <c:v>35895</c:v>
                </c:pt>
                <c:pt idx="13">
                  <c:v>10326</c:v>
                </c:pt>
                <c:pt idx="14">
                  <c:v>4266</c:v>
                </c:pt>
                <c:pt idx="15">
                  <c:v>5654</c:v>
                </c:pt>
                <c:pt idx="16">
                  <c:v>58908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D-4629-A5AD-8993BA152099}"/>
            </c:ext>
          </c:extLst>
        </c:ser>
        <c:ser>
          <c:idx val="1"/>
          <c:order val="1"/>
          <c:tx>
            <c:v>계획</c:v>
          </c:tx>
          <c:cat>
            <c:strRef>
              <c:f>'12'!$D$6:$D$22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'12'!$J$6:$J$22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8804</c:v>
                </c:pt>
                <c:pt idx="2">
                  <c:v>3315</c:v>
                </c:pt>
                <c:pt idx="3">
                  <c:v>4112</c:v>
                </c:pt>
                <c:pt idx="4">
                  <c:v>3850</c:v>
                </c:pt>
                <c:pt idx="5">
                  <c:v>5102</c:v>
                </c:pt>
                <c:pt idx="6">
                  <c:v>5041</c:v>
                </c:pt>
                <c:pt idx="7">
                  <c:v>2214</c:v>
                </c:pt>
                <c:pt idx="8">
                  <c:v>342</c:v>
                </c:pt>
                <c:pt idx="9">
                  <c:v>2438</c:v>
                </c:pt>
                <c:pt idx="10">
                  <c:v>6658</c:v>
                </c:pt>
                <c:pt idx="11">
                  <c:v>5173</c:v>
                </c:pt>
                <c:pt idx="12">
                  <c:v>35895</c:v>
                </c:pt>
                <c:pt idx="13">
                  <c:v>10326</c:v>
                </c:pt>
                <c:pt idx="14">
                  <c:v>4266</c:v>
                </c:pt>
                <c:pt idx="15">
                  <c:v>5654</c:v>
                </c:pt>
                <c:pt idx="16">
                  <c:v>58908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D-4629-A5AD-8993BA152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'12'!$AD$6:$AD$22</c:f>
              <c:strCache>
                <c:ptCount val="17"/>
                <c:pt idx="0">
                  <c:v>0%</c:v>
                </c:pt>
                <c:pt idx="1">
                  <c:v>83%</c:v>
                </c:pt>
                <c:pt idx="2">
                  <c:v>71%</c:v>
                </c:pt>
                <c:pt idx="3">
                  <c:v>83%</c:v>
                </c:pt>
                <c:pt idx="4">
                  <c:v>67%</c:v>
                </c:pt>
                <c:pt idx="5">
                  <c:v>96%</c:v>
                </c:pt>
                <c:pt idx="6">
                  <c:v>96%</c:v>
                </c:pt>
                <c:pt idx="7">
                  <c:v>42%</c:v>
                </c:pt>
                <c:pt idx="8">
                  <c:v>25%</c:v>
                </c:pt>
                <c:pt idx="9">
                  <c:v>46%</c:v>
                </c:pt>
                <c:pt idx="10">
                  <c:v>50%</c:v>
                </c:pt>
                <c:pt idx="11">
                  <c:v>92%</c:v>
                </c:pt>
                <c:pt idx="12">
                  <c:v>100%</c:v>
                </c:pt>
                <c:pt idx="13">
                  <c:v>92%</c:v>
                </c:pt>
                <c:pt idx="14">
                  <c:v>75%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'12'!$AD$6:$AD$22</c:f>
              <c:numCache>
                <c:formatCode>0%</c:formatCode>
                <c:ptCount val="17"/>
                <c:pt idx="0">
                  <c:v>0</c:v>
                </c:pt>
                <c:pt idx="1">
                  <c:v>0.83333333333333337</c:v>
                </c:pt>
                <c:pt idx="2">
                  <c:v>0.70833333333333337</c:v>
                </c:pt>
                <c:pt idx="3">
                  <c:v>0.83333333333333337</c:v>
                </c:pt>
                <c:pt idx="4">
                  <c:v>0.66666666666666663</c:v>
                </c:pt>
                <c:pt idx="5">
                  <c:v>0.95833333333333337</c:v>
                </c:pt>
                <c:pt idx="6">
                  <c:v>0.95833333333333337</c:v>
                </c:pt>
                <c:pt idx="7">
                  <c:v>0.41666666666666669</c:v>
                </c:pt>
                <c:pt idx="8">
                  <c:v>0.25</c:v>
                </c:pt>
                <c:pt idx="9">
                  <c:v>0.45833333333333331</c:v>
                </c:pt>
                <c:pt idx="10">
                  <c:v>0.5</c:v>
                </c:pt>
                <c:pt idx="11">
                  <c:v>0.91666666666666663</c:v>
                </c:pt>
                <c:pt idx="12">
                  <c:v>1</c:v>
                </c:pt>
                <c:pt idx="13">
                  <c:v>0.91666666666666663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8-4330-8392-61272814B94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38-4330-8392-61272814B94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'12'!$AE$6:$AE$22</c:f>
              <c:numCache>
                <c:formatCode>0%</c:formatCode>
                <c:ptCount val="17"/>
                <c:pt idx="0">
                  <c:v>0.71568627450980393</c:v>
                </c:pt>
                <c:pt idx="1">
                  <c:v>0.71568627450980393</c:v>
                </c:pt>
                <c:pt idx="2">
                  <c:v>0.71568627450980393</c:v>
                </c:pt>
                <c:pt idx="3">
                  <c:v>0.71568627450980393</c:v>
                </c:pt>
                <c:pt idx="4">
                  <c:v>0.71568627450980393</c:v>
                </c:pt>
                <c:pt idx="5">
                  <c:v>0.71568627450980393</c:v>
                </c:pt>
                <c:pt idx="6">
                  <c:v>0.71568627450980393</c:v>
                </c:pt>
                <c:pt idx="7">
                  <c:v>0.71568627450980393</c:v>
                </c:pt>
                <c:pt idx="8">
                  <c:v>0.71568627450980393</c:v>
                </c:pt>
                <c:pt idx="9">
                  <c:v>0.71568627450980393</c:v>
                </c:pt>
                <c:pt idx="10">
                  <c:v>0.71568627450980393</c:v>
                </c:pt>
                <c:pt idx="11">
                  <c:v>0.71568627450980393</c:v>
                </c:pt>
                <c:pt idx="12">
                  <c:v>0.71568627450980393</c:v>
                </c:pt>
                <c:pt idx="13">
                  <c:v>0.71568627450980393</c:v>
                </c:pt>
                <c:pt idx="14">
                  <c:v>0.71568627450980393</c:v>
                </c:pt>
                <c:pt idx="15">
                  <c:v>0.71568627450980393</c:v>
                </c:pt>
                <c:pt idx="16">
                  <c:v>0.71568627450980393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38-4330-8392-61272814B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'12'!$L$6:$L$22</c:f>
              <c:numCache>
                <c:formatCode>_(* #,##0_);_(* \(#,##0\);_(* "-"_);_(@_)</c:formatCode>
                <c:ptCount val="17"/>
                <c:pt idx="1">
                  <c:v>8804</c:v>
                </c:pt>
                <c:pt idx="2">
                  <c:v>3315</c:v>
                </c:pt>
                <c:pt idx="3">
                  <c:v>4112</c:v>
                </c:pt>
                <c:pt idx="4">
                  <c:v>3850</c:v>
                </c:pt>
                <c:pt idx="5">
                  <c:v>5102</c:v>
                </c:pt>
                <c:pt idx="6">
                  <c:v>5041</c:v>
                </c:pt>
                <c:pt idx="7">
                  <c:v>2214</c:v>
                </c:pt>
                <c:pt idx="8">
                  <c:v>342</c:v>
                </c:pt>
                <c:pt idx="9">
                  <c:v>2438</c:v>
                </c:pt>
                <c:pt idx="10">
                  <c:v>6658</c:v>
                </c:pt>
                <c:pt idx="11">
                  <c:v>5173</c:v>
                </c:pt>
                <c:pt idx="12">
                  <c:v>35895</c:v>
                </c:pt>
                <c:pt idx="13">
                  <c:v>10326</c:v>
                </c:pt>
                <c:pt idx="14">
                  <c:v>4266</c:v>
                </c:pt>
                <c:pt idx="15">
                  <c:v>5654</c:v>
                </c:pt>
                <c:pt idx="16">
                  <c:v>58908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3-4B68-8487-7AD2C2C56E66}"/>
            </c:ext>
          </c:extLst>
        </c:ser>
        <c:ser>
          <c:idx val="1"/>
          <c:order val="1"/>
          <c:tx>
            <c:v>계획</c:v>
          </c:tx>
          <c:cat>
            <c:strRef>
              <c:f>'12'!$D$6:$D$22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'12'!$J$6:$J$22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8804</c:v>
                </c:pt>
                <c:pt idx="2">
                  <c:v>3315</c:v>
                </c:pt>
                <c:pt idx="3">
                  <c:v>4112</c:v>
                </c:pt>
                <c:pt idx="4">
                  <c:v>3850</c:v>
                </c:pt>
                <c:pt idx="5">
                  <c:v>5102</c:v>
                </c:pt>
                <c:pt idx="6">
                  <c:v>5041</c:v>
                </c:pt>
                <c:pt idx="7">
                  <c:v>2214</c:v>
                </c:pt>
                <c:pt idx="8">
                  <c:v>342</c:v>
                </c:pt>
                <c:pt idx="9">
                  <c:v>2438</c:v>
                </c:pt>
                <c:pt idx="10">
                  <c:v>6658</c:v>
                </c:pt>
                <c:pt idx="11">
                  <c:v>5173</c:v>
                </c:pt>
                <c:pt idx="12">
                  <c:v>35895</c:v>
                </c:pt>
                <c:pt idx="13">
                  <c:v>10326</c:v>
                </c:pt>
                <c:pt idx="14">
                  <c:v>4266</c:v>
                </c:pt>
                <c:pt idx="15">
                  <c:v>5654</c:v>
                </c:pt>
                <c:pt idx="16">
                  <c:v>58908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B3-4B68-8487-7AD2C2C56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'12'!$AD$6:$AD$22</c:f>
              <c:strCache>
                <c:ptCount val="17"/>
                <c:pt idx="0">
                  <c:v>0%</c:v>
                </c:pt>
                <c:pt idx="1">
                  <c:v>83%</c:v>
                </c:pt>
                <c:pt idx="2">
                  <c:v>71%</c:v>
                </c:pt>
                <c:pt idx="3">
                  <c:v>83%</c:v>
                </c:pt>
                <c:pt idx="4">
                  <c:v>67%</c:v>
                </c:pt>
                <c:pt idx="5">
                  <c:v>96%</c:v>
                </c:pt>
                <c:pt idx="6">
                  <c:v>96%</c:v>
                </c:pt>
                <c:pt idx="7">
                  <c:v>42%</c:v>
                </c:pt>
                <c:pt idx="8">
                  <c:v>25%</c:v>
                </c:pt>
                <c:pt idx="9">
                  <c:v>46%</c:v>
                </c:pt>
                <c:pt idx="10">
                  <c:v>50%</c:v>
                </c:pt>
                <c:pt idx="11">
                  <c:v>92%</c:v>
                </c:pt>
                <c:pt idx="12">
                  <c:v>100%</c:v>
                </c:pt>
                <c:pt idx="13">
                  <c:v>92%</c:v>
                </c:pt>
                <c:pt idx="14">
                  <c:v>75%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'12'!$AD$6:$AD$22</c:f>
              <c:numCache>
                <c:formatCode>0%</c:formatCode>
                <c:ptCount val="17"/>
                <c:pt idx="0">
                  <c:v>0</c:v>
                </c:pt>
                <c:pt idx="1">
                  <c:v>0.83333333333333337</c:v>
                </c:pt>
                <c:pt idx="2">
                  <c:v>0.70833333333333337</c:v>
                </c:pt>
                <c:pt idx="3">
                  <c:v>0.83333333333333337</c:v>
                </c:pt>
                <c:pt idx="4">
                  <c:v>0.66666666666666663</c:v>
                </c:pt>
                <c:pt idx="5">
                  <c:v>0.95833333333333337</c:v>
                </c:pt>
                <c:pt idx="6">
                  <c:v>0.95833333333333337</c:v>
                </c:pt>
                <c:pt idx="7">
                  <c:v>0.41666666666666669</c:v>
                </c:pt>
                <c:pt idx="8">
                  <c:v>0.25</c:v>
                </c:pt>
                <c:pt idx="9">
                  <c:v>0.45833333333333331</c:v>
                </c:pt>
                <c:pt idx="10">
                  <c:v>0.5</c:v>
                </c:pt>
                <c:pt idx="11">
                  <c:v>0.91666666666666663</c:v>
                </c:pt>
                <c:pt idx="12">
                  <c:v>1</c:v>
                </c:pt>
                <c:pt idx="13">
                  <c:v>0.91666666666666663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A3-4215-8509-6A588542EB2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A3-4215-8509-6A588542EB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'12'!$D$6:$D$22</c:f>
              <c:strCache>
                <c:ptCount val="16"/>
                <c:pt idx="0">
                  <c:v>F/A</c:v>
                </c:pt>
                <c:pt idx="2">
                  <c:v>BASE</c:v>
                </c:pt>
                <c:pt idx="3">
                  <c:v>STOPPPER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'12'!$AE$6:$AE$22</c:f>
              <c:numCache>
                <c:formatCode>0%</c:formatCode>
                <c:ptCount val="17"/>
                <c:pt idx="0">
                  <c:v>0.71568627450980393</c:v>
                </c:pt>
                <c:pt idx="1">
                  <c:v>0.71568627450980393</c:v>
                </c:pt>
                <c:pt idx="2">
                  <c:v>0.71568627450980393</c:v>
                </c:pt>
                <c:pt idx="3">
                  <c:v>0.71568627450980393</c:v>
                </c:pt>
                <c:pt idx="4">
                  <c:v>0.71568627450980393</c:v>
                </c:pt>
                <c:pt idx="5">
                  <c:v>0.71568627450980393</c:v>
                </c:pt>
                <c:pt idx="6">
                  <c:v>0.71568627450980393</c:v>
                </c:pt>
                <c:pt idx="7">
                  <c:v>0.71568627450980393</c:v>
                </c:pt>
                <c:pt idx="8">
                  <c:v>0.71568627450980393</c:v>
                </c:pt>
                <c:pt idx="9">
                  <c:v>0.71568627450980393</c:v>
                </c:pt>
                <c:pt idx="10">
                  <c:v>0.71568627450980393</c:v>
                </c:pt>
                <c:pt idx="11">
                  <c:v>0.71568627450980393</c:v>
                </c:pt>
                <c:pt idx="12">
                  <c:v>0.71568627450980393</c:v>
                </c:pt>
                <c:pt idx="13">
                  <c:v>0.71568627450980393</c:v>
                </c:pt>
                <c:pt idx="14">
                  <c:v>0.71568627450980393</c:v>
                </c:pt>
                <c:pt idx="15">
                  <c:v>0.71568627450980393</c:v>
                </c:pt>
                <c:pt idx="16">
                  <c:v>0.71568627450980393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A3-4215-8509-6A588542E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769-4CAE-B88B-DDB987C3A3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9-4CAE-B88B-DDB987C3A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769-4CAE-B88B-DDB987C3A3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69-4CAE-B88B-DDB987C3A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'13'!$D$6:$D$22</c:f>
              <c:strCache>
                <c:ptCount val="16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STOPPPER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'13'!$L$6:$L$22</c:f>
              <c:numCache>
                <c:formatCode>_(* #,##0_);_(* \(#,##0\);_(* "-"_);_(@_)</c:formatCode>
                <c:ptCount val="17"/>
                <c:pt idx="1">
                  <c:v>3078</c:v>
                </c:pt>
                <c:pt idx="2">
                  <c:v>2534</c:v>
                </c:pt>
                <c:pt idx="3">
                  <c:v>3548</c:v>
                </c:pt>
                <c:pt idx="4">
                  <c:v>5541</c:v>
                </c:pt>
                <c:pt idx="6">
                  <c:v>5929</c:v>
                </c:pt>
                <c:pt idx="7">
                  <c:v>5597</c:v>
                </c:pt>
                <c:pt idx="8">
                  <c:v>5208</c:v>
                </c:pt>
                <c:pt idx="10">
                  <c:v>13292</c:v>
                </c:pt>
                <c:pt idx="11">
                  <c:v>5805</c:v>
                </c:pt>
                <c:pt idx="12">
                  <c:v>37090</c:v>
                </c:pt>
                <c:pt idx="13">
                  <c:v>8450</c:v>
                </c:pt>
                <c:pt idx="14">
                  <c:v>3583</c:v>
                </c:pt>
                <c:pt idx="15">
                  <c:v>5218</c:v>
                </c:pt>
                <c:pt idx="16">
                  <c:v>58380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6-404E-B9FC-E7B20CCB9931}"/>
            </c:ext>
          </c:extLst>
        </c:ser>
        <c:ser>
          <c:idx val="1"/>
          <c:order val="1"/>
          <c:tx>
            <c:v>계획</c:v>
          </c:tx>
          <c:cat>
            <c:strRef>
              <c:f>'13'!$D$6:$D$22</c:f>
              <c:strCache>
                <c:ptCount val="16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STOPPPER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'13'!$J$6:$J$22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3078</c:v>
                </c:pt>
                <c:pt idx="2">
                  <c:v>2534</c:v>
                </c:pt>
                <c:pt idx="3">
                  <c:v>3548</c:v>
                </c:pt>
                <c:pt idx="4">
                  <c:v>5541</c:v>
                </c:pt>
                <c:pt idx="5">
                  <c:v>3850</c:v>
                </c:pt>
                <c:pt idx="6">
                  <c:v>5929</c:v>
                </c:pt>
                <c:pt idx="7">
                  <c:v>5597</c:v>
                </c:pt>
                <c:pt idx="8">
                  <c:v>5208</c:v>
                </c:pt>
                <c:pt idx="9">
                  <c:v>342</c:v>
                </c:pt>
                <c:pt idx="10">
                  <c:v>13292</c:v>
                </c:pt>
                <c:pt idx="11">
                  <c:v>5805</c:v>
                </c:pt>
                <c:pt idx="12">
                  <c:v>37090</c:v>
                </c:pt>
                <c:pt idx="13">
                  <c:v>8450</c:v>
                </c:pt>
                <c:pt idx="14">
                  <c:v>3583</c:v>
                </c:pt>
                <c:pt idx="15">
                  <c:v>5218</c:v>
                </c:pt>
                <c:pt idx="16">
                  <c:v>58380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6-404E-B9FC-E7B20CCB9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'13'!$AD$6:$AD$22</c:f>
              <c:strCache>
                <c:ptCount val="17"/>
                <c:pt idx="0">
                  <c:v>0%</c:v>
                </c:pt>
                <c:pt idx="1">
                  <c:v>25%</c:v>
                </c:pt>
                <c:pt idx="2">
                  <c:v>54%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96%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79%</c:v>
                </c:pt>
                <c:pt idx="14">
                  <c:v>67%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STOPPPER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'13'!$AD$6:$AD$22</c:f>
              <c:numCache>
                <c:formatCode>0%</c:formatCode>
                <c:ptCount val="17"/>
                <c:pt idx="0">
                  <c:v>0</c:v>
                </c:pt>
                <c:pt idx="1">
                  <c:v>0.25</c:v>
                </c:pt>
                <c:pt idx="2">
                  <c:v>0.54166666666666663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0.95833333333333337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0.79166666666666663</c:v>
                </c:pt>
                <c:pt idx="14">
                  <c:v>0.66666666666666663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7-4B11-A8D9-EE2BEE111A3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F7-4B11-A8D9-EE2BEE111A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STOPPPER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'13'!$AE$6:$AE$22</c:f>
              <c:numCache>
                <c:formatCode>0%</c:formatCode>
                <c:ptCount val="17"/>
                <c:pt idx="0">
                  <c:v>0.70343137254901955</c:v>
                </c:pt>
                <c:pt idx="1">
                  <c:v>0.70343137254901955</c:v>
                </c:pt>
                <c:pt idx="2">
                  <c:v>0.70343137254901955</c:v>
                </c:pt>
                <c:pt idx="3">
                  <c:v>0.70343137254901955</c:v>
                </c:pt>
                <c:pt idx="4">
                  <c:v>0.70343137254901955</c:v>
                </c:pt>
                <c:pt idx="5">
                  <c:v>0.70343137254901955</c:v>
                </c:pt>
                <c:pt idx="6">
                  <c:v>0.70343137254901955</c:v>
                </c:pt>
                <c:pt idx="7">
                  <c:v>0.70343137254901955</c:v>
                </c:pt>
                <c:pt idx="8">
                  <c:v>0.70343137254901955</c:v>
                </c:pt>
                <c:pt idx="9">
                  <c:v>0.70343137254901955</c:v>
                </c:pt>
                <c:pt idx="10">
                  <c:v>0.70343137254901955</c:v>
                </c:pt>
                <c:pt idx="11">
                  <c:v>0.70343137254901955</c:v>
                </c:pt>
                <c:pt idx="12">
                  <c:v>0.70343137254901955</c:v>
                </c:pt>
                <c:pt idx="13">
                  <c:v>0.70343137254901955</c:v>
                </c:pt>
                <c:pt idx="14">
                  <c:v>0.70343137254901955</c:v>
                </c:pt>
                <c:pt idx="15">
                  <c:v>0.70343137254901955</c:v>
                </c:pt>
                <c:pt idx="16">
                  <c:v>0.70343137254901955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F7-4B11-A8D9-EE2BEE111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'13'!$D$6:$D$22</c:f>
              <c:strCache>
                <c:ptCount val="16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STOPPPER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'13'!$L$6:$L$22</c:f>
              <c:numCache>
                <c:formatCode>_(* #,##0_);_(* \(#,##0\);_(* "-"_);_(@_)</c:formatCode>
                <c:ptCount val="17"/>
                <c:pt idx="1">
                  <c:v>3078</c:v>
                </c:pt>
                <c:pt idx="2">
                  <c:v>2534</c:v>
                </c:pt>
                <c:pt idx="3">
                  <c:v>3548</c:v>
                </c:pt>
                <c:pt idx="4">
                  <c:v>5541</c:v>
                </c:pt>
                <c:pt idx="6">
                  <c:v>5929</c:v>
                </c:pt>
                <c:pt idx="7">
                  <c:v>5597</c:v>
                </c:pt>
                <c:pt idx="8">
                  <c:v>5208</c:v>
                </c:pt>
                <c:pt idx="10">
                  <c:v>13292</c:v>
                </c:pt>
                <c:pt idx="11">
                  <c:v>5805</c:v>
                </c:pt>
                <c:pt idx="12">
                  <c:v>37090</c:v>
                </c:pt>
                <c:pt idx="13">
                  <c:v>8450</c:v>
                </c:pt>
                <c:pt idx="14">
                  <c:v>3583</c:v>
                </c:pt>
                <c:pt idx="15">
                  <c:v>5218</c:v>
                </c:pt>
                <c:pt idx="16">
                  <c:v>58380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8-462D-BFF4-21EFC9D6B96E}"/>
            </c:ext>
          </c:extLst>
        </c:ser>
        <c:ser>
          <c:idx val="1"/>
          <c:order val="1"/>
          <c:tx>
            <c:v>계획</c:v>
          </c:tx>
          <c:cat>
            <c:strRef>
              <c:f>'13'!$D$6:$D$22</c:f>
              <c:strCache>
                <c:ptCount val="16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STOPPPER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'13'!$J$6:$J$22</c:f>
              <c:numCache>
                <c:formatCode>_(* #,##0_);_(* \(#,##0\);_(* "-"_);_(@_)</c:formatCode>
                <c:ptCount val="17"/>
                <c:pt idx="0">
                  <c:v>3401</c:v>
                </c:pt>
                <c:pt idx="1">
                  <c:v>3078</c:v>
                </c:pt>
                <c:pt idx="2">
                  <c:v>2534</c:v>
                </c:pt>
                <c:pt idx="3">
                  <c:v>3548</c:v>
                </c:pt>
                <c:pt idx="4">
                  <c:v>5541</c:v>
                </c:pt>
                <c:pt idx="5">
                  <c:v>3850</c:v>
                </c:pt>
                <c:pt idx="6">
                  <c:v>5929</c:v>
                </c:pt>
                <c:pt idx="7">
                  <c:v>5597</c:v>
                </c:pt>
                <c:pt idx="8">
                  <c:v>5208</c:v>
                </c:pt>
                <c:pt idx="9">
                  <c:v>342</c:v>
                </c:pt>
                <c:pt idx="10">
                  <c:v>13292</c:v>
                </c:pt>
                <c:pt idx="11">
                  <c:v>5805</c:v>
                </c:pt>
                <c:pt idx="12">
                  <c:v>37090</c:v>
                </c:pt>
                <c:pt idx="13">
                  <c:v>8450</c:v>
                </c:pt>
                <c:pt idx="14">
                  <c:v>3583</c:v>
                </c:pt>
                <c:pt idx="15">
                  <c:v>5218</c:v>
                </c:pt>
                <c:pt idx="16">
                  <c:v>58380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8-462D-BFF4-21EFC9D6B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'13'!$AD$6:$AD$22</c:f>
              <c:strCache>
                <c:ptCount val="17"/>
                <c:pt idx="0">
                  <c:v>0%</c:v>
                </c:pt>
                <c:pt idx="1">
                  <c:v>25%</c:v>
                </c:pt>
                <c:pt idx="2">
                  <c:v>54%</c:v>
                </c:pt>
                <c:pt idx="3">
                  <c:v>75%</c:v>
                </c:pt>
                <c:pt idx="4">
                  <c:v>100%</c:v>
                </c:pt>
                <c:pt idx="5">
                  <c:v>0%</c:v>
                </c:pt>
                <c:pt idx="6">
                  <c:v>100%</c:v>
                </c:pt>
                <c:pt idx="7">
                  <c:v>100%</c:v>
                </c:pt>
                <c:pt idx="8">
                  <c:v>96%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79%</c:v>
                </c:pt>
                <c:pt idx="14">
                  <c:v>67%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STOPPPER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'13'!$AD$6:$AD$22</c:f>
              <c:numCache>
                <c:formatCode>0%</c:formatCode>
                <c:ptCount val="17"/>
                <c:pt idx="0">
                  <c:v>0</c:v>
                </c:pt>
                <c:pt idx="1">
                  <c:v>0.25</c:v>
                </c:pt>
                <c:pt idx="2">
                  <c:v>0.54166666666666663</c:v>
                </c:pt>
                <c:pt idx="3">
                  <c:v>0.75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0.95833333333333337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0.79166666666666663</c:v>
                </c:pt>
                <c:pt idx="14">
                  <c:v>0.66666666666666663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7-4C72-82D9-E4A67736897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C7-4C72-82D9-E4A67736897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'13'!$D$6:$D$22</c:f>
              <c:strCache>
                <c:ptCount val="16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STOPPPER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0">
                  <c:v>LATCH PLATE</c:v>
                </c:pt>
                <c:pt idx="11">
                  <c:v>SLIDER</c:v>
                </c:pt>
                <c:pt idx="12">
                  <c:v>RIVET</c:v>
                </c:pt>
                <c:pt idx="15">
                  <c:v>BASE</c:v>
                </c:pt>
              </c:strCache>
            </c:strRef>
          </c:cat>
          <c:val>
            <c:numRef>
              <c:f>'13'!$AE$6:$AE$22</c:f>
              <c:numCache>
                <c:formatCode>0%</c:formatCode>
                <c:ptCount val="17"/>
                <c:pt idx="0">
                  <c:v>0.70343137254901955</c:v>
                </c:pt>
                <c:pt idx="1">
                  <c:v>0.70343137254901955</c:v>
                </c:pt>
                <c:pt idx="2">
                  <c:v>0.70343137254901955</c:v>
                </c:pt>
                <c:pt idx="3">
                  <c:v>0.70343137254901955</c:v>
                </c:pt>
                <c:pt idx="4">
                  <c:v>0.70343137254901955</c:v>
                </c:pt>
                <c:pt idx="5">
                  <c:v>0.70343137254901955</c:v>
                </c:pt>
                <c:pt idx="6">
                  <c:v>0.70343137254901955</c:v>
                </c:pt>
                <c:pt idx="7">
                  <c:v>0.70343137254901955</c:v>
                </c:pt>
                <c:pt idx="8">
                  <c:v>0.70343137254901955</c:v>
                </c:pt>
                <c:pt idx="9">
                  <c:v>0.70343137254901955</c:v>
                </c:pt>
                <c:pt idx="10">
                  <c:v>0.70343137254901955</c:v>
                </c:pt>
                <c:pt idx="11">
                  <c:v>0.70343137254901955</c:v>
                </c:pt>
                <c:pt idx="12">
                  <c:v>0.70343137254901955</c:v>
                </c:pt>
                <c:pt idx="13">
                  <c:v>0.70343137254901955</c:v>
                </c:pt>
                <c:pt idx="14">
                  <c:v>0.70343137254901955</c:v>
                </c:pt>
                <c:pt idx="15">
                  <c:v>0.70343137254901955</c:v>
                </c:pt>
                <c:pt idx="16">
                  <c:v>0.70343137254901955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C7-4C72-82D9-E4A677368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005-4EC2-8B99-6D88F5B0E9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5-4EC2-8B99-6D88F5B0E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005-4EC2-8B99-6D88F5B0E9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05-4EC2-8B99-6D88F5B0E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'14'!$D$6:$D$23</c:f>
              <c:strCache>
                <c:ptCount val="17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BOTTOM</c:v>
                </c:pt>
                <c:pt idx="5">
                  <c:v>STOPPPER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LATCH</c:v>
                </c:pt>
                <c:pt idx="12">
                  <c:v>SLIDER</c:v>
                </c:pt>
                <c:pt idx="13">
                  <c:v>RIVET</c:v>
                </c:pt>
                <c:pt idx="16">
                  <c:v>BASE</c:v>
                </c:pt>
              </c:strCache>
            </c:strRef>
          </c:cat>
          <c:val>
            <c:numRef>
              <c:f>'14'!$L$6:$L$23</c:f>
              <c:numCache>
                <c:formatCode>_(* #,##0_);_(* \(#,##0\);_(* "-"_);_(@_)</c:formatCode>
                <c:ptCount val="18"/>
                <c:pt idx="1">
                  <c:v>2432</c:v>
                </c:pt>
                <c:pt idx="2">
                  <c:v>801</c:v>
                </c:pt>
                <c:pt idx="3">
                  <c:v>1139</c:v>
                </c:pt>
                <c:pt idx="4">
                  <c:v>4155</c:v>
                </c:pt>
                <c:pt idx="5">
                  <c:v>1793</c:v>
                </c:pt>
                <c:pt idx="6">
                  <c:v>7664</c:v>
                </c:pt>
                <c:pt idx="7">
                  <c:v>5369</c:v>
                </c:pt>
                <c:pt idx="8">
                  <c:v>5567</c:v>
                </c:pt>
                <c:pt idx="11">
                  <c:v>6538</c:v>
                </c:pt>
                <c:pt idx="12">
                  <c:v>5835</c:v>
                </c:pt>
                <c:pt idx="13">
                  <c:v>38775</c:v>
                </c:pt>
                <c:pt idx="14">
                  <c:v>9122</c:v>
                </c:pt>
                <c:pt idx="15">
                  <c:v>4683</c:v>
                </c:pt>
                <c:pt idx="16">
                  <c:v>5376</c:v>
                </c:pt>
                <c:pt idx="17">
                  <c:v>58904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9A-45F5-8F75-DD0B9E33304C}"/>
            </c:ext>
          </c:extLst>
        </c:ser>
        <c:ser>
          <c:idx val="1"/>
          <c:order val="1"/>
          <c:tx>
            <c:v>계획</c:v>
          </c:tx>
          <c:cat>
            <c:strRef>
              <c:f>'14'!$D$6:$D$23</c:f>
              <c:strCache>
                <c:ptCount val="17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BOTTOM</c:v>
                </c:pt>
                <c:pt idx="5">
                  <c:v>STOPPPER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LATCH</c:v>
                </c:pt>
                <c:pt idx="12">
                  <c:v>SLIDER</c:v>
                </c:pt>
                <c:pt idx="13">
                  <c:v>RIVET</c:v>
                </c:pt>
                <c:pt idx="16">
                  <c:v>BASE</c:v>
                </c:pt>
              </c:strCache>
            </c:strRef>
          </c:cat>
          <c:val>
            <c:numRef>
              <c:f>'14'!$J$6:$J$23</c:f>
              <c:numCache>
                <c:formatCode>_(* #,##0_);_(* \(#,##0\);_(* "-"_);_(@_)</c:formatCode>
                <c:ptCount val="18"/>
                <c:pt idx="0">
                  <c:v>3401</c:v>
                </c:pt>
                <c:pt idx="1">
                  <c:v>2432</c:v>
                </c:pt>
                <c:pt idx="2">
                  <c:v>801</c:v>
                </c:pt>
                <c:pt idx="3">
                  <c:v>1139</c:v>
                </c:pt>
                <c:pt idx="4">
                  <c:v>4155</c:v>
                </c:pt>
                <c:pt idx="5">
                  <c:v>1793</c:v>
                </c:pt>
                <c:pt idx="6">
                  <c:v>7664</c:v>
                </c:pt>
                <c:pt idx="7">
                  <c:v>5369</c:v>
                </c:pt>
                <c:pt idx="8">
                  <c:v>5567</c:v>
                </c:pt>
                <c:pt idx="9">
                  <c:v>5208</c:v>
                </c:pt>
                <c:pt idx="10">
                  <c:v>342</c:v>
                </c:pt>
                <c:pt idx="11">
                  <c:v>6538</c:v>
                </c:pt>
                <c:pt idx="12">
                  <c:v>5835</c:v>
                </c:pt>
                <c:pt idx="13">
                  <c:v>38775</c:v>
                </c:pt>
                <c:pt idx="14">
                  <c:v>9122</c:v>
                </c:pt>
                <c:pt idx="15">
                  <c:v>4683</c:v>
                </c:pt>
                <c:pt idx="16">
                  <c:v>5376</c:v>
                </c:pt>
                <c:pt idx="17">
                  <c:v>58904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9A-45F5-8F75-DD0B9E333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'14'!$AD$6:$AD$23</c:f>
              <c:strCache>
                <c:ptCount val="18"/>
                <c:pt idx="0">
                  <c:v>0%</c:v>
                </c:pt>
                <c:pt idx="1">
                  <c:v>50%</c:v>
                </c:pt>
                <c:pt idx="2">
                  <c:v>21%</c:v>
                </c:pt>
                <c:pt idx="3">
                  <c:v>25%</c:v>
                </c:pt>
                <c:pt idx="4">
                  <c:v>71%</c:v>
                </c:pt>
                <c:pt idx="5">
                  <c:v>38%</c:v>
                </c:pt>
                <c:pt idx="6">
                  <c:v>75%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58%</c:v>
                </c:pt>
                <c:pt idx="12">
                  <c:v>100%</c:v>
                </c:pt>
                <c:pt idx="13">
                  <c:v>100%</c:v>
                </c:pt>
                <c:pt idx="14">
                  <c:v>83%</c:v>
                </c:pt>
                <c:pt idx="15">
                  <c:v>88%</c:v>
                </c:pt>
                <c:pt idx="16">
                  <c:v>100%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'14'!$D$6:$D$23</c:f>
              <c:strCache>
                <c:ptCount val="17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BOTTOM</c:v>
                </c:pt>
                <c:pt idx="5">
                  <c:v>STOPPPER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LATCH</c:v>
                </c:pt>
                <c:pt idx="12">
                  <c:v>SLIDER</c:v>
                </c:pt>
                <c:pt idx="13">
                  <c:v>RIVET</c:v>
                </c:pt>
                <c:pt idx="16">
                  <c:v>BASE</c:v>
                </c:pt>
              </c:strCache>
            </c:strRef>
          </c:cat>
          <c:val>
            <c:numRef>
              <c:f>'14'!$AD$6:$AD$23</c:f>
              <c:numCache>
                <c:formatCode>0%</c:formatCode>
                <c:ptCount val="18"/>
                <c:pt idx="0">
                  <c:v>0</c:v>
                </c:pt>
                <c:pt idx="1">
                  <c:v>0.5</c:v>
                </c:pt>
                <c:pt idx="2">
                  <c:v>0.20833333333333334</c:v>
                </c:pt>
                <c:pt idx="3">
                  <c:v>0.25</c:v>
                </c:pt>
                <c:pt idx="4">
                  <c:v>0.70833333333333337</c:v>
                </c:pt>
                <c:pt idx="5">
                  <c:v>0.375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0.58333333333333337</c:v>
                </c:pt>
                <c:pt idx="12">
                  <c:v>1</c:v>
                </c:pt>
                <c:pt idx="13">
                  <c:v>1</c:v>
                </c:pt>
                <c:pt idx="14">
                  <c:v>0.83333333333333337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5-4C53-B617-B99EDCF41BE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65-4C53-B617-B99EDCF41BE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'14'!$D$6:$D$23</c:f>
              <c:strCache>
                <c:ptCount val="17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BOTTOM</c:v>
                </c:pt>
                <c:pt idx="5">
                  <c:v>STOPPPER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LATCH</c:v>
                </c:pt>
                <c:pt idx="12">
                  <c:v>SLIDER</c:v>
                </c:pt>
                <c:pt idx="13">
                  <c:v>RIVET</c:v>
                </c:pt>
                <c:pt idx="16">
                  <c:v>BASE</c:v>
                </c:pt>
              </c:strCache>
            </c:strRef>
          </c:cat>
          <c:val>
            <c:numRef>
              <c:f>'14'!$AE$6:$AE$23</c:f>
              <c:numCache>
                <c:formatCode>0%</c:formatCode>
                <c:ptCount val="18"/>
                <c:pt idx="0">
                  <c:v>0.61574074074074081</c:v>
                </c:pt>
                <c:pt idx="1">
                  <c:v>0.61574074074074081</c:v>
                </c:pt>
                <c:pt idx="2">
                  <c:v>0.61574074074074081</c:v>
                </c:pt>
                <c:pt idx="3">
                  <c:v>0.61574074074074081</c:v>
                </c:pt>
                <c:pt idx="4">
                  <c:v>0.61574074074074081</c:v>
                </c:pt>
                <c:pt idx="5">
                  <c:v>0.61574074074074081</c:v>
                </c:pt>
                <c:pt idx="6">
                  <c:v>0.61574074074074081</c:v>
                </c:pt>
                <c:pt idx="7">
                  <c:v>0.61574074074074081</c:v>
                </c:pt>
                <c:pt idx="8">
                  <c:v>0.61574074074074081</c:v>
                </c:pt>
                <c:pt idx="9">
                  <c:v>0.61574074074074081</c:v>
                </c:pt>
                <c:pt idx="10">
                  <c:v>0.61574074074074081</c:v>
                </c:pt>
                <c:pt idx="11">
                  <c:v>0.61574074074074081</c:v>
                </c:pt>
                <c:pt idx="12">
                  <c:v>0.61574074074074081</c:v>
                </c:pt>
                <c:pt idx="13">
                  <c:v>0.61574074074074081</c:v>
                </c:pt>
                <c:pt idx="14">
                  <c:v>0.61574074074074081</c:v>
                </c:pt>
                <c:pt idx="15">
                  <c:v>0.61574074074074081</c:v>
                </c:pt>
                <c:pt idx="16">
                  <c:v>0.61574074074074081</c:v>
                </c:pt>
                <c:pt idx="17">
                  <c:v>0.61574074074074081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65-4C53-B617-B99EDCF41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'14'!$D$6:$D$23</c:f>
              <c:strCache>
                <c:ptCount val="17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BOTTOM</c:v>
                </c:pt>
                <c:pt idx="5">
                  <c:v>STOPPPER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LATCH</c:v>
                </c:pt>
                <c:pt idx="12">
                  <c:v>SLIDER</c:v>
                </c:pt>
                <c:pt idx="13">
                  <c:v>RIVET</c:v>
                </c:pt>
                <c:pt idx="16">
                  <c:v>BASE</c:v>
                </c:pt>
              </c:strCache>
            </c:strRef>
          </c:cat>
          <c:val>
            <c:numRef>
              <c:f>'14'!$L$6:$L$23</c:f>
              <c:numCache>
                <c:formatCode>_(* #,##0_);_(* \(#,##0\);_(* "-"_);_(@_)</c:formatCode>
                <c:ptCount val="18"/>
                <c:pt idx="1">
                  <c:v>2432</c:v>
                </c:pt>
                <c:pt idx="2">
                  <c:v>801</c:v>
                </c:pt>
                <c:pt idx="3">
                  <c:v>1139</c:v>
                </c:pt>
                <c:pt idx="4">
                  <c:v>4155</c:v>
                </c:pt>
                <c:pt idx="5">
                  <c:v>1793</c:v>
                </c:pt>
                <c:pt idx="6">
                  <c:v>7664</c:v>
                </c:pt>
                <c:pt idx="7">
                  <c:v>5369</c:v>
                </c:pt>
                <c:pt idx="8">
                  <c:v>5567</c:v>
                </c:pt>
                <c:pt idx="11">
                  <c:v>6538</c:v>
                </c:pt>
                <c:pt idx="12">
                  <c:v>5835</c:v>
                </c:pt>
                <c:pt idx="13">
                  <c:v>38775</c:v>
                </c:pt>
                <c:pt idx="14">
                  <c:v>9122</c:v>
                </c:pt>
                <c:pt idx="15">
                  <c:v>4683</c:v>
                </c:pt>
                <c:pt idx="16">
                  <c:v>5376</c:v>
                </c:pt>
                <c:pt idx="17">
                  <c:v>58904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1-446B-8430-6402CE9D6984}"/>
            </c:ext>
          </c:extLst>
        </c:ser>
        <c:ser>
          <c:idx val="1"/>
          <c:order val="1"/>
          <c:tx>
            <c:v>계획</c:v>
          </c:tx>
          <c:cat>
            <c:strRef>
              <c:f>'14'!$D$6:$D$23</c:f>
              <c:strCache>
                <c:ptCount val="17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BOTTOM</c:v>
                </c:pt>
                <c:pt idx="5">
                  <c:v>STOPPPER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LATCH</c:v>
                </c:pt>
                <c:pt idx="12">
                  <c:v>SLIDER</c:v>
                </c:pt>
                <c:pt idx="13">
                  <c:v>RIVET</c:v>
                </c:pt>
                <c:pt idx="16">
                  <c:v>BASE</c:v>
                </c:pt>
              </c:strCache>
            </c:strRef>
          </c:cat>
          <c:val>
            <c:numRef>
              <c:f>'14'!$J$6:$J$23</c:f>
              <c:numCache>
                <c:formatCode>_(* #,##0_);_(* \(#,##0\);_(* "-"_);_(@_)</c:formatCode>
                <c:ptCount val="18"/>
                <c:pt idx="0">
                  <c:v>3401</c:v>
                </c:pt>
                <c:pt idx="1">
                  <c:v>2432</c:v>
                </c:pt>
                <c:pt idx="2">
                  <c:v>801</c:v>
                </c:pt>
                <c:pt idx="3">
                  <c:v>1139</c:v>
                </c:pt>
                <c:pt idx="4">
                  <c:v>4155</c:v>
                </c:pt>
                <c:pt idx="5">
                  <c:v>1793</c:v>
                </c:pt>
                <c:pt idx="6">
                  <c:v>7664</c:v>
                </c:pt>
                <c:pt idx="7">
                  <c:v>5369</c:v>
                </c:pt>
                <c:pt idx="8">
                  <c:v>5567</c:v>
                </c:pt>
                <c:pt idx="9">
                  <c:v>5208</c:v>
                </c:pt>
                <c:pt idx="10">
                  <c:v>342</c:v>
                </c:pt>
                <c:pt idx="11">
                  <c:v>6538</c:v>
                </c:pt>
                <c:pt idx="12">
                  <c:v>5835</c:v>
                </c:pt>
                <c:pt idx="13">
                  <c:v>38775</c:v>
                </c:pt>
                <c:pt idx="14">
                  <c:v>9122</c:v>
                </c:pt>
                <c:pt idx="15">
                  <c:v>4683</c:v>
                </c:pt>
                <c:pt idx="16">
                  <c:v>5376</c:v>
                </c:pt>
                <c:pt idx="17">
                  <c:v>58904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1-446B-8430-6402CE9D6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'14'!$AD$6:$AD$23</c:f>
              <c:strCache>
                <c:ptCount val="18"/>
                <c:pt idx="0">
                  <c:v>0%</c:v>
                </c:pt>
                <c:pt idx="1">
                  <c:v>50%</c:v>
                </c:pt>
                <c:pt idx="2">
                  <c:v>21%</c:v>
                </c:pt>
                <c:pt idx="3">
                  <c:v>25%</c:v>
                </c:pt>
                <c:pt idx="4">
                  <c:v>71%</c:v>
                </c:pt>
                <c:pt idx="5">
                  <c:v>38%</c:v>
                </c:pt>
                <c:pt idx="6">
                  <c:v>75%</c:v>
                </c:pt>
                <c:pt idx="7">
                  <c:v>100%</c:v>
                </c:pt>
                <c:pt idx="8">
                  <c:v>100%</c:v>
                </c:pt>
                <c:pt idx="9">
                  <c:v>0%</c:v>
                </c:pt>
                <c:pt idx="10">
                  <c:v>0%</c:v>
                </c:pt>
                <c:pt idx="11">
                  <c:v>58%</c:v>
                </c:pt>
                <c:pt idx="12">
                  <c:v>100%</c:v>
                </c:pt>
                <c:pt idx="13">
                  <c:v>100%</c:v>
                </c:pt>
                <c:pt idx="14">
                  <c:v>83%</c:v>
                </c:pt>
                <c:pt idx="15">
                  <c:v>88%</c:v>
                </c:pt>
                <c:pt idx="16">
                  <c:v>100%</c:v>
                </c:pt>
                <c:pt idx="17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'14'!$D$6:$D$23</c:f>
              <c:strCache>
                <c:ptCount val="17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BOTTOM</c:v>
                </c:pt>
                <c:pt idx="5">
                  <c:v>STOPPPER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LATCH</c:v>
                </c:pt>
                <c:pt idx="12">
                  <c:v>SLIDER</c:v>
                </c:pt>
                <c:pt idx="13">
                  <c:v>RIVET</c:v>
                </c:pt>
                <c:pt idx="16">
                  <c:v>BASE</c:v>
                </c:pt>
              </c:strCache>
            </c:strRef>
          </c:cat>
          <c:val>
            <c:numRef>
              <c:f>'14'!$AD$6:$AD$23</c:f>
              <c:numCache>
                <c:formatCode>0%</c:formatCode>
                <c:ptCount val="18"/>
                <c:pt idx="0">
                  <c:v>0</c:v>
                </c:pt>
                <c:pt idx="1">
                  <c:v>0.5</c:v>
                </c:pt>
                <c:pt idx="2">
                  <c:v>0.20833333333333334</c:v>
                </c:pt>
                <c:pt idx="3">
                  <c:v>0.25</c:v>
                </c:pt>
                <c:pt idx="4">
                  <c:v>0.70833333333333337</c:v>
                </c:pt>
                <c:pt idx="5">
                  <c:v>0.375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0.58333333333333337</c:v>
                </c:pt>
                <c:pt idx="12">
                  <c:v>1</c:v>
                </c:pt>
                <c:pt idx="13">
                  <c:v>1</c:v>
                </c:pt>
                <c:pt idx="14">
                  <c:v>0.83333333333333337</c:v>
                </c:pt>
                <c:pt idx="15">
                  <c:v>0.875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B-4CB5-8F2F-E67C09EE3E0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DB-4CB5-8F2F-E67C09EE3E0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'14'!$D$6:$D$23</c:f>
              <c:strCache>
                <c:ptCount val="17"/>
                <c:pt idx="0">
                  <c:v>F/A</c:v>
                </c:pt>
                <c:pt idx="2">
                  <c:v>FLOATING</c:v>
                </c:pt>
                <c:pt idx="3">
                  <c:v>BASE</c:v>
                </c:pt>
                <c:pt idx="4">
                  <c:v>BOTTOM</c:v>
                </c:pt>
                <c:pt idx="5">
                  <c:v>STOPPPER</c:v>
                </c:pt>
                <c:pt idx="8">
                  <c:v>BASE</c:v>
                </c:pt>
                <c:pt idx="9">
                  <c:v>38P</c:v>
                </c:pt>
                <c:pt idx="10">
                  <c:v>BASE</c:v>
                </c:pt>
                <c:pt idx="11">
                  <c:v>LATCH</c:v>
                </c:pt>
                <c:pt idx="12">
                  <c:v>SLIDER</c:v>
                </c:pt>
                <c:pt idx="13">
                  <c:v>RIVET</c:v>
                </c:pt>
                <c:pt idx="16">
                  <c:v>BASE</c:v>
                </c:pt>
              </c:strCache>
            </c:strRef>
          </c:cat>
          <c:val>
            <c:numRef>
              <c:f>'14'!$AE$6:$AE$23</c:f>
              <c:numCache>
                <c:formatCode>0%</c:formatCode>
                <c:ptCount val="18"/>
                <c:pt idx="0">
                  <c:v>0.61574074074074081</c:v>
                </c:pt>
                <c:pt idx="1">
                  <c:v>0.61574074074074081</c:v>
                </c:pt>
                <c:pt idx="2">
                  <c:v>0.61574074074074081</c:v>
                </c:pt>
                <c:pt idx="3">
                  <c:v>0.61574074074074081</c:v>
                </c:pt>
                <c:pt idx="4">
                  <c:v>0.61574074074074081</c:v>
                </c:pt>
                <c:pt idx="5">
                  <c:v>0.61574074074074081</c:v>
                </c:pt>
                <c:pt idx="6">
                  <c:v>0.61574074074074081</c:v>
                </c:pt>
                <c:pt idx="7">
                  <c:v>0.61574074074074081</c:v>
                </c:pt>
                <c:pt idx="8">
                  <c:v>0.61574074074074081</c:v>
                </c:pt>
                <c:pt idx="9">
                  <c:v>0.61574074074074081</c:v>
                </c:pt>
                <c:pt idx="10">
                  <c:v>0.61574074074074081</c:v>
                </c:pt>
                <c:pt idx="11">
                  <c:v>0.61574074074074081</c:v>
                </c:pt>
                <c:pt idx="12">
                  <c:v>0.61574074074074081</c:v>
                </c:pt>
                <c:pt idx="13">
                  <c:v>0.61574074074074081</c:v>
                </c:pt>
                <c:pt idx="14">
                  <c:v>0.61574074074074081</c:v>
                </c:pt>
                <c:pt idx="15">
                  <c:v>0.61574074074074081</c:v>
                </c:pt>
                <c:pt idx="16">
                  <c:v>0.61574074074074081</c:v>
                </c:pt>
                <c:pt idx="17">
                  <c:v>0.61574074074074081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DB-4CB5-8F2F-E67C09EE3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605-44E3-9C0C-D3BEC79403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5-44E3-9C0C-D3BEC7940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605-44E3-9C0C-D3BEC79403B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05-44E3-9C0C-D3BEC7940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2268</c:v>
                </c:pt>
                <c:pt idx="1">
                  <c:v>10614</c:v>
                </c:pt>
                <c:pt idx="2">
                  <c:v>6303</c:v>
                </c:pt>
                <c:pt idx="3">
                  <c:v>4649</c:v>
                </c:pt>
                <c:pt idx="4">
                  <c:v>6730</c:v>
                </c:pt>
                <c:pt idx="5">
                  <c:v>5768</c:v>
                </c:pt>
                <c:pt idx="6">
                  <c:v>5537</c:v>
                </c:pt>
                <c:pt idx="9">
                  <c:v>12196</c:v>
                </c:pt>
                <c:pt idx="10">
                  <c:v>6039</c:v>
                </c:pt>
                <c:pt idx="11">
                  <c:v>40475</c:v>
                </c:pt>
                <c:pt idx="12">
                  <c:v>5254</c:v>
                </c:pt>
                <c:pt idx="13">
                  <c:v>2788</c:v>
                </c:pt>
                <c:pt idx="14">
                  <c:v>5674</c:v>
                </c:pt>
                <c:pt idx="15">
                  <c:v>60440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F-4F83-9D08-59C4701AB8BC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2268</c:v>
                </c:pt>
                <c:pt idx="1">
                  <c:v>10614</c:v>
                </c:pt>
                <c:pt idx="2">
                  <c:v>6303</c:v>
                </c:pt>
                <c:pt idx="3">
                  <c:v>4649</c:v>
                </c:pt>
                <c:pt idx="4">
                  <c:v>6730</c:v>
                </c:pt>
                <c:pt idx="5">
                  <c:v>5768</c:v>
                </c:pt>
                <c:pt idx="6">
                  <c:v>5537</c:v>
                </c:pt>
                <c:pt idx="7">
                  <c:v>5208</c:v>
                </c:pt>
                <c:pt idx="8">
                  <c:v>342</c:v>
                </c:pt>
                <c:pt idx="9">
                  <c:v>12196</c:v>
                </c:pt>
                <c:pt idx="10">
                  <c:v>6039</c:v>
                </c:pt>
                <c:pt idx="11">
                  <c:v>40475</c:v>
                </c:pt>
                <c:pt idx="12">
                  <c:v>5254</c:v>
                </c:pt>
                <c:pt idx="13">
                  <c:v>2788</c:v>
                </c:pt>
                <c:pt idx="14">
                  <c:v>5674</c:v>
                </c:pt>
                <c:pt idx="15">
                  <c:v>60440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F-4F83-9D08-59C4701AB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42%</c:v>
                </c:pt>
                <c:pt idx="1">
                  <c:v>88%</c:v>
                </c:pt>
                <c:pt idx="2">
                  <c:v>100%</c:v>
                </c:pt>
                <c:pt idx="3">
                  <c:v>88%</c:v>
                </c:pt>
                <c:pt idx="4">
                  <c:v>67%</c:v>
                </c:pt>
                <c:pt idx="5">
                  <c:v>88%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54%</c:v>
                </c:pt>
                <c:pt idx="13">
                  <c:v>46%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0.875</c:v>
                </c:pt>
                <c:pt idx="2">
                  <c:v>1</c:v>
                </c:pt>
                <c:pt idx="3">
                  <c:v>0.875</c:v>
                </c:pt>
                <c:pt idx="4">
                  <c:v>0.66666666666666663</c:v>
                </c:pt>
                <c:pt idx="5">
                  <c:v>0.875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0.54166666666666663</c:v>
                </c:pt>
                <c:pt idx="13">
                  <c:v>0.45833333333333331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BF-413E-B589-C28C391EE50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BF-413E-B589-C28C391EE5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0.73177083333333337</c:v>
                </c:pt>
                <c:pt idx="1">
                  <c:v>0.73177083333333337</c:v>
                </c:pt>
                <c:pt idx="2">
                  <c:v>0.73177083333333337</c:v>
                </c:pt>
                <c:pt idx="3">
                  <c:v>0.73177083333333337</c:v>
                </c:pt>
                <c:pt idx="4">
                  <c:v>0.73177083333333337</c:v>
                </c:pt>
                <c:pt idx="5">
                  <c:v>0.73177083333333337</c:v>
                </c:pt>
                <c:pt idx="6">
                  <c:v>0.73177083333333337</c:v>
                </c:pt>
                <c:pt idx="7">
                  <c:v>0.73177083333333337</c:v>
                </c:pt>
                <c:pt idx="8">
                  <c:v>0.73177083333333337</c:v>
                </c:pt>
                <c:pt idx="9">
                  <c:v>0.73177083333333337</c:v>
                </c:pt>
                <c:pt idx="10">
                  <c:v>0.73177083333333337</c:v>
                </c:pt>
                <c:pt idx="11">
                  <c:v>0.73177083333333337</c:v>
                </c:pt>
                <c:pt idx="12">
                  <c:v>0.73177083333333337</c:v>
                </c:pt>
                <c:pt idx="13">
                  <c:v>0.73177083333333337</c:v>
                </c:pt>
                <c:pt idx="14">
                  <c:v>0.73177083333333337</c:v>
                </c:pt>
                <c:pt idx="15">
                  <c:v>0.73177083333333337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BF-413E-B589-C28C391EE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4">
                  <c:v>BASE</c:v>
                </c:pt>
              </c:strCache>
            </c:strRef>
          </c:cat>
          <c:val>
            <c:numRef>
              <c:f>'15'!$L$6:$L$21</c:f>
              <c:numCache>
                <c:formatCode>_(* #,##0_);_(* \(#,##0\);_(* "-"_);_(@_)</c:formatCode>
                <c:ptCount val="16"/>
                <c:pt idx="0">
                  <c:v>2268</c:v>
                </c:pt>
                <c:pt idx="1">
                  <c:v>10614</c:v>
                </c:pt>
                <c:pt idx="2">
                  <c:v>6303</c:v>
                </c:pt>
                <c:pt idx="3">
                  <c:v>4649</c:v>
                </c:pt>
                <c:pt idx="4">
                  <c:v>6730</c:v>
                </c:pt>
                <c:pt idx="5">
                  <c:v>5768</c:v>
                </c:pt>
                <c:pt idx="6">
                  <c:v>5537</c:v>
                </c:pt>
                <c:pt idx="9">
                  <c:v>12196</c:v>
                </c:pt>
                <c:pt idx="10">
                  <c:v>6039</c:v>
                </c:pt>
                <c:pt idx="11">
                  <c:v>40475</c:v>
                </c:pt>
                <c:pt idx="12">
                  <c:v>5254</c:v>
                </c:pt>
                <c:pt idx="13">
                  <c:v>2788</c:v>
                </c:pt>
                <c:pt idx="14">
                  <c:v>5674</c:v>
                </c:pt>
                <c:pt idx="15">
                  <c:v>60440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69-4E1E-8CF3-28386D33C6C0}"/>
            </c:ext>
          </c:extLst>
        </c:ser>
        <c:ser>
          <c:idx val="1"/>
          <c:order val="1"/>
          <c:tx>
            <c:v>계획</c:v>
          </c:tx>
          <c:cat>
            <c:strRef>
              <c:f>'15'!$D$6:$D$21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4">
                  <c:v>BASE</c:v>
                </c:pt>
              </c:strCache>
            </c:strRef>
          </c:cat>
          <c:val>
            <c:numRef>
              <c:f>'15'!$J$6:$J$21</c:f>
              <c:numCache>
                <c:formatCode>_(* #,##0_);_(* \(#,##0\);_(* "-"_);_(@_)</c:formatCode>
                <c:ptCount val="16"/>
                <c:pt idx="0">
                  <c:v>2268</c:v>
                </c:pt>
                <c:pt idx="1">
                  <c:v>10614</c:v>
                </c:pt>
                <c:pt idx="2">
                  <c:v>6303</c:v>
                </c:pt>
                <c:pt idx="3">
                  <c:v>4649</c:v>
                </c:pt>
                <c:pt idx="4">
                  <c:v>6730</c:v>
                </c:pt>
                <c:pt idx="5">
                  <c:v>5768</c:v>
                </c:pt>
                <c:pt idx="6">
                  <c:v>5537</c:v>
                </c:pt>
                <c:pt idx="7">
                  <c:v>5208</c:v>
                </c:pt>
                <c:pt idx="8">
                  <c:v>342</c:v>
                </c:pt>
                <c:pt idx="9">
                  <c:v>12196</c:v>
                </c:pt>
                <c:pt idx="10">
                  <c:v>6039</c:v>
                </c:pt>
                <c:pt idx="11">
                  <c:v>40475</c:v>
                </c:pt>
                <c:pt idx="12">
                  <c:v>5254</c:v>
                </c:pt>
                <c:pt idx="13">
                  <c:v>2788</c:v>
                </c:pt>
                <c:pt idx="14">
                  <c:v>5674</c:v>
                </c:pt>
                <c:pt idx="15">
                  <c:v>60440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69-4E1E-8CF3-28386D33C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'15'!$AD$6:$AD$21</c:f>
              <c:strCache>
                <c:ptCount val="16"/>
                <c:pt idx="0">
                  <c:v>42%</c:v>
                </c:pt>
                <c:pt idx="1">
                  <c:v>88%</c:v>
                </c:pt>
                <c:pt idx="2">
                  <c:v>100%</c:v>
                </c:pt>
                <c:pt idx="3">
                  <c:v>88%</c:v>
                </c:pt>
                <c:pt idx="4">
                  <c:v>67%</c:v>
                </c:pt>
                <c:pt idx="5">
                  <c:v>88%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100%</c:v>
                </c:pt>
                <c:pt idx="12">
                  <c:v>54%</c:v>
                </c:pt>
                <c:pt idx="13">
                  <c:v>46%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4">
                  <c:v>BASE</c:v>
                </c:pt>
              </c:strCache>
            </c:strRef>
          </c:cat>
          <c:val>
            <c:numRef>
              <c:f>'15'!$AD$6:$AD$21</c:f>
              <c:numCache>
                <c:formatCode>0%</c:formatCode>
                <c:ptCount val="16"/>
                <c:pt idx="0">
                  <c:v>0.41666666666666669</c:v>
                </c:pt>
                <c:pt idx="1">
                  <c:v>0.875</c:v>
                </c:pt>
                <c:pt idx="2">
                  <c:v>1</c:v>
                </c:pt>
                <c:pt idx="3">
                  <c:v>0.875</c:v>
                </c:pt>
                <c:pt idx="4">
                  <c:v>0.66666666666666663</c:v>
                </c:pt>
                <c:pt idx="5">
                  <c:v>0.875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0.54166666666666663</c:v>
                </c:pt>
                <c:pt idx="13">
                  <c:v>0.45833333333333331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8-4301-BD97-E825AF1C2F9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A8-4301-BD97-E825AF1C2F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'15'!$D$6:$D$21</c:f>
              <c:strCache>
                <c:ptCount val="15"/>
                <c:pt idx="0">
                  <c:v>F/A</c:v>
                </c:pt>
                <c:pt idx="2">
                  <c:v>BOTTOM</c:v>
                </c:pt>
                <c:pt idx="3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4">
                  <c:v>BASE</c:v>
                </c:pt>
              </c:strCache>
            </c:strRef>
          </c:cat>
          <c:val>
            <c:numRef>
              <c:f>'15'!$AE$6:$AE$21</c:f>
              <c:numCache>
                <c:formatCode>0%</c:formatCode>
                <c:ptCount val="16"/>
                <c:pt idx="0">
                  <c:v>0.73177083333333337</c:v>
                </c:pt>
                <c:pt idx="1">
                  <c:v>0.73177083333333337</c:v>
                </c:pt>
                <c:pt idx="2">
                  <c:v>0.73177083333333337</c:v>
                </c:pt>
                <c:pt idx="3">
                  <c:v>0.73177083333333337</c:v>
                </c:pt>
                <c:pt idx="4">
                  <c:v>0.73177083333333337</c:v>
                </c:pt>
                <c:pt idx="5">
                  <c:v>0.73177083333333337</c:v>
                </c:pt>
                <c:pt idx="6">
                  <c:v>0.73177083333333337</c:v>
                </c:pt>
                <c:pt idx="7">
                  <c:v>0.73177083333333337</c:v>
                </c:pt>
                <c:pt idx="8">
                  <c:v>0.73177083333333337</c:v>
                </c:pt>
                <c:pt idx="9">
                  <c:v>0.73177083333333337</c:v>
                </c:pt>
                <c:pt idx="10">
                  <c:v>0.73177083333333337</c:v>
                </c:pt>
                <c:pt idx="11">
                  <c:v>0.73177083333333337</c:v>
                </c:pt>
                <c:pt idx="12">
                  <c:v>0.73177083333333337</c:v>
                </c:pt>
                <c:pt idx="13">
                  <c:v>0.73177083333333337</c:v>
                </c:pt>
                <c:pt idx="14">
                  <c:v>0.73177083333333337</c:v>
                </c:pt>
                <c:pt idx="15">
                  <c:v>0.73177083333333337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A8-4301-BD97-E825AF1C2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EB2-4C07-8C58-66929E91FB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B2-4C07-8C58-66929E91F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EB2-4C07-8C58-66929E91FB5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B2-4C07-8C58-66929E91F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'18'!$D$6:$D$22</c:f>
              <c:strCache>
                <c:ptCount val="16"/>
                <c:pt idx="0">
                  <c:v>F/A</c:v>
                </c:pt>
                <c:pt idx="2">
                  <c:v>BOTTOM</c:v>
                </c:pt>
                <c:pt idx="3">
                  <c:v>SLIDER</c:v>
                </c:pt>
                <c:pt idx="4">
                  <c:v>STOPPPER</c:v>
                </c:pt>
                <c:pt idx="5">
                  <c:v>LEAD GUIDE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ST/KOLDER</c:v>
                </c:pt>
                <c:pt idx="15">
                  <c:v>BASE</c:v>
                </c:pt>
              </c:strCache>
            </c:strRef>
          </c:cat>
          <c:val>
            <c:numRef>
              <c:f>'18'!$L$6:$L$22</c:f>
              <c:numCache>
                <c:formatCode>_(* #,##0_);_(* \(#,##0\);_(* "-"_);_(@_)</c:formatCode>
                <c:ptCount val="17"/>
                <c:pt idx="1">
                  <c:v>8368</c:v>
                </c:pt>
                <c:pt idx="2">
                  <c:v>2038</c:v>
                </c:pt>
                <c:pt idx="3">
                  <c:v>3234</c:v>
                </c:pt>
                <c:pt idx="4">
                  <c:v>4573</c:v>
                </c:pt>
                <c:pt idx="5">
                  <c:v>642</c:v>
                </c:pt>
                <c:pt idx="6">
                  <c:v>6023</c:v>
                </c:pt>
                <c:pt idx="7">
                  <c:v>3364</c:v>
                </c:pt>
                <c:pt idx="8">
                  <c:v>6939</c:v>
                </c:pt>
                <c:pt idx="9">
                  <c:v>296</c:v>
                </c:pt>
                <c:pt idx="10">
                  <c:v>10618</c:v>
                </c:pt>
                <c:pt idx="11">
                  <c:v>5589</c:v>
                </c:pt>
                <c:pt idx="12">
                  <c:v>36685</c:v>
                </c:pt>
                <c:pt idx="13">
                  <c:v>0</c:v>
                </c:pt>
                <c:pt idx="14">
                  <c:v>4424</c:v>
                </c:pt>
                <c:pt idx="15">
                  <c:v>2421</c:v>
                </c:pt>
                <c:pt idx="16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09-4820-BE15-5BA495EA8B33}"/>
            </c:ext>
          </c:extLst>
        </c:ser>
        <c:ser>
          <c:idx val="1"/>
          <c:order val="1"/>
          <c:tx>
            <c:v>계획</c:v>
          </c:tx>
          <c:cat>
            <c:strRef>
              <c:f>'18'!$D$6:$D$22</c:f>
              <c:strCache>
                <c:ptCount val="16"/>
                <c:pt idx="0">
                  <c:v>F/A</c:v>
                </c:pt>
                <c:pt idx="2">
                  <c:v>BOTTOM</c:v>
                </c:pt>
                <c:pt idx="3">
                  <c:v>SLIDER</c:v>
                </c:pt>
                <c:pt idx="4">
                  <c:v>STOPPPER</c:v>
                </c:pt>
                <c:pt idx="5">
                  <c:v>LEAD GUIDE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ST/KOLDER</c:v>
                </c:pt>
                <c:pt idx="15">
                  <c:v>BASE</c:v>
                </c:pt>
              </c:strCache>
            </c:strRef>
          </c:cat>
          <c:val>
            <c:numRef>
              <c:f>'18'!$J$6:$J$22</c:f>
              <c:numCache>
                <c:formatCode>_(* #,##0_);_(* \(#,##0\);_(* "-"_);_(@_)</c:formatCode>
                <c:ptCount val="17"/>
                <c:pt idx="0">
                  <c:v>2268</c:v>
                </c:pt>
                <c:pt idx="1">
                  <c:v>8368</c:v>
                </c:pt>
                <c:pt idx="2">
                  <c:v>2038</c:v>
                </c:pt>
                <c:pt idx="3">
                  <c:v>3234</c:v>
                </c:pt>
                <c:pt idx="4">
                  <c:v>4573</c:v>
                </c:pt>
                <c:pt idx="5">
                  <c:v>642</c:v>
                </c:pt>
                <c:pt idx="6">
                  <c:v>6023</c:v>
                </c:pt>
                <c:pt idx="7">
                  <c:v>3364</c:v>
                </c:pt>
                <c:pt idx="8">
                  <c:v>6939</c:v>
                </c:pt>
                <c:pt idx="9">
                  <c:v>296</c:v>
                </c:pt>
                <c:pt idx="10">
                  <c:v>10618</c:v>
                </c:pt>
                <c:pt idx="11">
                  <c:v>5589</c:v>
                </c:pt>
                <c:pt idx="12">
                  <c:v>36685</c:v>
                </c:pt>
                <c:pt idx="13">
                  <c:v>5254</c:v>
                </c:pt>
                <c:pt idx="14">
                  <c:v>4424</c:v>
                </c:pt>
                <c:pt idx="15">
                  <c:v>2421</c:v>
                </c:pt>
                <c:pt idx="16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09-4820-BE15-5BA495EA8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'18'!$AD$6:$AD$22</c:f>
              <c:strCache>
                <c:ptCount val="17"/>
                <c:pt idx="0">
                  <c:v>0%</c:v>
                </c:pt>
                <c:pt idx="1">
                  <c:v>88%</c:v>
                </c:pt>
                <c:pt idx="2">
                  <c:v>33%</c:v>
                </c:pt>
                <c:pt idx="3">
                  <c:v>58%</c:v>
                </c:pt>
                <c:pt idx="4">
                  <c:v>92%</c:v>
                </c:pt>
                <c:pt idx="5">
                  <c:v>17%</c:v>
                </c:pt>
                <c:pt idx="6">
                  <c:v>100%</c:v>
                </c:pt>
                <c:pt idx="7">
                  <c:v>58%</c:v>
                </c:pt>
                <c:pt idx="8">
                  <c:v>63%</c:v>
                </c:pt>
                <c:pt idx="9">
                  <c:v>21%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92%</c:v>
                </c:pt>
                <c:pt idx="15">
                  <c:v>42%</c:v>
                </c:pt>
                <c:pt idx="16">
                  <c:v>17%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F/A</c:v>
                </c:pt>
                <c:pt idx="2">
                  <c:v>BOTTOM</c:v>
                </c:pt>
                <c:pt idx="3">
                  <c:v>SLIDER</c:v>
                </c:pt>
                <c:pt idx="4">
                  <c:v>STOPPPER</c:v>
                </c:pt>
                <c:pt idx="5">
                  <c:v>LEAD GUIDE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ST/KOLDER</c:v>
                </c:pt>
                <c:pt idx="15">
                  <c:v>BASE</c:v>
                </c:pt>
              </c:strCache>
            </c:strRef>
          </c:cat>
          <c:val>
            <c:numRef>
              <c:f>'18'!$AD$6:$AD$22</c:f>
              <c:numCache>
                <c:formatCode>0%</c:formatCode>
                <c:ptCount val="17"/>
                <c:pt idx="0">
                  <c:v>0</c:v>
                </c:pt>
                <c:pt idx="1">
                  <c:v>0.875</c:v>
                </c:pt>
                <c:pt idx="2">
                  <c:v>0.33333333333333331</c:v>
                </c:pt>
                <c:pt idx="3">
                  <c:v>0.58333333333333337</c:v>
                </c:pt>
                <c:pt idx="4">
                  <c:v>0.91666666666666663</c:v>
                </c:pt>
                <c:pt idx="5">
                  <c:v>0.16666666666666666</c:v>
                </c:pt>
                <c:pt idx="6">
                  <c:v>1</c:v>
                </c:pt>
                <c:pt idx="7">
                  <c:v>0.58333333333333337</c:v>
                </c:pt>
                <c:pt idx="8">
                  <c:v>0.625</c:v>
                </c:pt>
                <c:pt idx="9">
                  <c:v>0.20833333333333334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0.41666666666666669</c:v>
                </c:pt>
                <c:pt idx="16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B-4D27-A4BB-2FB39456884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8B-4D27-A4BB-2FB39456884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F/A</c:v>
                </c:pt>
                <c:pt idx="2">
                  <c:v>BOTTOM</c:v>
                </c:pt>
                <c:pt idx="3">
                  <c:v>SLIDER</c:v>
                </c:pt>
                <c:pt idx="4">
                  <c:v>STOPPPER</c:v>
                </c:pt>
                <c:pt idx="5">
                  <c:v>LEAD GUIDE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ST/KOLDER</c:v>
                </c:pt>
                <c:pt idx="15">
                  <c:v>BASE</c:v>
                </c:pt>
              </c:strCache>
            </c:strRef>
          </c:cat>
          <c:val>
            <c:numRef>
              <c:f>'18'!$AE$6:$AE$22</c:f>
              <c:numCache>
                <c:formatCode>0%</c:formatCode>
                <c:ptCount val="17"/>
                <c:pt idx="0">
                  <c:v>0.57598039215686259</c:v>
                </c:pt>
                <c:pt idx="1">
                  <c:v>0.57598039215686259</c:v>
                </c:pt>
                <c:pt idx="2">
                  <c:v>0.57598039215686259</c:v>
                </c:pt>
                <c:pt idx="3">
                  <c:v>0.57598039215686259</c:v>
                </c:pt>
                <c:pt idx="4">
                  <c:v>0.57598039215686259</c:v>
                </c:pt>
                <c:pt idx="5">
                  <c:v>0.57598039215686259</c:v>
                </c:pt>
                <c:pt idx="6">
                  <c:v>0.57598039215686259</c:v>
                </c:pt>
                <c:pt idx="7">
                  <c:v>0.57598039215686259</c:v>
                </c:pt>
                <c:pt idx="8">
                  <c:v>0.57598039215686259</c:v>
                </c:pt>
                <c:pt idx="9">
                  <c:v>0.57598039215686259</c:v>
                </c:pt>
                <c:pt idx="10">
                  <c:v>0.57598039215686259</c:v>
                </c:pt>
                <c:pt idx="11">
                  <c:v>0.57598039215686259</c:v>
                </c:pt>
                <c:pt idx="12">
                  <c:v>0.57598039215686259</c:v>
                </c:pt>
                <c:pt idx="13">
                  <c:v>0.57598039215686259</c:v>
                </c:pt>
                <c:pt idx="14">
                  <c:v>0.57598039215686259</c:v>
                </c:pt>
                <c:pt idx="15">
                  <c:v>0.57598039215686259</c:v>
                </c:pt>
                <c:pt idx="16">
                  <c:v>0.57598039215686259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B-4D27-A4BB-2FB39456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'18'!$D$6:$D$22</c:f>
              <c:strCache>
                <c:ptCount val="16"/>
                <c:pt idx="0">
                  <c:v>F/A</c:v>
                </c:pt>
                <c:pt idx="2">
                  <c:v>BOTTOM</c:v>
                </c:pt>
                <c:pt idx="3">
                  <c:v>SLIDER</c:v>
                </c:pt>
                <c:pt idx="4">
                  <c:v>STOPPPER</c:v>
                </c:pt>
                <c:pt idx="5">
                  <c:v>LEAD GUIDE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ST/KOLDER</c:v>
                </c:pt>
                <c:pt idx="15">
                  <c:v>BASE</c:v>
                </c:pt>
              </c:strCache>
            </c:strRef>
          </c:cat>
          <c:val>
            <c:numRef>
              <c:f>'18'!$L$6:$L$22</c:f>
              <c:numCache>
                <c:formatCode>_(* #,##0_);_(* \(#,##0\);_(* "-"_);_(@_)</c:formatCode>
                <c:ptCount val="17"/>
                <c:pt idx="1">
                  <c:v>8368</c:v>
                </c:pt>
                <c:pt idx="2">
                  <c:v>2038</c:v>
                </c:pt>
                <c:pt idx="3">
                  <c:v>3234</c:v>
                </c:pt>
                <c:pt idx="4">
                  <c:v>4573</c:v>
                </c:pt>
                <c:pt idx="5">
                  <c:v>642</c:v>
                </c:pt>
                <c:pt idx="6">
                  <c:v>6023</c:v>
                </c:pt>
                <c:pt idx="7">
                  <c:v>3364</c:v>
                </c:pt>
                <c:pt idx="8">
                  <c:v>6939</c:v>
                </c:pt>
                <c:pt idx="9">
                  <c:v>296</c:v>
                </c:pt>
                <c:pt idx="10">
                  <c:v>10618</c:v>
                </c:pt>
                <c:pt idx="11">
                  <c:v>5589</c:v>
                </c:pt>
                <c:pt idx="12">
                  <c:v>36685</c:v>
                </c:pt>
                <c:pt idx="13">
                  <c:v>0</c:v>
                </c:pt>
                <c:pt idx="14">
                  <c:v>4424</c:v>
                </c:pt>
                <c:pt idx="15">
                  <c:v>2421</c:v>
                </c:pt>
                <c:pt idx="16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A-4A2A-8A30-A340ACAA4716}"/>
            </c:ext>
          </c:extLst>
        </c:ser>
        <c:ser>
          <c:idx val="1"/>
          <c:order val="1"/>
          <c:tx>
            <c:v>계획</c:v>
          </c:tx>
          <c:cat>
            <c:strRef>
              <c:f>'18'!$D$6:$D$22</c:f>
              <c:strCache>
                <c:ptCount val="16"/>
                <c:pt idx="0">
                  <c:v>F/A</c:v>
                </c:pt>
                <c:pt idx="2">
                  <c:v>BOTTOM</c:v>
                </c:pt>
                <c:pt idx="3">
                  <c:v>SLIDER</c:v>
                </c:pt>
                <c:pt idx="4">
                  <c:v>STOPPPER</c:v>
                </c:pt>
                <c:pt idx="5">
                  <c:v>LEAD GUIDE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ST/KOLDER</c:v>
                </c:pt>
                <c:pt idx="15">
                  <c:v>BASE</c:v>
                </c:pt>
              </c:strCache>
            </c:strRef>
          </c:cat>
          <c:val>
            <c:numRef>
              <c:f>'18'!$J$6:$J$22</c:f>
              <c:numCache>
                <c:formatCode>_(* #,##0_);_(* \(#,##0\);_(* "-"_);_(@_)</c:formatCode>
                <c:ptCount val="17"/>
                <c:pt idx="0">
                  <c:v>2268</c:v>
                </c:pt>
                <c:pt idx="1">
                  <c:v>8368</c:v>
                </c:pt>
                <c:pt idx="2">
                  <c:v>2038</c:v>
                </c:pt>
                <c:pt idx="3">
                  <c:v>3234</c:v>
                </c:pt>
                <c:pt idx="4">
                  <c:v>4573</c:v>
                </c:pt>
                <c:pt idx="5">
                  <c:v>642</c:v>
                </c:pt>
                <c:pt idx="6">
                  <c:v>6023</c:v>
                </c:pt>
                <c:pt idx="7">
                  <c:v>3364</c:v>
                </c:pt>
                <c:pt idx="8">
                  <c:v>6939</c:v>
                </c:pt>
                <c:pt idx="9">
                  <c:v>296</c:v>
                </c:pt>
                <c:pt idx="10">
                  <c:v>10618</c:v>
                </c:pt>
                <c:pt idx="11">
                  <c:v>5589</c:v>
                </c:pt>
                <c:pt idx="12">
                  <c:v>36685</c:v>
                </c:pt>
                <c:pt idx="13">
                  <c:v>5254</c:v>
                </c:pt>
                <c:pt idx="14">
                  <c:v>4424</c:v>
                </c:pt>
                <c:pt idx="15">
                  <c:v>2421</c:v>
                </c:pt>
                <c:pt idx="16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A-4A2A-8A30-A340ACAA4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'18'!$AD$6:$AD$22</c:f>
              <c:strCache>
                <c:ptCount val="17"/>
                <c:pt idx="0">
                  <c:v>0%</c:v>
                </c:pt>
                <c:pt idx="1">
                  <c:v>88%</c:v>
                </c:pt>
                <c:pt idx="2">
                  <c:v>33%</c:v>
                </c:pt>
                <c:pt idx="3">
                  <c:v>58%</c:v>
                </c:pt>
                <c:pt idx="4">
                  <c:v>92%</c:v>
                </c:pt>
                <c:pt idx="5">
                  <c:v>17%</c:v>
                </c:pt>
                <c:pt idx="6">
                  <c:v>100%</c:v>
                </c:pt>
                <c:pt idx="7">
                  <c:v>58%</c:v>
                </c:pt>
                <c:pt idx="8">
                  <c:v>63%</c:v>
                </c:pt>
                <c:pt idx="9">
                  <c:v>21%</c:v>
                </c:pt>
                <c:pt idx="10">
                  <c:v>100%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92%</c:v>
                </c:pt>
                <c:pt idx="15">
                  <c:v>42%</c:v>
                </c:pt>
                <c:pt idx="16">
                  <c:v>17%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F/A</c:v>
                </c:pt>
                <c:pt idx="2">
                  <c:v>BOTTOM</c:v>
                </c:pt>
                <c:pt idx="3">
                  <c:v>SLIDER</c:v>
                </c:pt>
                <c:pt idx="4">
                  <c:v>STOPPPER</c:v>
                </c:pt>
                <c:pt idx="5">
                  <c:v>LEAD GUIDE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ST/KOLDER</c:v>
                </c:pt>
                <c:pt idx="15">
                  <c:v>BASE</c:v>
                </c:pt>
              </c:strCache>
            </c:strRef>
          </c:cat>
          <c:val>
            <c:numRef>
              <c:f>'18'!$AD$6:$AD$22</c:f>
              <c:numCache>
                <c:formatCode>0%</c:formatCode>
                <c:ptCount val="17"/>
                <c:pt idx="0">
                  <c:v>0</c:v>
                </c:pt>
                <c:pt idx="1">
                  <c:v>0.875</c:v>
                </c:pt>
                <c:pt idx="2">
                  <c:v>0.33333333333333331</c:v>
                </c:pt>
                <c:pt idx="3">
                  <c:v>0.58333333333333337</c:v>
                </c:pt>
                <c:pt idx="4">
                  <c:v>0.91666666666666663</c:v>
                </c:pt>
                <c:pt idx="5">
                  <c:v>0.16666666666666666</c:v>
                </c:pt>
                <c:pt idx="6">
                  <c:v>1</c:v>
                </c:pt>
                <c:pt idx="7">
                  <c:v>0.58333333333333337</c:v>
                </c:pt>
                <c:pt idx="8">
                  <c:v>0.625</c:v>
                </c:pt>
                <c:pt idx="9">
                  <c:v>0.20833333333333334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0.41666666666666669</c:v>
                </c:pt>
                <c:pt idx="16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462-AF3B-3F35ED65B11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6C-4462-AF3B-3F35ED65B1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'18'!$D$6:$D$22</c:f>
              <c:strCache>
                <c:ptCount val="16"/>
                <c:pt idx="0">
                  <c:v>F/A</c:v>
                </c:pt>
                <c:pt idx="2">
                  <c:v>BOTTOM</c:v>
                </c:pt>
                <c:pt idx="3">
                  <c:v>SLIDER</c:v>
                </c:pt>
                <c:pt idx="4">
                  <c:v>STOPPPER</c:v>
                </c:pt>
                <c:pt idx="5">
                  <c:v>LEAD GUIDE</c:v>
                </c:pt>
                <c:pt idx="6">
                  <c:v>STOPPPER</c:v>
                </c:pt>
                <c:pt idx="7">
                  <c:v>BASE</c:v>
                </c:pt>
                <c:pt idx="9">
                  <c:v>BASE</c:v>
                </c:pt>
                <c:pt idx="10">
                  <c:v>LATCH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ST/KOLDER</c:v>
                </c:pt>
                <c:pt idx="15">
                  <c:v>BASE</c:v>
                </c:pt>
              </c:strCache>
            </c:strRef>
          </c:cat>
          <c:val>
            <c:numRef>
              <c:f>'18'!$AE$6:$AE$22</c:f>
              <c:numCache>
                <c:formatCode>0%</c:formatCode>
                <c:ptCount val="17"/>
                <c:pt idx="0">
                  <c:v>0.57598039215686259</c:v>
                </c:pt>
                <c:pt idx="1">
                  <c:v>0.57598039215686259</c:v>
                </c:pt>
                <c:pt idx="2">
                  <c:v>0.57598039215686259</c:v>
                </c:pt>
                <c:pt idx="3">
                  <c:v>0.57598039215686259</c:v>
                </c:pt>
                <c:pt idx="4">
                  <c:v>0.57598039215686259</c:v>
                </c:pt>
                <c:pt idx="5">
                  <c:v>0.57598039215686259</c:v>
                </c:pt>
                <c:pt idx="6">
                  <c:v>0.57598039215686259</c:v>
                </c:pt>
                <c:pt idx="7">
                  <c:v>0.57598039215686259</c:v>
                </c:pt>
                <c:pt idx="8">
                  <c:v>0.57598039215686259</c:v>
                </c:pt>
                <c:pt idx="9">
                  <c:v>0.57598039215686259</c:v>
                </c:pt>
                <c:pt idx="10">
                  <c:v>0.57598039215686259</c:v>
                </c:pt>
                <c:pt idx="11">
                  <c:v>0.57598039215686259</c:v>
                </c:pt>
                <c:pt idx="12">
                  <c:v>0.57598039215686259</c:v>
                </c:pt>
                <c:pt idx="13">
                  <c:v>0.57598039215686259</c:v>
                </c:pt>
                <c:pt idx="14">
                  <c:v>0.57598039215686259</c:v>
                </c:pt>
                <c:pt idx="15">
                  <c:v>0.57598039215686259</c:v>
                </c:pt>
                <c:pt idx="16">
                  <c:v>0.57598039215686259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6C-4462-AF3B-3F35ED65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50A-4F18-88C3-0C40A061BA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0A-4F18-88C3-0C40A061B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50A-4F18-88C3-0C40A061BA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0A-4F18-88C3-0C40A061B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2273</c:v>
                </c:pt>
                <c:pt idx="1">
                  <c:v>10244</c:v>
                </c:pt>
                <c:pt idx="2">
                  <c:v>5199</c:v>
                </c:pt>
                <c:pt idx="3">
                  <c:v>4828</c:v>
                </c:pt>
                <c:pt idx="4">
                  <c:v>10964</c:v>
                </c:pt>
                <c:pt idx="5">
                  <c:v>6181</c:v>
                </c:pt>
                <c:pt idx="6">
                  <c:v>5103</c:v>
                </c:pt>
                <c:pt idx="7">
                  <c:v>13308</c:v>
                </c:pt>
                <c:pt idx="10">
                  <c:v>5810</c:v>
                </c:pt>
                <c:pt idx="11">
                  <c:v>38795</c:v>
                </c:pt>
                <c:pt idx="12">
                  <c:v>2502</c:v>
                </c:pt>
                <c:pt idx="13">
                  <c:v>5113</c:v>
                </c:pt>
                <c:pt idx="14">
                  <c:v>2785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F-42B9-80C1-46CF52055C18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2273</c:v>
                </c:pt>
                <c:pt idx="1">
                  <c:v>10244</c:v>
                </c:pt>
                <c:pt idx="2">
                  <c:v>5199</c:v>
                </c:pt>
                <c:pt idx="3">
                  <c:v>4828</c:v>
                </c:pt>
                <c:pt idx="4">
                  <c:v>10964</c:v>
                </c:pt>
                <c:pt idx="5">
                  <c:v>6181</c:v>
                </c:pt>
                <c:pt idx="6">
                  <c:v>5103</c:v>
                </c:pt>
                <c:pt idx="7">
                  <c:v>13308</c:v>
                </c:pt>
                <c:pt idx="8">
                  <c:v>296</c:v>
                </c:pt>
                <c:pt idx="9">
                  <c:v>10618</c:v>
                </c:pt>
                <c:pt idx="10">
                  <c:v>5810</c:v>
                </c:pt>
                <c:pt idx="11">
                  <c:v>38795</c:v>
                </c:pt>
                <c:pt idx="12">
                  <c:v>2502</c:v>
                </c:pt>
                <c:pt idx="13">
                  <c:v>5113</c:v>
                </c:pt>
                <c:pt idx="14">
                  <c:v>2785</c:v>
                </c:pt>
                <c:pt idx="15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F-42B9-80C1-46CF52055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46%</c:v>
                </c:pt>
                <c:pt idx="1">
                  <c:v>96%</c:v>
                </c:pt>
                <c:pt idx="2">
                  <c:v>92%</c:v>
                </c:pt>
                <c:pt idx="3">
                  <c:v>92%</c:v>
                </c:pt>
                <c:pt idx="4">
                  <c:v>42%</c:v>
                </c:pt>
                <c:pt idx="5">
                  <c:v>100%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54%</c:v>
                </c:pt>
                <c:pt idx="13">
                  <c:v>100%</c:v>
                </c:pt>
                <c:pt idx="14">
                  <c:v>58%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0.95833333333333337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0.41666666666666669</c:v>
                </c:pt>
                <c:pt idx="5">
                  <c:v>1</c:v>
                </c:pt>
                <c:pt idx="6">
                  <c:v>0.95833333333333337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0.54166666666666663</c:v>
                </c:pt>
                <c:pt idx="13">
                  <c:v>1</c:v>
                </c:pt>
                <c:pt idx="14">
                  <c:v>0.58333333333333337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9-4794-962F-E49441017BB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C9-4794-962F-E49441017B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0.671875</c:v>
                </c:pt>
                <c:pt idx="1">
                  <c:v>0.671875</c:v>
                </c:pt>
                <c:pt idx="2">
                  <c:v>0.671875</c:v>
                </c:pt>
                <c:pt idx="3">
                  <c:v>0.671875</c:v>
                </c:pt>
                <c:pt idx="4">
                  <c:v>0.671875</c:v>
                </c:pt>
                <c:pt idx="5">
                  <c:v>0.671875</c:v>
                </c:pt>
                <c:pt idx="6">
                  <c:v>0.671875</c:v>
                </c:pt>
                <c:pt idx="7">
                  <c:v>0.671875</c:v>
                </c:pt>
                <c:pt idx="8">
                  <c:v>0.671875</c:v>
                </c:pt>
                <c:pt idx="9">
                  <c:v>0.671875</c:v>
                </c:pt>
                <c:pt idx="10">
                  <c:v>0.671875</c:v>
                </c:pt>
                <c:pt idx="11">
                  <c:v>0.671875</c:v>
                </c:pt>
                <c:pt idx="12">
                  <c:v>0.671875</c:v>
                </c:pt>
                <c:pt idx="13">
                  <c:v>0.671875</c:v>
                </c:pt>
                <c:pt idx="14">
                  <c:v>0.671875</c:v>
                </c:pt>
                <c:pt idx="15">
                  <c:v>0.671875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C9-4794-962F-E49441017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'19'!$L$6:$L$21</c:f>
              <c:numCache>
                <c:formatCode>_(* #,##0_);_(* \(#,##0\);_(* "-"_);_(@_)</c:formatCode>
                <c:ptCount val="16"/>
                <c:pt idx="0">
                  <c:v>2273</c:v>
                </c:pt>
                <c:pt idx="1">
                  <c:v>10244</c:v>
                </c:pt>
                <c:pt idx="2">
                  <c:v>5199</c:v>
                </c:pt>
                <c:pt idx="3">
                  <c:v>4828</c:v>
                </c:pt>
                <c:pt idx="4">
                  <c:v>10964</c:v>
                </c:pt>
                <c:pt idx="5">
                  <c:v>6181</c:v>
                </c:pt>
                <c:pt idx="6">
                  <c:v>5103</c:v>
                </c:pt>
                <c:pt idx="7">
                  <c:v>13308</c:v>
                </c:pt>
                <c:pt idx="10">
                  <c:v>5810</c:v>
                </c:pt>
                <c:pt idx="11">
                  <c:v>38795</c:v>
                </c:pt>
                <c:pt idx="12">
                  <c:v>2502</c:v>
                </c:pt>
                <c:pt idx="13">
                  <c:v>5113</c:v>
                </c:pt>
                <c:pt idx="14">
                  <c:v>2785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77-43BA-AEBD-0C39A75A287F}"/>
            </c:ext>
          </c:extLst>
        </c:ser>
        <c:ser>
          <c:idx val="1"/>
          <c:order val="1"/>
          <c:tx>
            <c:v>계획</c:v>
          </c:tx>
          <c:cat>
            <c:strRef>
              <c:f>'19'!$D$6:$D$21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'19'!$J$6:$J$21</c:f>
              <c:numCache>
                <c:formatCode>_(* #,##0_);_(* \(#,##0\);_(* "-"_);_(@_)</c:formatCode>
                <c:ptCount val="16"/>
                <c:pt idx="0">
                  <c:v>2273</c:v>
                </c:pt>
                <c:pt idx="1">
                  <c:v>10244</c:v>
                </c:pt>
                <c:pt idx="2">
                  <c:v>5199</c:v>
                </c:pt>
                <c:pt idx="3">
                  <c:v>4828</c:v>
                </c:pt>
                <c:pt idx="4">
                  <c:v>10964</c:v>
                </c:pt>
                <c:pt idx="5">
                  <c:v>6181</c:v>
                </c:pt>
                <c:pt idx="6">
                  <c:v>5103</c:v>
                </c:pt>
                <c:pt idx="7">
                  <c:v>13308</c:v>
                </c:pt>
                <c:pt idx="8">
                  <c:v>296</c:v>
                </c:pt>
                <c:pt idx="9">
                  <c:v>10618</c:v>
                </c:pt>
                <c:pt idx="10">
                  <c:v>5810</c:v>
                </c:pt>
                <c:pt idx="11">
                  <c:v>38795</c:v>
                </c:pt>
                <c:pt idx="12">
                  <c:v>2502</c:v>
                </c:pt>
                <c:pt idx="13">
                  <c:v>5113</c:v>
                </c:pt>
                <c:pt idx="14">
                  <c:v>2785</c:v>
                </c:pt>
                <c:pt idx="15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7-43BA-AEBD-0C39A75A2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'19'!$AD$6:$AD$21</c:f>
              <c:strCache>
                <c:ptCount val="16"/>
                <c:pt idx="0">
                  <c:v>46%</c:v>
                </c:pt>
                <c:pt idx="1">
                  <c:v>96%</c:v>
                </c:pt>
                <c:pt idx="2">
                  <c:v>92%</c:v>
                </c:pt>
                <c:pt idx="3">
                  <c:v>92%</c:v>
                </c:pt>
                <c:pt idx="4">
                  <c:v>42%</c:v>
                </c:pt>
                <c:pt idx="5">
                  <c:v>100%</c:v>
                </c:pt>
                <c:pt idx="6">
                  <c:v>96%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100%</c:v>
                </c:pt>
                <c:pt idx="12">
                  <c:v>54%</c:v>
                </c:pt>
                <c:pt idx="13">
                  <c:v>100%</c:v>
                </c:pt>
                <c:pt idx="14">
                  <c:v>58%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'19'!$AD$6:$AD$21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0.95833333333333337</c:v>
                </c:pt>
                <c:pt idx="2">
                  <c:v>0.91666666666666663</c:v>
                </c:pt>
                <c:pt idx="3">
                  <c:v>0.91666666666666663</c:v>
                </c:pt>
                <c:pt idx="4">
                  <c:v>0.41666666666666669</c:v>
                </c:pt>
                <c:pt idx="5">
                  <c:v>1</c:v>
                </c:pt>
                <c:pt idx="6">
                  <c:v>0.95833333333333337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0.54166666666666663</c:v>
                </c:pt>
                <c:pt idx="13">
                  <c:v>1</c:v>
                </c:pt>
                <c:pt idx="14">
                  <c:v>0.58333333333333337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4-4ED9-A579-277C79A82EA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A4-4ED9-A579-277C79A82EA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'19'!$AE$6:$AE$21</c:f>
              <c:numCache>
                <c:formatCode>0%</c:formatCode>
                <c:ptCount val="16"/>
                <c:pt idx="0">
                  <c:v>0.671875</c:v>
                </c:pt>
                <c:pt idx="1">
                  <c:v>0.671875</c:v>
                </c:pt>
                <c:pt idx="2">
                  <c:v>0.671875</c:v>
                </c:pt>
                <c:pt idx="3">
                  <c:v>0.671875</c:v>
                </c:pt>
                <c:pt idx="4">
                  <c:v>0.671875</c:v>
                </c:pt>
                <c:pt idx="5">
                  <c:v>0.671875</c:v>
                </c:pt>
                <c:pt idx="6">
                  <c:v>0.671875</c:v>
                </c:pt>
                <c:pt idx="7">
                  <c:v>0.671875</c:v>
                </c:pt>
                <c:pt idx="8">
                  <c:v>0.671875</c:v>
                </c:pt>
                <c:pt idx="9">
                  <c:v>0.671875</c:v>
                </c:pt>
                <c:pt idx="10">
                  <c:v>0.671875</c:v>
                </c:pt>
                <c:pt idx="11">
                  <c:v>0.671875</c:v>
                </c:pt>
                <c:pt idx="12">
                  <c:v>0.671875</c:v>
                </c:pt>
                <c:pt idx="13">
                  <c:v>0.671875</c:v>
                </c:pt>
                <c:pt idx="14">
                  <c:v>0.671875</c:v>
                </c:pt>
                <c:pt idx="15">
                  <c:v>0.671875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A4-4ED9-A579-277C79A82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168-4627-974D-967EACA6C9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8-4627-974D-967EACA6C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168-4627-974D-967EACA6C99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68-4627-974D-967EACA6C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7142</c:v>
                </c:pt>
                <c:pt idx="2">
                  <c:v>5600</c:v>
                </c:pt>
                <c:pt idx="3">
                  <c:v>4143</c:v>
                </c:pt>
                <c:pt idx="6">
                  <c:v>4208</c:v>
                </c:pt>
                <c:pt idx="7">
                  <c:v>704</c:v>
                </c:pt>
                <c:pt idx="8">
                  <c:v>452</c:v>
                </c:pt>
                <c:pt idx="10">
                  <c:v>3971</c:v>
                </c:pt>
                <c:pt idx="11">
                  <c:v>38720</c:v>
                </c:pt>
                <c:pt idx="12">
                  <c:v>5484</c:v>
                </c:pt>
                <c:pt idx="13">
                  <c:v>4751</c:v>
                </c:pt>
                <c:pt idx="14">
                  <c:v>5649</c:v>
                </c:pt>
                <c:pt idx="15">
                  <c:v>48800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4-456E-847F-38BA1812FCC3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7142</c:v>
                </c:pt>
                <c:pt idx="2">
                  <c:v>5600</c:v>
                </c:pt>
                <c:pt idx="3">
                  <c:v>4143</c:v>
                </c:pt>
                <c:pt idx="4">
                  <c:v>10964</c:v>
                </c:pt>
                <c:pt idx="5">
                  <c:v>6181</c:v>
                </c:pt>
                <c:pt idx="6">
                  <c:v>4208</c:v>
                </c:pt>
                <c:pt idx="7">
                  <c:v>704</c:v>
                </c:pt>
                <c:pt idx="8">
                  <c:v>452</c:v>
                </c:pt>
                <c:pt idx="9">
                  <c:v>10618</c:v>
                </c:pt>
                <c:pt idx="10">
                  <c:v>3971</c:v>
                </c:pt>
                <c:pt idx="11">
                  <c:v>38720</c:v>
                </c:pt>
                <c:pt idx="12">
                  <c:v>5484</c:v>
                </c:pt>
                <c:pt idx="13">
                  <c:v>4751</c:v>
                </c:pt>
                <c:pt idx="14">
                  <c:v>5649</c:v>
                </c:pt>
                <c:pt idx="15">
                  <c:v>48800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4-456E-847F-38BA1812F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33%</c:v>
                </c:pt>
                <c:pt idx="1">
                  <c:v>71%</c:v>
                </c:pt>
                <c:pt idx="2">
                  <c:v>100%</c:v>
                </c:pt>
                <c:pt idx="3">
                  <c:v>75%</c:v>
                </c:pt>
                <c:pt idx="4">
                  <c:v>0%</c:v>
                </c:pt>
                <c:pt idx="5">
                  <c:v>0%</c:v>
                </c:pt>
                <c:pt idx="6">
                  <c:v>83%</c:v>
                </c:pt>
                <c:pt idx="7">
                  <c:v>17%</c:v>
                </c:pt>
                <c:pt idx="8">
                  <c:v>25%</c:v>
                </c:pt>
                <c:pt idx="9">
                  <c:v>0%</c:v>
                </c:pt>
                <c:pt idx="10">
                  <c:v>75%</c:v>
                </c:pt>
                <c:pt idx="11">
                  <c:v>100%</c:v>
                </c:pt>
                <c:pt idx="12">
                  <c:v>100%</c:v>
                </c:pt>
                <c:pt idx="13">
                  <c:v>92%</c:v>
                </c:pt>
                <c:pt idx="14">
                  <c:v>100%</c:v>
                </c:pt>
                <c:pt idx="15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0.33333333333333331</c:v>
                </c:pt>
                <c:pt idx="1">
                  <c:v>0.70833333333333337</c:v>
                </c:pt>
                <c:pt idx="2">
                  <c:v>1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0.83333333333333337</c:v>
                </c:pt>
                <c:pt idx="7">
                  <c:v>0.16666666666666666</c:v>
                </c:pt>
                <c:pt idx="8">
                  <c:v>0.25</c:v>
                </c:pt>
                <c:pt idx="9">
                  <c:v>0</c:v>
                </c:pt>
                <c:pt idx="10">
                  <c:v>0.75</c:v>
                </c:pt>
                <c:pt idx="11">
                  <c:v>1</c:v>
                </c:pt>
                <c:pt idx="12">
                  <c:v>1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F-486C-BA0E-3A6D3EC5D80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4F-486C-BA0E-3A6D3EC5D8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0.59895833333333337</c:v>
                </c:pt>
                <c:pt idx="1">
                  <c:v>0.59895833333333337</c:v>
                </c:pt>
                <c:pt idx="2">
                  <c:v>0.59895833333333337</c:v>
                </c:pt>
                <c:pt idx="3">
                  <c:v>0.59895833333333337</c:v>
                </c:pt>
                <c:pt idx="4">
                  <c:v>0.59895833333333337</c:v>
                </c:pt>
                <c:pt idx="5">
                  <c:v>0.59895833333333337</c:v>
                </c:pt>
                <c:pt idx="6">
                  <c:v>0.59895833333333337</c:v>
                </c:pt>
                <c:pt idx="7">
                  <c:v>0.59895833333333337</c:v>
                </c:pt>
                <c:pt idx="8">
                  <c:v>0.59895833333333337</c:v>
                </c:pt>
                <c:pt idx="9">
                  <c:v>0.59895833333333337</c:v>
                </c:pt>
                <c:pt idx="10">
                  <c:v>0.59895833333333337</c:v>
                </c:pt>
                <c:pt idx="11">
                  <c:v>0.59895833333333337</c:v>
                </c:pt>
                <c:pt idx="12">
                  <c:v>0.59895833333333337</c:v>
                </c:pt>
                <c:pt idx="13">
                  <c:v>0.59895833333333337</c:v>
                </c:pt>
                <c:pt idx="14">
                  <c:v>0.59895833333333337</c:v>
                </c:pt>
                <c:pt idx="15">
                  <c:v>0.59895833333333337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F-486C-BA0E-3A6D3EC5D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'20'!$L$6:$L$21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7142</c:v>
                </c:pt>
                <c:pt idx="2">
                  <c:v>5600</c:v>
                </c:pt>
                <c:pt idx="3">
                  <c:v>4143</c:v>
                </c:pt>
                <c:pt idx="6">
                  <c:v>4208</c:v>
                </c:pt>
                <c:pt idx="7">
                  <c:v>704</c:v>
                </c:pt>
                <c:pt idx="8">
                  <c:v>452</c:v>
                </c:pt>
                <c:pt idx="10">
                  <c:v>3971</c:v>
                </c:pt>
                <c:pt idx="11">
                  <c:v>38720</c:v>
                </c:pt>
                <c:pt idx="12">
                  <c:v>5484</c:v>
                </c:pt>
                <c:pt idx="13">
                  <c:v>4751</c:v>
                </c:pt>
                <c:pt idx="14">
                  <c:v>5649</c:v>
                </c:pt>
                <c:pt idx="15">
                  <c:v>48800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0-4F99-905C-48FBF01CD774}"/>
            </c:ext>
          </c:extLst>
        </c:ser>
        <c:ser>
          <c:idx val="1"/>
          <c:order val="1"/>
          <c:tx>
            <c:v>계획</c:v>
          </c:tx>
          <c:cat>
            <c:strRef>
              <c:f>'20'!$D$6:$D$21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'20'!$J$6:$J$21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7142</c:v>
                </c:pt>
                <c:pt idx="2">
                  <c:v>5600</c:v>
                </c:pt>
                <c:pt idx="3">
                  <c:v>4143</c:v>
                </c:pt>
                <c:pt idx="4">
                  <c:v>10964</c:v>
                </c:pt>
                <c:pt idx="5">
                  <c:v>6181</c:v>
                </c:pt>
                <c:pt idx="6">
                  <c:v>4208</c:v>
                </c:pt>
                <c:pt idx="7">
                  <c:v>704</c:v>
                </c:pt>
                <c:pt idx="8">
                  <c:v>452</c:v>
                </c:pt>
                <c:pt idx="9">
                  <c:v>10618</c:v>
                </c:pt>
                <c:pt idx="10">
                  <c:v>3971</c:v>
                </c:pt>
                <c:pt idx="11">
                  <c:v>38720</c:v>
                </c:pt>
                <c:pt idx="12">
                  <c:v>5484</c:v>
                </c:pt>
                <c:pt idx="13">
                  <c:v>4751</c:v>
                </c:pt>
                <c:pt idx="14">
                  <c:v>5649</c:v>
                </c:pt>
                <c:pt idx="15">
                  <c:v>48800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0-4F99-905C-48FBF01CD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'20'!$AD$6:$AD$21</c:f>
              <c:strCache>
                <c:ptCount val="16"/>
                <c:pt idx="0">
                  <c:v>33%</c:v>
                </c:pt>
                <c:pt idx="1">
                  <c:v>71%</c:v>
                </c:pt>
                <c:pt idx="2">
                  <c:v>100%</c:v>
                </c:pt>
                <c:pt idx="3">
                  <c:v>75%</c:v>
                </c:pt>
                <c:pt idx="4">
                  <c:v>0%</c:v>
                </c:pt>
                <c:pt idx="5">
                  <c:v>0%</c:v>
                </c:pt>
                <c:pt idx="6">
                  <c:v>83%</c:v>
                </c:pt>
                <c:pt idx="7">
                  <c:v>17%</c:v>
                </c:pt>
                <c:pt idx="8">
                  <c:v>25%</c:v>
                </c:pt>
                <c:pt idx="9">
                  <c:v>0%</c:v>
                </c:pt>
                <c:pt idx="10">
                  <c:v>75%</c:v>
                </c:pt>
                <c:pt idx="11">
                  <c:v>100%</c:v>
                </c:pt>
                <c:pt idx="12">
                  <c:v>100%</c:v>
                </c:pt>
                <c:pt idx="13">
                  <c:v>92%</c:v>
                </c:pt>
                <c:pt idx="14">
                  <c:v>100%</c:v>
                </c:pt>
                <c:pt idx="15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'20'!$AD$6:$AD$21</c:f>
              <c:numCache>
                <c:formatCode>0%</c:formatCode>
                <c:ptCount val="16"/>
                <c:pt idx="0">
                  <c:v>0.33333333333333331</c:v>
                </c:pt>
                <c:pt idx="1">
                  <c:v>0.70833333333333337</c:v>
                </c:pt>
                <c:pt idx="2">
                  <c:v>1</c:v>
                </c:pt>
                <c:pt idx="3">
                  <c:v>0.75</c:v>
                </c:pt>
                <c:pt idx="4">
                  <c:v>0</c:v>
                </c:pt>
                <c:pt idx="5">
                  <c:v>0</c:v>
                </c:pt>
                <c:pt idx="6">
                  <c:v>0.83333333333333337</c:v>
                </c:pt>
                <c:pt idx="7">
                  <c:v>0.16666666666666666</c:v>
                </c:pt>
                <c:pt idx="8">
                  <c:v>0.25</c:v>
                </c:pt>
                <c:pt idx="9">
                  <c:v>0</c:v>
                </c:pt>
                <c:pt idx="10">
                  <c:v>0.75</c:v>
                </c:pt>
                <c:pt idx="11">
                  <c:v>1</c:v>
                </c:pt>
                <c:pt idx="12">
                  <c:v>1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6-4407-8CBB-392F08D0626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86-4407-8CBB-392F08D062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'20'!$D$6:$D$21</c:f>
              <c:strCache>
                <c:ptCount val="15"/>
                <c:pt idx="0">
                  <c:v>F/A</c:v>
                </c:pt>
                <c:pt idx="2">
                  <c:v>SLIDER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9">
                  <c:v>LATCH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'20'!$AE$6:$AE$21</c:f>
              <c:numCache>
                <c:formatCode>0%</c:formatCode>
                <c:ptCount val="16"/>
                <c:pt idx="0">
                  <c:v>0.59895833333333337</c:v>
                </c:pt>
                <c:pt idx="1">
                  <c:v>0.59895833333333337</c:v>
                </c:pt>
                <c:pt idx="2">
                  <c:v>0.59895833333333337</c:v>
                </c:pt>
                <c:pt idx="3">
                  <c:v>0.59895833333333337</c:v>
                </c:pt>
                <c:pt idx="4">
                  <c:v>0.59895833333333337</c:v>
                </c:pt>
                <c:pt idx="5">
                  <c:v>0.59895833333333337</c:v>
                </c:pt>
                <c:pt idx="6">
                  <c:v>0.59895833333333337</c:v>
                </c:pt>
                <c:pt idx="7">
                  <c:v>0.59895833333333337</c:v>
                </c:pt>
                <c:pt idx="8">
                  <c:v>0.59895833333333337</c:v>
                </c:pt>
                <c:pt idx="9">
                  <c:v>0.59895833333333337</c:v>
                </c:pt>
                <c:pt idx="10">
                  <c:v>0.59895833333333337</c:v>
                </c:pt>
                <c:pt idx="11">
                  <c:v>0.59895833333333337</c:v>
                </c:pt>
                <c:pt idx="12">
                  <c:v>0.59895833333333337</c:v>
                </c:pt>
                <c:pt idx="13">
                  <c:v>0.59895833333333337</c:v>
                </c:pt>
                <c:pt idx="14">
                  <c:v>0.59895833333333337</c:v>
                </c:pt>
                <c:pt idx="15">
                  <c:v>0.59895833333333337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6-4407-8CBB-392F08D06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637-4268-AC8D-CA626B9BD6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7-4268-AC8D-CA626B9BD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637-4268-AC8D-CA626B9BD63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37-4268-AC8D-CA626B9BD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F/A</c:v>
                </c:pt>
                <c:pt idx="2">
                  <c:v>LATCH PLATE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1">
                  <c:v>11264</c:v>
                </c:pt>
                <c:pt idx="2">
                  <c:v>1000</c:v>
                </c:pt>
                <c:pt idx="3">
                  <c:v>5461</c:v>
                </c:pt>
                <c:pt idx="6">
                  <c:v>3250</c:v>
                </c:pt>
                <c:pt idx="7">
                  <c:v>600</c:v>
                </c:pt>
                <c:pt idx="9">
                  <c:v>4244</c:v>
                </c:pt>
                <c:pt idx="10">
                  <c:v>5819</c:v>
                </c:pt>
                <c:pt idx="11">
                  <c:v>10865</c:v>
                </c:pt>
                <c:pt idx="12">
                  <c:v>5080</c:v>
                </c:pt>
                <c:pt idx="13">
                  <c:v>5219</c:v>
                </c:pt>
                <c:pt idx="14">
                  <c:v>5670</c:v>
                </c:pt>
                <c:pt idx="15">
                  <c:v>57140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6-46AD-9FF2-0A2F8F527935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F/A</c:v>
                </c:pt>
                <c:pt idx="2">
                  <c:v>LATCH PLATE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11264</c:v>
                </c:pt>
                <c:pt idx="2">
                  <c:v>1000</c:v>
                </c:pt>
                <c:pt idx="3">
                  <c:v>5461</c:v>
                </c:pt>
                <c:pt idx="4">
                  <c:v>10964</c:v>
                </c:pt>
                <c:pt idx="5">
                  <c:v>6181</c:v>
                </c:pt>
                <c:pt idx="6">
                  <c:v>3250</c:v>
                </c:pt>
                <c:pt idx="7">
                  <c:v>600</c:v>
                </c:pt>
                <c:pt idx="8">
                  <c:v>452</c:v>
                </c:pt>
                <c:pt idx="9">
                  <c:v>4244</c:v>
                </c:pt>
                <c:pt idx="10">
                  <c:v>5819</c:v>
                </c:pt>
                <c:pt idx="11">
                  <c:v>10864</c:v>
                </c:pt>
                <c:pt idx="12">
                  <c:v>5080</c:v>
                </c:pt>
                <c:pt idx="13">
                  <c:v>5219</c:v>
                </c:pt>
                <c:pt idx="14">
                  <c:v>5670</c:v>
                </c:pt>
                <c:pt idx="15">
                  <c:v>57140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6-46AD-9FF2-0A2F8F5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17%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67%</c:v>
                </c:pt>
                <c:pt idx="7">
                  <c:v>17%</c:v>
                </c:pt>
                <c:pt idx="8">
                  <c:v>0%</c:v>
                </c:pt>
                <c:pt idx="9">
                  <c:v>88%</c:v>
                </c:pt>
                <c:pt idx="10">
                  <c:v>100%</c:v>
                </c:pt>
                <c:pt idx="11">
                  <c:v>29%</c:v>
                </c:pt>
                <c:pt idx="12">
                  <c:v>92%</c:v>
                </c:pt>
                <c:pt idx="13">
                  <c:v>100%</c:v>
                </c:pt>
                <c:pt idx="14">
                  <c:v>100%</c:v>
                </c:pt>
                <c:pt idx="15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F/A</c:v>
                </c:pt>
                <c:pt idx="2">
                  <c:v>LATCH PLATE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0.16666666666666666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0.66666666666666663</c:v>
                </c:pt>
                <c:pt idx="7">
                  <c:v>0.16666666666666666</c:v>
                </c:pt>
                <c:pt idx="8">
                  <c:v>0</c:v>
                </c:pt>
                <c:pt idx="9">
                  <c:v>0.875</c:v>
                </c:pt>
                <c:pt idx="10">
                  <c:v>1</c:v>
                </c:pt>
                <c:pt idx="11">
                  <c:v>0.29169351374570451</c:v>
                </c:pt>
                <c:pt idx="12">
                  <c:v>0.91666666666666663</c:v>
                </c:pt>
                <c:pt idx="13">
                  <c:v>1</c:v>
                </c:pt>
                <c:pt idx="14">
                  <c:v>1</c:v>
                </c:pt>
                <c:pt idx="15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1-4C9D-8C25-80D2052566E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2B1-4C9D-8C25-80D2052566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F/A</c:v>
                </c:pt>
                <c:pt idx="2">
                  <c:v>LATCH PLATE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0.55989751127577314</c:v>
                </c:pt>
                <c:pt idx="1">
                  <c:v>0.55989751127577314</c:v>
                </c:pt>
                <c:pt idx="2">
                  <c:v>0.55989751127577314</c:v>
                </c:pt>
                <c:pt idx="3">
                  <c:v>0.55989751127577314</c:v>
                </c:pt>
                <c:pt idx="4">
                  <c:v>0.55989751127577314</c:v>
                </c:pt>
                <c:pt idx="5">
                  <c:v>0.55989751127577314</c:v>
                </c:pt>
                <c:pt idx="6">
                  <c:v>0.55989751127577314</c:v>
                </c:pt>
                <c:pt idx="7">
                  <c:v>0.55989751127577314</c:v>
                </c:pt>
                <c:pt idx="8">
                  <c:v>0.55989751127577314</c:v>
                </c:pt>
                <c:pt idx="9">
                  <c:v>0.55989751127577314</c:v>
                </c:pt>
                <c:pt idx="10">
                  <c:v>0.55989751127577314</c:v>
                </c:pt>
                <c:pt idx="11">
                  <c:v>0.55989751127577314</c:v>
                </c:pt>
                <c:pt idx="12">
                  <c:v>0.55989751127577314</c:v>
                </c:pt>
                <c:pt idx="13">
                  <c:v>0.55989751127577314</c:v>
                </c:pt>
                <c:pt idx="14">
                  <c:v>0.55989751127577314</c:v>
                </c:pt>
                <c:pt idx="15">
                  <c:v>0.55989751127577314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B1-4C9D-8C25-80D20525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0">
                  <c:v>F/A</c:v>
                </c:pt>
                <c:pt idx="2">
                  <c:v>LATCH PLATE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1">
                  <c:v>11264</c:v>
                </c:pt>
                <c:pt idx="2">
                  <c:v>1000</c:v>
                </c:pt>
                <c:pt idx="3">
                  <c:v>5461</c:v>
                </c:pt>
                <c:pt idx="6">
                  <c:v>3250</c:v>
                </c:pt>
                <c:pt idx="7">
                  <c:v>600</c:v>
                </c:pt>
                <c:pt idx="9">
                  <c:v>4244</c:v>
                </c:pt>
                <c:pt idx="10">
                  <c:v>5819</c:v>
                </c:pt>
                <c:pt idx="11">
                  <c:v>10865</c:v>
                </c:pt>
                <c:pt idx="12">
                  <c:v>5080</c:v>
                </c:pt>
                <c:pt idx="13">
                  <c:v>5219</c:v>
                </c:pt>
                <c:pt idx="14">
                  <c:v>5670</c:v>
                </c:pt>
                <c:pt idx="15">
                  <c:v>57140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2-49AD-9FB5-BD274985E0E2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0">
                  <c:v>F/A</c:v>
                </c:pt>
                <c:pt idx="2">
                  <c:v>LATCH PLATE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11264</c:v>
                </c:pt>
                <c:pt idx="2">
                  <c:v>1000</c:v>
                </c:pt>
                <c:pt idx="3">
                  <c:v>5461</c:v>
                </c:pt>
                <c:pt idx="4">
                  <c:v>10964</c:v>
                </c:pt>
                <c:pt idx="5">
                  <c:v>6181</c:v>
                </c:pt>
                <c:pt idx="6">
                  <c:v>3250</c:v>
                </c:pt>
                <c:pt idx="7">
                  <c:v>600</c:v>
                </c:pt>
                <c:pt idx="8">
                  <c:v>452</c:v>
                </c:pt>
                <c:pt idx="9">
                  <c:v>4244</c:v>
                </c:pt>
                <c:pt idx="10">
                  <c:v>5819</c:v>
                </c:pt>
                <c:pt idx="11">
                  <c:v>10864</c:v>
                </c:pt>
                <c:pt idx="12">
                  <c:v>5080</c:v>
                </c:pt>
                <c:pt idx="13">
                  <c:v>5219</c:v>
                </c:pt>
                <c:pt idx="14">
                  <c:v>5670</c:v>
                </c:pt>
                <c:pt idx="15">
                  <c:v>57140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2-49AD-9FB5-BD274985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0%</c:v>
                </c:pt>
                <c:pt idx="1">
                  <c:v>100%</c:v>
                </c:pt>
                <c:pt idx="2">
                  <c:v>17%</c:v>
                </c:pt>
                <c:pt idx="3">
                  <c:v>100%</c:v>
                </c:pt>
                <c:pt idx="4">
                  <c:v>0%</c:v>
                </c:pt>
                <c:pt idx="5">
                  <c:v>0%</c:v>
                </c:pt>
                <c:pt idx="6">
                  <c:v>67%</c:v>
                </c:pt>
                <c:pt idx="7">
                  <c:v>17%</c:v>
                </c:pt>
                <c:pt idx="8">
                  <c:v>0%</c:v>
                </c:pt>
                <c:pt idx="9">
                  <c:v>88%</c:v>
                </c:pt>
                <c:pt idx="10">
                  <c:v>100%</c:v>
                </c:pt>
                <c:pt idx="11">
                  <c:v>29%</c:v>
                </c:pt>
                <c:pt idx="12">
                  <c:v>92%</c:v>
                </c:pt>
                <c:pt idx="13">
                  <c:v>100%</c:v>
                </c:pt>
                <c:pt idx="14">
                  <c:v>100%</c:v>
                </c:pt>
                <c:pt idx="15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F/A</c:v>
                </c:pt>
                <c:pt idx="2">
                  <c:v>LATCH PLATE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0.16666666666666666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0.66666666666666663</c:v>
                </c:pt>
                <c:pt idx="7">
                  <c:v>0.16666666666666666</c:v>
                </c:pt>
                <c:pt idx="8">
                  <c:v>0</c:v>
                </c:pt>
                <c:pt idx="9">
                  <c:v>0.875</c:v>
                </c:pt>
                <c:pt idx="10">
                  <c:v>1</c:v>
                </c:pt>
                <c:pt idx="11">
                  <c:v>0.29169351374570451</c:v>
                </c:pt>
                <c:pt idx="12">
                  <c:v>0.91666666666666663</c:v>
                </c:pt>
                <c:pt idx="13">
                  <c:v>1</c:v>
                </c:pt>
                <c:pt idx="14">
                  <c:v>1</c:v>
                </c:pt>
                <c:pt idx="15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1-4346-88B6-62FD3F50E14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31-4346-88B6-62FD3F50E1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0">
                  <c:v>F/A</c:v>
                </c:pt>
                <c:pt idx="2">
                  <c:v>LATCH PLATE</c:v>
                </c:pt>
                <c:pt idx="3">
                  <c:v>STOPPPER</c:v>
                </c:pt>
                <c:pt idx="4">
                  <c:v>STOPPPER</c:v>
                </c:pt>
                <c:pt idx="5">
                  <c:v>STOPPPER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0.55989751127577314</c:v>
                </c:pt>
                <c:pt idx="1">
                  <c:v>0.55989751127577314</c:v>
                </c:pt>
                <c:pt idx="2">
                  <c:v>0.55989751127577314</c:v>
                </c:pt>
                <c:pt idx="3">
                  <c:v>0.55989751127577314</c:v>
                </c:pt>
                <c:pt idx="4">
                  <c:v>0.55989751127577314</c:v>
                </c:pt>
                <c:pt idx="5">
                  <c:v>0.55989751127577314</c:v>
                </c:pt>
                <c:pt idx="6">
                  <c:v>0.55989751127577314</c:v>
                </c:pt>
                <c:pt idx="7">
                  <c:v>0.55989751127577314</c:v>
                </c:pt>
                <c:pt idx="8">
                  <c:v>0.55989751127577314</c:v>
                </c:pt>
                <c:pt idx="9">
                  <c:v>0.55989751127577314</c:v>
                </c:pt>
                <c:pt idx="10">
                  <c:v>0.55989751127577314</c:v>
                </c:pt>
                <c:pt idx="11">
                  <c:v>0.55989751127577314</c:v>
                </c:pt>
                <c:pt idx="12">
                  <c:v>0.55989751127577314</c:v>
                </c:pt>
                <c:pt idx="13">
                  <c:v>0.55989751127577314</c:v>
                </c:pt>
                <c:pt idx="14">
                  <c:v>0.55989751127577314</c:v>
                </c:pt>
                <c:pt idx="15">
                  <c:v>0.55989751127577314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1-4346-88B6-62FD3F50E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EC3-4BEB-B69B-72FA052B3C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3-4BEB-B69B-72FA052B3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EC3-4BEB-B69B-72FA052B3C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C3-4BEB-B69B-72FA052B3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1">
                  <c:v>7152</c:v>
                </c:pt>
                <c:pt idx="2">
                  <c:v>1000</c:v>
                </c:pt>
                <c:pt idx="3">
                  <c:v>5507</c:v>
                </c:pt>
                <c:pt idx="5">
                  <c:v>2861</c:v>
                </c:pt>
                <c:pt idx="6">
                  <c:v>4473</c:v>
                </c:pt>
                <c:pt idx="7">
                  <c:v>3083</c:v>
                </c:pt>
                <c:pt idx="9">
                  <c:v>5660</c:v>
                </c:pt>
                <c:pt idx="10">
                  <c:v>5852</c:v>
                </c:pt>
                <c:pt idx="12">
                  <c:v>5539</c:v>
                </c:pt>
                <c:pt idx="13">
                  <c:v>5257</c:v>
                </c:pt>
                <c:pt idx="14">
                  <c:v>5687</c:v>
                </c:pt>
                <c:pt idx="15">
                  <c:v>58388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F-49F4-A248-F1A49FAD9380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7152</c:v>
                </c:pt>
                <c:pt idx="2">
                  <c:v>1000</c:v>
                </c:pt>
                <c:pt idx="3">
                  <c:v>5507</c:v>
                </c:pt>
                <c:pt idx="4">
                  <c:v>10964</c:v>
                </c:pt>
                <c:pt idx="5">
                  <c:v>2861</c:v>
                </c:pt>
                <c:pt idx="6">
                  <c:v>4473</c:v>
                </c:pt>
                <c:pt idx="7">
                  <c:v>3083</c:v>
                </c:pt>
                <c:pt idx="8">
                  <c:v>452</c:v>
                </c:pt>
                <c:pt idx="9">
                  <c:v>5660</c:v>
                </c:pt>
                <c:pt idx="10">
                  <c:v>5852</c:v>
                </c:pt>
                <c:pt idx="11">
                  <c:v>10864</c:v>
                </c:pt>
                <c:pt idx="12">
                  <c:v>5539</c:v>
                </c:pt>
                <c:pt idx="13">
                  <c:v>5257</c:v>
                </c:pt>
                <c:pt idx="14">
                  <c:v>5687</c:v>
                </c:pt>
                <c:pt idx="15">
                  <c:v>58388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DF-49F4-A248-F1A49FAD9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0%</c:v>
                </c:pt>
                <c:pt idx="1">
                  <c:v>71%</c:v>
                </c:pt>
                <c:pt idx="2">
                  <c:v>17%</c:v>
                </c:pt>
                <c:pt idx="3">
                  <c:v>100%</c:v>
                </c:pt>
                <c:pt idx="4">
                  <c:v>0%</c:v>
                </c:pt>
                <c:pt idx="5">
                  <c:v>67%</c:v>
                </c:pt>
                <c:pt idx="6">
                  <c:v>83%</c:v>
                </c:pt>
                <c:pt idx="7">
                  <c:v>67%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</c:v>
                </c:pt>
                <c:pt idx="1">
                  <c:v>0.70833333333333337</c:v>
                </c:pt>
                <c:pt idx="2">
                  <c:v>0.16666666666666666</c:v>
                </c:pt>
                <c:pt idx="3">
                  <c:v>1</c:v>
                </c:pt>
                <c:pt idx="4">
                  <c:v>0</c:v>
                </c:pt>
                <c:pt idx="5">
                  <c:v>0.66666666666666663</c:v>
                </c:pt>
                <c:pt idx="6">
                  <c:v>0.83333333333333337</c:v>
                </c:pt>
                <c:pt idx="7">
                  <c:v>0.66666666666666663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9-4CD0-8BBD-3F1307E1F2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A49-4CD0-8BBD-3F1307E1F2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0.62760416666666674</c:v>
                </c:pt>
                <c:pt idx="1">
                  <c:v>0.62760416666666674</c:v>
                </c:pt>
                <c:pt idx="2">
                  <c:v>0.62760416666666674</c:v>
                </c:pt>
                <c:pt idx="3">
                  <c:v>0.62760416666666674</c:v>
                </c:pt>
                <c:pt idx="4">
                  <c:v>0.62760416666666674</c:v>
                </c:pt>
                <c:pt idx="5">
                  <c:v>0.62760416666666674</c:v>
                </c:pt>
                <c:pt idx="6">
                  <c:v>0.62760416666666674</c:v>
                </c:pt>
                <c:pt idx="7">
                  <c:v>0.62760416666666674</c:v>
                </c:pt>
                <c:pt idx="8">
                  <c:v>0.62760416666666674</c:v>
                </c:pt>
                <c:pt idx="9">
                  <c:v>0.62760416666666674</c:v>
                </c:pt>
                <c:pt idx="10">
                  <c:v>0.62760416666666674</c:v>
                </c:pt>
                <c:pt idx="11">
                  <c:v>0.62760416666666674</c:v>
                </c:pt>
                <c:pt idx="12">
                  <c:v>0.62760416666666674</c:v>
                </c:pt>
                <c:pt idx="13">
                  <c:v>0.62760416666666674</c:v>
                </c:pt>
                <c:pt idx="14">
                  <c:v>0.62760416666666674</c:v>
                </c:pt>
                <c:pt idx="15">
                  <c:v>0.62760416666666674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9-4CD0-8BBD-3F1307E1F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'22'!$L$6:$L$21</c:f>
              <c:numCache>
                <c:formatCode>_(* #,##0_);_(* \(#,##0\);_(* "-"_);_(@_)</c:formatCode>
                <c:ptCount val="16"/>
                <c:pt idx="1">
                  <c:v>7152</c:v>
                </c:pt>
                <c:pt idx="2">
                  <c:v>1000</c:v>
                </c:pt>
                <c:pt idx="3">
                  <c:v>5507</c:v>
                </c:pt>
                <c:pt idx="5">
                  <c:v>2861</c:v>
                </c:pt>
                <c:pt idx="6">
                  <c:v>4473</c:v>
                </c:pt>
                <c:pt idx="7">
                  <c:v>3083</c:v>
                </c:pt>
                <c:pt idx="9">
                  <c:v>5660</c:v>
                </c:pt>
                <c:pt idx="10">
                  <c:v>5852</c:v>
                </c:pt>
                <c:pt idx="12">
                  <c:v>5539</c:v>
                </c:pt>
                <c:pt idx="13">
                  <c:v>5257</c:v>
                </c:pt>
                <c:pt idx="14">
                  <c:v>5687</c:v>
                </c:pt>
                <c:pt idx="15">
                  <c:v>58388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3-4273-A4F1-A3AE5681321B}"/>
            </c:ext>
          </c:extLst>
        </c:ser>
        <c:ser>
          <c:idx val="1"/>
          <c:order val="1"/>
          <c:tx>
            <c:v>계획</c:v>
          </c:tx>
          <c:cat>
            <c:strRef>
              <c:f>'22'!$D$6:$D$21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'22'!$J$6:$J$21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7152</c:v>
                </c:pt>
                <c:pt idx="2">
                  <c:v>1000</c:v>
                </c:pt>
                <c:pt idx="3">
                  <c:v>5507</c:v>
                </c:pt>
                <c:pt idx="4">
                  <c:v>10964</c:v>
                </c:pt>
                <c:pt idx="5">
                  <c:v>2861</c:v>
                </c:pt>
                <c:pt idx="6">
                  <c:v>4473</c:v>
                </c:pt>
                <c:pt idx="7">
                  <c:v>3083</c:v>
                </c:pt>
                <c:pt idx="8">
                  <c:v>452</c:v>
                </c:pt>
                <c:pt idx="9">
                  <c:v>5660</c:v>
                </c:pt>
                <c:pt idx="10">
                  <c:v>5852</c:v>
                </c:pt>
                <c:pt idx="11">
                  <c:v>10864</c:v>
                </c:pt>
                <c:pt idx="12">
                  <c:v>5539</c:v>
                </c:pt>
                <c:pt idx="13">
                  <c:v>5257</c:v>
                </c:pt>
                <c:pt idx="14">
                  <c:v>5687</c:v>
                </c:pt>
                <c:pt idx="15">
                  <c:v>58388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83-4273-A4F1-A3AE56813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'22'!$AD$6:$AD$21</c:f>
              <c:strCache>
                <c:ptCount val="16"/>
                <c:pt idx="0">
                  <c:v>0%</c:v>
                </c:pt>
                <c:pt idx="1">
                  <c:v>71%</c:v>
                </c:pt>
                <c:pt idx="2">
                  <c:v>17%</c:v>
                </c:pt>
                <c:pt idx="3">
                  <c:v>100%</c:v>
                </c:pt>
                <c:pt idx="4">
                  <c:v>0%</c:v>
                </c:pt>
                <c:pt idx="5">
                  <c:v>67%</c:v>
                </c:pt>
                <c:pt idx="6">
                  <c:v>83%</c:v>
                </c:pt>
                <c:pt idx="7">
                  <c:v>67%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0%</c:v>
                </c:pt>
                <c:pt idx="12">
                  <c:v>100%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'22'!$AD$6:$AD$21</c:f>
              <c:numCache>
                <c:formatCode>0%</c:formatCode>
                <c:ptCount val="16"/>
                <c:pt idx="0">
                  <c:v>0</c:v>
                </c:pt>
                <c:pt idx="1">
                  <c:v>0.70833333333333337</c:v>
                </c:pt>
                <c:pt idx="2">
                  <c:v>0.16666666666666666</c:v>
                </c:pt>
                <c:pt idx="3">
                  <c:v>1</c:v>
                </c:pt>
                <c:pt idx="4">
                  <c:v>0</c:v>
                </c:pt>
                <c:pt idx="5">
                  <c:v>0.66666666666666663</c:v>
                </c:pt>
                <c:pt idx="6">
                  <c:v>0.83333333333333337</c:v>
                </c:pt>
                <c:pt idx="7">
                  <c:v>0.66666666666666663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C4-43F7-B1D5-8FE6444228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C4-43F7-B1D5-8FE6444228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'22'!$AE$6:$AE$21</c:f>
              <c:numCache>
                <c:formatCode>0%</c:formatCode>
                <c:ptCount val="16"/>
                <c:pt idx="0">
                  <c:v>0.62760416666666674</c:v>
                </c:pt>
                <c:pt idx="1">
                  <c:v>0.62760416666666674</c:v>
                </c:pt>
                <c:pt idx="2">
                  <c:v>0.62760416666666674</c:v>
                </c:pt>
                <c:pt idx="3">
                  <c:v>0.62760416666666674</c:v>
                </c:pt>
                <c:pt idx="4">
                  <c:v>0.62760416666666674</c:v>
                </c:pt>
                <c:pt idx="5">
                  <c:v>0.62760416666666674</c:v>
                </c:pt>
                <c:pt idx="6">
                  <c:v>0.62760416666666674</c:v>
                </c:pt>
                <c:pt idx="7">
                  <c:v>0.62760416666666674</c:v>
                </c:pt>
                <c:pt idx="8">
                  <c:v>0.62760416666666674</c:v>
                </c:pt>
                <c:pt idx="9">
                  <c:v>0.62760416666666674</c:v>
                </c:pt>
                <c:pt idx="10">
                  <c:v>0.62760416666666674</c:v>
                </c:pt>
                <c:pt idx="11">
                  <c:v>0.62760416666666674</c:v>
                </c:pt>
                <c:pt idx="12">
                  <c:v>0.62760416666666674</c:v>
                </c:pt>
                <c:pt idx="13">
                  <c:v>0.62760416666666674</c:v>
                </c:pt>
                <c:pt idx="14">
                  <c:v>0.62760416666666674</c:v>
                </c:pt>
                <c:pt idx="15">
                  <c:v>0.62760416666666674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C4-43F7-B1D5-8FE644422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8F1-4071-B8B5-0E61AECE99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F1-4071-B8B5-0E61AECE9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8F1-4071-B8B5-0E61AECE99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F1-4071-B8B5-0E61AECE9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3">
                  <c:v>2538</c:v>
                </c:pt>
                <c:pt idx="5">
                  <c:v>2581</c:v>
                </c:pt>
                <c:pt idx="7">
                  <c:v>2750</c:v>
                </c:pt>
                <c:pt idx="10">
                  <c:v>2621</c:v>
                </c:pt>
                <c:pt idx="12">
                  <c:v>2186</c:v>
                </c:pt>
                <c:pt idx="13">
                  <c:v>2255</c:v>
                </c:pt>
                <c:pt idx="14">
                  <c:v>2513</c:v>
                </c:pt>
                <c:pt idx="15">
                  <c:v>26200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3-4540-882A-747642ABB15A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7152</c:v>
                </c:pt>
                <c:pt idx="2">
                  <c:v>1000</c:v>
                </c:pt>
                <c:pt idx="3">
                  <c:v>2538</c:v>
                </c:pt>
                <c:pt idx="4">
                  <c:v>10964</c:v>
                </c:pt>
                <c:pt idx="5">
                  <c:v>2581</c:v>
                </c:pt>
                <c:pt idx="6">
                  <c:v>4473</c:v>
                </c:pt>
                <c:pt idx="7">
                  <c:v>2750</c:v>
                </c:pt>
                <c:pt idx="8">
                  <c:v>452</c:v>
                </c:pt>
                <c:pt idx="9">
                  <c:v>5660</c:v>
                </c:pt>
                <c:pt idx="10">
                  <c:v>2621</c:v>
                </c:pt>
                <c:pt idx="11">
                  <c:v>10864</c:v>
                </c:pt>
                <c:pt idx="12">
                  <c:v>2186</c:v>
                </c:pt>
                <c:pt idx="13">
                  <c:v>2255</c:v>
                </c:pt>
                <c:pt idx="14">
                  <c:v>2513</c:v>
                </c:pt>
                <c:pt idx="15">
                  <c:v>26200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33-4540-882A-747642AB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50%</c:v>
                </c:pt>
                <c:pt idx="6">
                  <c:v>0%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50%</c:v>
                </c:pt>
                <c:pt idx="13">
                  <c:v>50%</c:v>
                </c:pt>
                <c:pt idx="14">
                  <c:v>50%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6-43DC-81EC-B214892958D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A6-43DC-81EC-B214892958D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A6-43DC-81EC-B21489295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'23'!$L$6:$L$21</c:f>
              <c:numCache>
                <c:formatCode>_(* #,##0_);_(* \(#,##0\);_(* "-"_);_(@_)</c:formatCode>
                <c:ptCount val="16"/>
                <c:pt idx="3">
                  <c:v>2538</c:v>
                </c:pt>
                <c:pt idx="5">
                  <c:v>2581</c:v>
                </c:pt>
                <c:pt idx="7">
                  <c:v>2750</c:v>
                </c:pt>
                <c:pt idx="10">
                  <c:v>2621</c:v>
                </c:pt>
                <c:pt idx="12">
                  <c:v>2186</c:v>
                </c:pt>
                <c:pt idx="13">
                  <c:v>2255</c:v>
                </c:pt>
                <c:pt idx="14">
                  <c:v>2513</c:v>
                </c:pt>
                <c:pt idx="15">
                  <c:v>26200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C-48BD-9D6F-4552E11338FB}"/>
            </c:ext>
          </c:extLst>
        </c:ser>
        <c:ser>
          <c:idx val="1"/>
          <c:order val="1"/>
          <c:tx>
            <c:v>계획</c:v>
          </c:tx>
          <c:cat>
            <c:strRef>
              <c:f>'23'!$D$6:$D$21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'23'!$J$6:$J$21</c:f>
              <c:numCache>
                <c:formatCode>_(* #,##0_);_(* \(#,##0\);_(* "-"_);_(@_)</c:formatCode>
                <c:ptCount val="16"/>
                <c:pt idx="0">
                  <c:v>1563</c:v>
                </c:pt>
                <c:pt idx="1">
                  <c:v>7152</c:v>
                </c:pt>
                <c:pt idx="2">
                  <c:v>1000</c:v>
                </c:pt>
                <c:pt idx="3">
                  <c:v>2538</c:v>
                </c:pt>
                <c:pt idx="4">
                  <c:v>10964</c:v>
                </c:pt>
                <c:pt idx="5">
                  <c:v>2581</c:v>
                </c:pt>
                <c:pt idx="6">
                  <c:v>4473</c:v>
                </c:pt>
                <c:pt idx="7">
                  <c:v>2750</c:v>
                </c:pt>
                <c:pt idx="8">
                  <c:v>452</c:v>
                </c:pt>
                <c:pt idx="9">
                  <c:v>5660</c:v>
                </c:pt>
                <c:pt idx="10">
                  <c:v>2621</c:v>
                </c:pt>
                <c:pt idx="11">
                  <c:v>10864</c:v>
                </c:pt>
                <c:pt idx="12">
                  <c:v>2186</c:v>
                </c:pt>
                <c:pt idx="13">
                  <c:v>2255</c:v>
                </c:pt>
                <c:pt idx="14">
                  <c:v>2513</c:v>
                </c:pt>
                <c:pt idx="15">
                  <c:v>26200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C-48BD-9D6F-4552E1133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50%</c:v>
                </c:pt>
                <c:pt idx="4">
                  <c:v>0%</c:v>
                </c:pt>
                <c:pt idx="5">
                  <c:v>50%</c:v>
                </c:pt>
                <c:pt idx="6">
                  <c:v>0%</c:v>
                </c:pt>
                <c:pt idx="7">
                  <c:v>50%</c:v>
                </c:pt>
                <c:pt idx="8">
                  <c:v>0%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50%</c:v>
                </c:pt>
                <c:pt idx="13">
                  <c:v>50%</c:v>
                </c:pt>
                <c:pt idx="14">
                  <c:v>50%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2-46AE-AEA9-3CC2ADB166E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12-46AE-AEA9-3CC2ADB166E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STOPPPER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'23'!$AE$6:$AE$21</c:f>
              <c:numCache>
                <c:formatCode>0%</c:formatCode>
                <c:ptCount val="16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2-46AE-AEA9-3CC2ADB16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34B-4C47-AB10-14A415A69C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B-4C47-AB10-14A415A69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34B-4C47-AB10-14A415A69CB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4B-4C47-AB10-14A415A69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951</c:v>
                </c:pt>
                <c:pt idx="3">
                  <c:v>4958</c:v>
                </c:pt>
                <c:pt idx="4">
                  <c:v>3146</c:v>
                </c:pt>
                <c:pt idx="6">
                  <c:v>4603</c:v>
                </c:pt>
                <c:pt idx="7">
                  <c:v>5717</c:v>
                </c:pt>
                <c:pt idx="10">
                  <c:v>5478</c:v>
                </c:pt>
                <c:pt idx="12">
                  <c:v>4334</c:v>
                </c:pt>
                <c:pt idx="13">
                  <c:v>1109</c:v>
                </c:pt>
                <c:pt idx="14">
                  <c:v>332</c:v>
                </c:pt>
                <c:pt idx="15">
                  <c:v>49588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76-4BCE-A7F4-5673603B49C9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951</c:v>
                </c:pt>
                <c:pt idx="1">
                  <c:v>7152</c:v>
                </c:pt>
                <c:pt idx="2">
                  <c:v>1000</c:v>
                </c:pt>
                <c:pt idx="3">
                  <c:v>4958</c:v>
                </c:pt>
                <c:pt idx="4">
                  <c:v>3146</c:v>
                </c:pt>
                <c:pt idx="5">
                  <c:v>2581</c:v>
                </c:pt>
                <c:pt idx="6">
                  <c:v>4603</c:v>
                </c:pt>
                <c:pt idx="7">
                  <c:v>5717</c:v>
                </c:pt>
                <c:pt idx="8">
                  <c:v>452</c:v>
                </c:pt>
                <c:pt idx="9">
                  <c:v>5660</c:v>
                </c:pt>
                <c:pt idx="10">
                  <c:v>5478</c:v>
                </c:pt>
                <c:pt idx="11">
                  <c:v>10864</c:v>
                </c:pt>
                <c:pt idx="12">
                  <c:v>4334</c:v>
                </c:pt>
                <c:pt idx="13">
                  <c:v>1109</c:v>
                </c:pt>
                <c:pt idx="14">
                  <c:v>332</c:v>
                </c:pt>
                <c:pt idx="15">
                  <c:v>49588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76-4BCE-A7F4-5673603B4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21%</c:v>
                </c:pt>
                <c:pt idx="1">
                  <c:v>0%</c:v>
                </c:pt>
                <c:pt idx="2">
                  <c:v>0%</c:v>
                </c:pt>
                <c:pt idx="3">
                  <c:v>92%</c:v>
                </c:pt>
                <c:pt idx="4">
                  <c:v>63%</c:v>
                </c:pt>
                <c:pt idx="5">
                  <c:v>0%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88%</c:v>
                </c:pt>
                <c:pt idx="13">
                  <c:v>25%</c:v>
                </c:pt>
                <c:pt idx="14">
                  <c:v>13%</c:v>
                </c:pt>
                <c:pt idx="15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0.20833333333333334</c:v>
                </c:pt>
                <c:pt idx="1">
                  <c:v>0</c:v>
                </c:pt>
                <c:pt idx="2">
                  <c:v>0</c:v>
                </c:pt>
                <c:pt idx="3">
                  <c:v>0.91666666666666663</c:v>
                </c:pt>
                <c:pt idx="4">
                  <c:v>0.625</c:v>
                </c:pt>
                <c:pt idx="5">
                  <c:v>0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0.875</c:v>
                </c:pt>
                <c:pt idx="13">
                  <c:v>0.25</c:v>
                </c:pt>
                <c:pt idx="14">
                  <c:v>0.125</c:v>
                </c:pt>
                <c:pt idx="15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4-45EC-BC17-508B5D4FBF1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34-45EC-BC17-508B5D4FBF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0.421875</c:v>
                </c:pt>
                <c:pt idx="1">
                  <c:v>0.421875</c:v>
                </c:pt>
                <c:pt idx="2">
                  <c:v>0.421875</c:v>
                </c:pt>
                <c:pt idx="3">
                  <c:v>0.421875</c:v>
                </c:pt>
                <c:pt idx="4">
                  <c:v>0.421875</c:v>
                </c:pt>
                <c:pt idx="5">
                  <c:v>0.421875</c:v>
                </c:pt>
                <c:pt idx="6">
                  <c:v>0.421875</c:v>
                </c:pt>
                <c:pt idx="7">
                  <c:v>0.421875</c:v>
                </c:pt>
                <c:pt idx="8">
                  <c:v>0.421875</c:v>
                </c:pt>
                <c:pt idx="9">
                  <c:v>0.421875</c:v>
                </c:pt>
                <c:pt idx="10">
                  <c:v>0.421875</c:v>
                </c:pt>
                <c:pt idx="11">
                  <c:v>0.421875</c:v>
                </c:pt>
                <c:pt idx="12">
                  <c:v>0.421875</c:v>
                </c:pt>
                <c:pt idx="13">
                  <c:v>0.421875</c:v>
                </c:pt>
                <c:pt idx="14">
                  <c:v>0.421875</c:v>
                </c:pt>
                <c:pt idx="15">
                  <c:v>0.421875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34-45EC-BC17-508B5D4FB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'25'!$L$6:$L$21</c:f>
              <c:numCache>
                <c:formatCode>_(* #,##0_);_(* \(#,##0\);_(* "-"_);_(@_)</c:formatCode>
                <c:ptCount val="16"/>
                <c:pt idx="0">
                  <c:v>951</c:v>
                </c:pt>
                <c:pt idx="3">
                  <c:v>4958</c:v>
                </c:pt>
                <c:pt idx="4">
                  <c:v>3146</c:v>
                </c:pt>
                <c:pt idx="6">
                  <c:v>4603</c:v>
                </c:pt>
                <c:pt idx="7">
                  <c:v>5717</c:v>
                </c:pt>
                <c:pt idx="10">
                  <c:v>5478</c:v>
                </c:pt>
                <c:pt idx="12">
                  <c:v>4334</c:v>
                </c:pt>
                <c:pt idx="13">
                  <c:v>1109</c:v>
                </c:pt>
                <c:pt idx="14">
                  <c:v>332</c:v>
                </c:pt>
                <c:pt idx="15">
                  <c:v>49588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E-4053-8D0F-3B1F01D0B08D}"/>
            </c:ext>
          </c:extLst>
        </c:ser>
        <c:ser>
          <c:idx val="1"/>
          <c:order val="1"/>
          <c:tx>
            <c:v>계획</c:v>
          </c:tx>
          <c:cat>
            <c:strRef>
              <c:f>'25'!$D$6:$D$21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'25'!$J$6:$J$21</c:f>
              <c:numCache>
                <c:formatCode>_(* #,##0_);_(* \(#,##0\);_(* "-"_);_(@_)</c:formatCode>
                <c:ptCount val="16"/>
                <c:pt idx="0">
                  <c:v>951</c:v>
                </c:pt>
                <c:pt idx="1">
                  <c:v>7152</c:v>
                </c:pt>
                <c:pt idx="2">
                  <c:v>1000</c:v>
                </c:pt>
                <c:pt idx="3">
                  <c:v>4958</c:v>
                </c:pt>
                <c:pt idx="4">
                  <c:v>3146</c:v>
                </c:pt>
                <c:pt idx="5">
                  <c:v>2581</c:v>
                </c:pt>
                <c:pt idx="6">
                  <c:v>4603</c:v>
                </c:pt>
                <c:pt idx="7">
                  <c:v>5717</c:v>
                </c:pt>
                <c:pt idx="8">
                  <c:v>452</c:v>
                </c:pt>
                <c:pt idx="9">
                  <c:v>5660</c:v>
                </c:pt>
                <c:pt idx="10">
                  <c:v>5478</c:v>
                </c:pt>
                <c:pt idx="11">
                  <c:v>10864</c:v>
                </c:pt>
                <c:pt idx="12">
                  <c:v>4334</c:v>
                </c:pt>
                <c:pt idx="13">
                  <c:v>1109</c:v>
                </c:pt>
                <c:pt idx="14">
                  <c:v>332</c:v>
                </c:pt>
                <c:pt idx="15">
                  <c:v>49588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E-4053-8D0F-3B1F01D0B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'25'!$AD$6:$AD$21</c:f>
              <c:strCache>
                <c:ptCount val="16"/>
                <c:pt idx="0">
                  <c:v>21%</c:v>
                </c:pt>
                <c:pt idx="1">
                  <c:v>0%</c:v>
                </c:pt>
                <c:pt idx="2">
                  <c:v>0%</c:v>
                </c:pt>
                <c:pt idx="3">
                  <c:v>92%</c:v>
                </c:pt>
                <c:pt idx="4">
                  <c:v>63%</c:v>
                </c:pt>
                <c:pt idx="5">
                  <c:v>0%</c:v>
                </c:pt>
                <c:pt idx="6">
                  <c:v>88%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88%</c:v>
                </c:pt>
                <c:pt idx="13">
                  <c:v>25%</c:v>
                </c:pt>
                <c:pt idx="14">
                  <c:v>13%</c:v>
                </c:pt>
                <c:pt idx="15">
                  <c:v>88%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'25'!$AD$6:$AD$21</c:f>
              <c:numCache>
                <c:formatCode>0%</c:formatCode>
                <c:ptCount val="16"/>
                <c:pt idx="0">
                  <c:v>0.20833333333333334</c:v>
                </c:pt>
                <c:pt idx="1">
                  <c:v>0</c:v>
                </c:pt>
                <c:pt idx="2">
                  <c:v>0</c:v>
                </c:pt>
                <c:pt idx="3">
                  <c:v>0.91666666666666663</c:v>
                </c:pt>
                <c:pt idx="4">
                  <c:v>0.625</c:v>
                </c:pt>
                <c:pt idx="5">
                  <c:v>0</c:v>
                </c:pt>
                <c:pt idx="6">
                  <c:v>0.875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0.875</c:v>
                </c:pt>
                <c:pt idx="13">
                  <c:v>0.25</c:v>
                </c:pt>
                <c:pt idx="14">
                  <c:v>0.125</c:v>
                </c:pt>
                <c:pt idx="15">
                  <c:v>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F-4AC2-BC7D-17E10CB2787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CF-4AC2-BC7D-17E10CB2787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'25'!$D$6:$D$21</c:f>
              <c:strCache>
                <c:ptCount val="15"/>
                <c:pt idx="0">
                  <c:v>F/A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'25'!$AE$6:$AE$21</c:f>
              <c:numCache>
                <c:formatCode>0%</c:formatCode>
                <c:ptCount val="16"/>
                <c:pt idx="0">
                  <c:v>0.421875</c:v>
                </c:pt>
                <c:pt idx="1">
                  <c:v>0.421875</c:v>
                </c:pt>
                <c:pt idx="2">
                  <c:v>0.421875</c:v>
                </c:pt>
                <c:pt idx="3">
                  <c:v>0.421875</c:v>
                </c:pt>
                <c:pt idx="4">
                  <c:v>0.421875</c:v>
                </c:pt>
                <c:pt idx="5">
                  <c:v>0.421875</c:v>
                </c:pt>
                <c:pt idx="6">
                  <c:v>0.421875</c:v>
                </c:pt>
                <c:pt idx="7">
                  <c:v>0.421875</c:v>
                </c:pt>
                <c:pt idx="8">
                  <c:v>0.421875</c:v>
                </c:pt>
                <c:pt idx="9">
                  <c:v>0.421875</c:v>
                </c:pt>
                <c:pt idx="10">
                  <c:v>0.421875</c:v>
                </c:pt>
                <c:pt idx="11">
                  <c:v>0.421875</c:v>
                </c:pt>
                <c:pt idx="12">
                  <c:v>0.421875</c:v>
                </c:pt>
                <c:pt idx="13">
                  <c:v>0.421875</c:v>
                </c:pt>
                <c:pt idx="14">
                  <c:v>0.421875</c:v>
                </c:pt>
                <c:pt idx="15">
                  <c:v>0.421875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F-4AC2-BC7D-17E10CB2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B1A-41D1-BA99-7385FD8FD2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A-41D1-BA99-7385FD8FD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B1A-41D1-BA99-7385FD8FD2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1A-41D1-BA99-7385FD8FD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0">
                  <c:v>BASE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0">
                  <c:v>359</c:v>
                </c:pt>
                <c:pt idx="3">
                  <c:v>5313</c:v>
                </c:pt>
                <c:pt idx="4">
                  <c:v>6390</c:v>
                </c:pt>
                <c:pt idx="6">
                  <c:v>3900</c:v>
                </c:pt>
                <c:pt idx="7">
                  <c:v>5919</c:v>
                </c:pt>
                <c:pt idx="10">
                  <c:v>5830</c:v>
                </c:pt>
                <c:pt idx="11">
                  <c:v>37785</c:v>
                </c:pt>
                <c:pt idx="12">
                  <c:v>5583</c:v>
                </c:pt>
                <c:pt idx="15">
                  <c:v>57728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C-4DE4-9158-B1C15F0EB160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0">
                  <c:v>BASE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359</c:v>
                </c:pt>
                <c:pt idx="1">
                  <c:v>7152</c:v>
                </c:pt>
                <c:pt idx="2">
                  <c:v>1000</c:v>
                </c:pt>
                <c:pt idx="3">
                  <c:v>5313</c:v>
                </c:pt>
                <c:pt idx="4">
                  <c:v>6390</c:v>
                </c:pt>
                <c:pt idx="5">
                  <c:v>2581</c:v>
                </c:pt>
                <c:pt idx="6">
                  <c:v>3900</c:v>
                </c:pt>
                <c:pt idx="7">
                  <c:v>5919</c:v>
                </c:pt>
                <c:pt idx="8">
                  <c:v>452</c:v>
                </c:pt>
                <c:pt idx="9">
                  <c:v>5660</c:v>
                </c:pt>
                <c:pt idx="10">
                  <c:v>5830</c:v>
                </c:pt>
                <c:pt idx="11">
                  <c:v>37785</c:v>
                </c:pt>
                <c:pt idx="12">
                  <c:v>5583</c:v>
                </c:pt>
                <c:pt idx="13">
                  <c:v>1109</c:v>
                </c:pt>
                <c:pt idx="14">
                  <c:v>332</c:v>
                </c:pt>
                <c:pt idx="15">
                  <c:v>57728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C-4DE4-9158-B1C15F0EB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29%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79%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83%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BASE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0.29166666666666669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0.79166666666666663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0.83333333333333337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F-4759-A0CE-BACE801D903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DF-4759-A0CE-BACE801D90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BASE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0.49479166666666669</c:v>
                </c:pt>
                <c:pt idx="1">
                  <c:v>0.49479166666666669</c:v>
                </c:pt>
                <c:pt idx="2">
                  <c:v>0.49479166666666669</c:v>
                </c:pt>
                <c:pt idx="3">
                  <c:v>0.49479166666666669</c:v>
                </c:pt>
                <c:pt idx="4">
                  <c:v>0.49479166666666669</c:v>
                </c:pt>
                <c:pt idx="5">
                  <c:v>0.49479166666666669</c:v>
                </c:pt>
                <c:pt idx="6">
                  <c:v>0.49479166666666669</c:v>
                </c:pt>
                <c:pt idx="7">
                  <c:v>0.49479166666666669</c:v>
                </c:pt>
                <c:pt idx="8">
                  <c:v>0.49479166666666669</c:v>
                </c:pt>
                <c:pt idx="9">
                  <c:v>0.49479166666666669</c:v>
                </c:pt>
                <c:pt idx="10">
                  <c:v>0.49479166666666669</c:v>
                </c:pt>
                <c:pt idx="11">
                  <c:v>0.49479166666666669</c:v>
                </c:pt>
                <c:pt idx="12">
                  <c:v>0.49479166666666669</c:v>
                </c:pt>
                <c:pt idx="13">
                  <c:v>0.49479166666666669</c:v>
                </c:pt>
                <c:pt idx="14">
                  <c:v>0.49479166666666669</c:v>
                </c:pt>
                <c:pt idx="15">
                  <c:v>0.49479166666666669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F-4759-A0CE-BACE801D9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0">
                  <c:v>BASE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0">
                  <c:v>359</c:v>
                </c:pt>
                <c:pt idx="3">
                  <c:v>5313</c:v>
                </c:pt>
                <c:pt idx="4">
                  <c:v>6390</c:v>
                </c:pt>
                <c:pt idx="6">
                  <c:v>3900</c:v>
                </c:pt>
                <c:pt idx="7">
                  <c:v>5919</c:v>
                </c:pt>
                <c:pt idx="10">
                  <c:v>5830</c:v>
                </c:pt>
                <c:pt idx="11">
                  <c:v>37785</c:v>
                </c:pt>
                <c:pt idx="12">
                  <c:v>5583</c:v>
                </c:pt>
                <c:pt idx="15">
                  <c:v>57728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C-4341-87FA-A26AA9F1F4E2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0">
                  <c:v>BASE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359</c:v>
                </c:pt>
                <c:pt idx="1">
                  <c:v>7152</c:v>
                </c:pt>
                <c:pt idx="2">
                  <c:v>1000</c:v>
                </c:pt>
                <c:pt idx="3">
                  <c:v>5313</c:v>
                </c:pt>
                <c:pt idx="4">
                  <c:v>6390</c:v>
                </c:pt>
                <c:pt idx="5">
                  <c:v>2581</c:v>
                </c:pt>
                <c:pt idx="6">
                  <c:v>3900</c:v>
                </c:pt>
                <c:pt idx="7">
                  <c:v>5919</c:v>
                </c:pt>
                <c:pt idx="8">
                  <c:v>452</c:v>
                </c:pt>
                <c:pt idx="9">
                  <c:v>5660</c:v>
                </c:pt>
                <c:pt idx="10">
                  <c:v>5830</c:v>
                </c:pt>
                <c:pt idx="11">
                  <c:v>37785</c:v>
                </c:pt>
                <c:pt idx="12">
                  <c:v>5583</c:v>
                </c:pt>
                <c:pt idx="13">
                  <c:v>1109</c:v>
                </c:pt>
                <c:pt idx="14">
                  <c:v>332</c:v>
                </c:pt>
                <c:pt idx="15">
                  <c:v>57728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FC-4341-87FA-A26AA9F1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29%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79%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100%</c:v>
                </c:pt>
                <c:pt idx="11">
                  <c:v>83%</c:v>
                </c:pt>
                <c:pt idx="12">
                  <c:v>100%</c:v>
                </c:pt>
                <c:pt idx="13">
                  <c:v>0%</c:v>
                </c:pt>
                <c:pt idx="14">
                  <c:v>0%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BASE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0.29166666666666669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0.79166666666666663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0.83333333333333337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E-49F7-8341-91AF42D876F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5E-49F7-8341-91AF42D876F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0">
                  <c:v>BASE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5">
                  <c:v>M2 CONN</c:v>
                </c:pt>
                <c:pt idx="6">
                  <c:v>BASE</c:v>
                </c:pt>
                <c:pt idx="7">
                  <c:v>LEAD GUIDE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ST/KOLDER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0.49479166666666669</c:v>
                </c:pt>
                <c:pt idx="1">
                  <c:v>0.49479166666666669</c:v>
                </c:pt>
                <c:pt idx="2">
                  <c:v>0.49479166666666669</c:v>
                </c:pt>
                <c:pt idx="3">
                  <c:v>0.49479166666666669</c:v>
                </c:pt>
                <c:pt idx="4">
                  <c:v>0.49479166666666669</c:v>
                </c:pt>
                <c:pt idx="5">
                  <c:v>0.49479166666666669</c:v>
                </c:pt>
                <c:pt idx="6">
                  <c:v>0.49479166666666669</c:v>
                </c:pt>
                <c:pt idx="7">
                  <c:v>0.49479166666666669</c:v>
                </c:pt>
                <c:pt idx="8">
                  <c:v>0.49479166666666669</c:v>
                </c:pt>
                <c:pt idx="9">
                  <c:v>0.49479166666666669</c:v>
                </c:pt>
                <c:pt idx="10">
                  <c:v>0.49479166666666669</c:v>
                </c:pt>
                <c:pt idx="11">
                  <c:v>0.49479166666666669</c:v>
                </c:pt>
                <c:pt idx="12">
                  <c:v>0.49479166666666669</c:v>
                </c:pt>
                <c:pt idx="13">
                  <c:v>0.49479166666666669</c:v>
                </c:pt>
                <c:pt idx="14">
                  <c:v>0.49479166666666669</c:v>
                </c:pt>
                <c:pt idx="15">
                  <c:v>0.49479166666666669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5E-49F7-8341-91AF42D87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C1B-4F17-8175-A8D3B420C8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B-4F17-8175-A8D3B420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C1B-4F17-8175-A8D3B420C8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1B-4F17-8175-A8D3B420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PLATE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'27'!$L$6:$L$22</c:f>
              <c:numCache>
                <c:formatCode>_(* #,##0_);_(* \(#,##0\);_(* "-"_);_(@_)</c:formatCode>
                <c:ptCount val="17"/>
                <c:pt idx="0">
                  <c:v>2831</c:v>
                </c:pt>
                <c:pt idx="3">
                  <c:v>5492</c:v>
                </c:pt>
                <c:pt idx="4">
                  <c:v>6403</c:v>
                </c:pt>
                <c:pt idx="5">
                  <c:v>609</c:v>
                </c:pt>
                <c:pt idx="6">
                  <c:v>3271</c:v>
                </c:pt>
                <c:pt idx="7">
                  <c:v>250</c:v>
                </c:pt>
                <c:pt idx="8">
                  <c:v>342</c:v>
                </c:pt>
                <c:pt idx="10">
                  <c:v>1182</c:v>
                </c:pt>
                <c:pt idx="11">
                  <c:v>763</c:v>
                </c:pt>
                <c:pt idx="12">
                  <c:v>45525</c:v>
                </c:pt>
                <c:pt idx="13">
                  <c:v>3182</c:v>
                </c:pt>
                <c:pt idx="14">
                  <c:v>2133</c:v>
                </c:pt>
                <c:pt idx="16">
                  <c:v>58100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5-4CBF-B154-DC29694709B6}"/>
            </c:ext>
          </c:extLst>
        </c:ser>
        <c:ser>
          <c:idx val="1"/>
          <c:order val="1"/>
          <c:tx>
            <c:v>계획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PLATE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'27'!$J$6:$J$22</c:f>
              <c:numCache>
                <c:formatCode>_(* #,##0_);_(* \(#,##0\);_(* "-"_);_(@_)</c:formatCode>
                <c:ptCount val="17"/>
                <c:pt idx="0">
                  <c:v>2831</c:v>
                </c:pt>
                <c:pt idx="1">
                  <c:v>7152</c:v>
                </c:pt>
                <c:pt idx="2">
                  <c:v>1000</c:v>
                </c:pt>
                <c:pt idx="3">
                  <c:v>5492</c:v>
                </c:pt>
                <c:pt idx="4">
                  <c:v>6403</c:v>
                </c:pt>
                <c:pt idx="5">
                  <c:v>609</c:v>
                </c:pt>
                <c:pt idx="6">
                  <c:v>3271</c:v>
                </c:pt>
                <c:pt idx="7">
                  <c:v>250</c:v>
                </c:pt>
                <c:pt idx="8">
                  <c:v>342</c:v>
                </c:pt>
                <c:pt idx="9">
                  <c:v>452</c:v>
                </c:pt>
                <c:pt idx="10">
                  <c:v>1182</c:v>
                </c:pt>
                <c:pt idx="11">
                  <c:v>763</c:v>
                </c:pt>
                <c:pt idx="12">
                  <c:v>45525</c:v>
                </c:pt>
                <c:pt idx="13">
                  <c:v>3182</c:v>
                </c:pt>
                <c:pt idx="14">
                  <c:v>2133</c:v>
                </c:pt>
                <c:pt idx="15">
                  <c:v>332</c:v>
                </c:pt>
                <c:pt idx="16">
                  <c:v>58100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5-4CBF-B154-DC2969470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'27'!$AD$6:$AD$22</c:f>
              <c:strCache>
                <c:ptCount val="17"/>
                <c:pt idx="0">
                  <c:v>67%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75%</c:v>
                </c:pt>
                <c:pt idx="7">
                  <c:v>21%</c:v>
                </c:pt>
                <c:pt idx="8">
                  <c:v>25%</c:v>
                </c:pt>
                <c:pt idx="9">
                  <c:v>0%</c:v>
                </c:pt>
                <c:pt idx="10">
                  <c:v>17%</c:v>
                </c:pt>
                <c:pt idx="11">
                  <c:v>17%</c:v>
                </c:pt>
                <c:pt idx="12">
                  <c:v>100%</c:v>
                </c:pt>
                <c:pt idx="13">
                  <c:v>63%</c:v>
                </c:pt>
                <c:pt idx="14">
                  <c:v>63%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PLATE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'27'!$AD$6:$AD$22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0.75</c:v>
                </c:pt>
                <c:pt idx="7">
                  <c:v>0.20833333333333334</c:v>
                </c:pt>
                <c:pt idx="8">
                  <c:v>0.25</c:v>
                </c:pt>
                <c:pt idx="9">
                  <c:v>0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1</c:v>
                </c:pt>
                <c:pt idx="13">
                  <c:v>0.625</c:v>
                </c:pt>
                <c:pt idx="14">
                  <c:v>0.625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6-4B19-A255-FA429D049DF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86-4B19-A255-FA429D049DF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PLATE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'27'!$AE$6:$AE$22</c:f>
              <c:numCache>
                <c:formatCode>0%</c:formatCode>
                <c:ptCount val="17"/>
                <c:pt idx="0">
                  <c:v>0.4485294117647059</c:v>
                </c:pt>
                <c:pt idx="1">
                  <c:v>0.4485294117647059</c:v>
                </c:pt>
                <c:pt idx="2">
                  <c:v>0.4485294117647059</c:v>
                </c:pt>
                <c:pt idx="3">
                  <c:v>0.4485294117647059</c:v>
                </c:pt>
                <c:pt idx="4">
                  <c:v>0.4485294117647059</c:v>
                </c:pt>
                <c:pt idx="5">
                  <c:v>0.4485294117647059</c:v>
                </c:pt>
                <c:pt idx="6">
                  <c:v>0.4485294117647059</c:v>
                </c:pt>
                <c:pt idx="7">
                  <c:v>0.4485294117647059</c:v>
                </c:pt>
                <c:pt idx="8">
                  <c:v>0.4485294117647059</c:v>
                </c:pt>
                <c:pt idx="9">
                  <c:v>0.4485294117647059</c:v>
                </c:pt>
                <c:pt idx="10">
                  <c:v>0.4485294117647059</c:v>
                </c:pt>
                <c:pt idx="11">
                  <c:v>0.4485294117647059</c:v>
                </c:pt>
                <c:pt idx="12">
                  <c:v>0.4485294117647059</c:v>
                </c:pt>
                <c:pt idx="13">
                  <c:v>0.4485294117647059</c:v>
                </c:pt>
                <c:pt idx="14">
                  <c:v>0.4485294117647059</c:v>
                </c:pt>
                <c:pt idx="15">
                  <c:v>0.4485294117647059</c:v>
                </c:pt>
                <c:pt idx="16">
                  <c:v>0.4485294117647059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86-4B19-A255-FA429D049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PLATE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'27'!$L$6:$L$22</c:f>
              <c:numCache>
                <c:formatCode>_(* #,##0_);_(* \(#,##0\);_(* "-"_);_(@_)</c:formatCode>
                <c:ptCount val="17"/>
                <c:pt idx="0">
                  <c:v>2831</c:v>
                </c:pt>
                <c:pt idx="3">
                  <c:v>5492</c:v>
                </c:pt>
                <c:pt idx="4">
                  <c:v>6403</c:v>
                </c:pt>
                <c:pt idx="5">
                  <c:v>609</c:v>
                </c:pt>
                <c:pt idx="6">
                  <c:v>3271</c:v>
                </c:pt>
                <c:pt idx="7">
                  <c:v>250</c:v>
                </c:pt>
                <c:pt idx="8">
                  <c:v>342</c:v>
                </c:pt>
                <c:pt idx="10">
                  <c:v>1182</c:v>
                </c:pt>
                <c:pt idx="11">
                  <c:v>763</c:v>
                </c:pt>
                <c:pt idx="12">
                  <c:v>45525</c:v>
                </c:pt>
                <c:pt idx="13">
                  <c:v>3182</c:v>
                </c:pt>
                <c:pt idx="14">
                  <c:v>2133</c:v>
                </c:pt>
                <c:pt idx="16">
                  <c:v>58100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AB-4D1F-8B50-99864CF90C65}"/>
            </c:ext>
          </c:extLst>
        </c:ser>
        <c:ser>
          <c:idx val="1"/>
          <c:order val="1"/>
          <c:tx>
            <c:v>계획</c:v>
          </c:tx>
          <c:cat>
            <c:strRef>
              <c:f>'27'!$D$6:$D$22</c:f>
              <c:strCache>
                <c:ptCount val="16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PLATE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'27'!$J$6:$J$22</c:f>
              <c:numCache>
                <c:formatCode>_(* #,##0_);_(* \(#,##0\);_(* "-"_);_(@_)</c:formatCode>
                <c:ptCount val="17"/>
                <c:pt idx="0">
                  <c:v>2831</c:v>
                </c:pt>
                <c:pt idx="1">
                  <c:v>7152</c:v>
                </c:pt>
                <c:pt idx="2">
                  <c:v>1000</c:v>
                </c:pt>
                <c:pt idx="3">
                  <c:v>5492</c:v>
                </c:pt>
                <c:pt idx="4">
                  <c:v>6403</c:v>
                </c:pt>
                <c:pt idx="5">
                  <c:v>609</c:v>
                </c:pt>
                <c:pt idx="6">
                  <c:v>3271</c:v>
                </c:pt>
                <c:pt idx="7">
                  <c:v>250</c:v>
                </c:pt>
                <c:pt idx="8">
                  <c:v>342</c:v>
                </c:pt>
                <c:pt idx="9">
                  <c:v>452</c:v>
                </c:pt>
                <c:pt idx="10">
                  <c:v>1182</c:v>
                </c:pt>
                <c:pt idx="11">
                  <c:v>763</c:v>
                </c:pt>
                <c:pt idx="12">
                  <c:v>45525</c:v>
                </c:pt>
                <c:pt idx="13">
                  <c:v>3182</c:v>
                </c:pt>
                <c:pt idx="14">
                  <c:v>2133</c:v>
                </c:pt>
                <c:pt idx="15">
                  <c:v>332</c:v>
                </c:pt>
                <c:pt idx="16">
                  <c:v>58100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AB-4D1F-8B50-99864CF90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'27'!$AD$6:$AD$22</c:f>
              <c:strCache>
                <c:ptCount val="17"/>
                <c:pt idx="0">
                  <c:v>67%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17%</c:v>
                </c:pt>
                <c:pt idx="6">
                  <c:v>75%</c:v>
                </c:pt>
                <c:pt idx="7">
                  <c:v>21%</c:v>
                </c:pt>
                <c:pt idx="8">
                  <c:v>25%</c:v>
                </c:pt>
                <c:pt idx="9">
                  <c:v>0%</c:v>
                </c:pt>
                <c:pt idx="10">
                  <c:v>17%</c:v>
                </c:pt>
                <c:pt idx="11">
                  <c:v>17%</c:v>
                </c:pt>
                <c:pt idx="12">
                  <c:v>100%</c:v>
                </c:pt>
                <c:pt idx="13">
                  <c:v>63%</c:v>
                </c:pt>
                <c:pt idx="14">
                  <c:v>63%</c:v>
                </c:pt>
                <c:pt idx="15">
                  <c:v>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PLATE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'27'!$AD$6:$AD$22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0.16666666666666666</c:v>
                </c:pt>
                <c:pt idx="6">
                  <c:v>0.75</c:v>
                </c:pt>
                <c:pt idx="7">
                  <c:v>0.20833333333333334</c:v>
                </c:pt>
                <c:pt idx="8">
                  <c:v>0.25</c:v>
                </c:pt>
                <c:pt idx="9">
                  <c:v>0</c:v>
                </c:pt>
                <c:pt idx="10">
                  <c:v>0.16666666666666666</c:v>
                </c:pt>
                <c:pt idx="11">
                  <c:v>0.16666666666666666</c:v>
                </c:pt>
                <c:pt idx="12">
                  <c:v>1</c:v>
                </c:pt>
                <c:pt idx="13">
                  <c:v>0.625</c:v>
                </c:pt>
                <c:pt idx="14">
                  <c:v>0.625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87-42C9-95B1-322B3E267A3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87-42C9-95B1-322B3E267A3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'27'!$D$6:$D$22</c:f>
              <c:strCache>
                <c:ptCount val="16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PLATE</c:v>
                </c:pt>
                <c:pt idx="11">
                  <c:v>SLIDER</c:v>
                </c:pt>
                <c:pt idx="12">
                  <c:v>RIVET</c:v>
                </c:pt>
                <c:pt idx="13">
                  <c:v>BASE</c:v>
                </c:pt>
                <c:pt idx="14">
                  <c:v>STOPPPER</c:v>
                </c:pt>
                <c:pt idx="15">
                  <c:v>BASE</c:v>
                </c:pt>
              </c:strCache>
            </c:strRef>
          </c:cat>
          <c:val>
            <c:numRef>
              <c:f>'27'!$AE$6:$AE$22</c:f>
              <c:numCache>
                <c:formatCode>0%</c:formatCode>
                <c:ptCount val="17"/>
                <c:pt idx="0">
                  <c:v>0.4485294117647059</c:v>
                </c:pt>
                <c:pt idx="1">
                  <c:v>0.4485294117647059</c:v>
                </c:pt>
                <c:pt idx="2">
                  <c:v>0.4485294117647059</c:v>
                </c:pt>
                <c:pt idx="3">
                  <c:v>0.4485294117647059</c:v>
                </c:pt>
                <c:pt idx="4">
                  <c:v>0.4485294117647059</c:v>
                </c:pt>
                <c:pt idx="5">
                  <c:v>0.4485294117647059</c:v>
                </c:pt>
                <c:pt idx="6">
                  <c:v>0.4485294117647059</c:v>
                </c:pt>
                <c:pt idx="7">
                  <c:v>0.4485294117647059</c:v>
                </c:pt>
                <c:pt idx="8">
                  <c:v>0.4485294117647059</c:v>
                </c:pt>
                <c:pt idx="9">
                  <c:v>0.4485294117647059</c:v>
                </c:pt>
                <c:pt idx="10">
                  <c:v>0.4485294117647059</c:v>
                </c:pt>
                <c:pt idx="11">
                  <c:v>0.4485294117647059</c:v>
                </c:pt>
                <c:pt idx="12">
                  <c:v>0.4485294117647059</c:v>
                </c:pt>
                <c:pt idx="13">
                  <c:v>0.4485294117647059</c:v>
                </c:pt>
                <c:pt idx="14">
                  <c:v>0.4485294117647059</c:v>
                </c:pt>
                <c:pt idx="15">
                  <c:v>0.4485294117647059</c:v>
                </c:pt>
                <c:pt idx="16">
                  <c:v>0.4485294117647059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87-42C9-95B1-322B3E267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7E1-4F02-A4A7-E42A9633F1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1-4F02-A4A7-E42A9633F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7E1-4F02-A4A7-E42A9633F1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1-4F02-A4A7-E42A9633F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STOPPPER</c:v>
                </c:pt>
                <c:pt idx="14">
                  <c:v>COVER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3">
                  <c:v>5456</c:v>
                </c:pt>
                <c:pt idx="4">
                  <c:v>6225</c:v>
                </c:pt>
                <c:pt idx="6">
                  <c:v>5266</c:v>
                </c:pt>
                <c:pt idx="7">
                  <c:v>1510</c:v>
                </c:pt>
                <c:pt idx="9">
                  <c:v>3470</c:v>
                </c:pt>
                <c:pt idx="11">
                  <c:v>45320</c:v>
                </c:pt>
                <c:pt idx="12">
                  <c:v>1657</c:v>
                </c:pt>
                <c:pt idx="14">
                  <c:v>3956</c:v>
                </c:pt>
                <c:pt idx="15">
                  <c:v>57192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1-4345-B9E2-43CFAA26B3C0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STOPPPER</c:v>
                </c:pt>
                <c:pt idx="14">
                  <c:v>COVER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2831</c:v>
                </c:pt>
                <c:pt idx="1">
                  <c:v>7152</c:v>
                </c:pt>
                <c:pt idx="2">
                  <c:v>1000</c:v>
                </c:pt>
                <c:pt idx="3">
                  <c:v>5456</c:v>
                </c:pt>
                <c:pt idx="4">
                  <c:v>6225</c:v>
                </c:pt>
                <c:pt idx="5">
                  <c:v>609</c:v>
                </c:pt>
                <c:pt idx="6">
                  <c:v>5266</c:v>
                </c:pt>
                <c:pt idx="7">
                  <c:v>1510</c:v>
                </c:pt>
                <c:pt idx="8">
                  <c:v>452</c:v>
                </c:pt>
                <c:pt idx="9">
                  <c:v>3470</c:v>
                </c:pt>
                <c:pt idx="10">
                  <c:v>763</c:v>
                </c:pt>
                <c:pt idx="11">
                  <c:v>45320</c:v>
                </c:pt>
                <c:pt idx="12">
                  <c:v>1657</c:v>
                </c:pt>
                <c:pt idx="13">
                  <c:v>2133</c:v>
                </c:pt>
                <c:pt idx="14">
                  <c:v>3956</c:v>
                </c:pt>
                <c:pt idx="15">
                  <c:v>57192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1-4345-B9E2-43CFAA26B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92%</c:v>
                </c:pt>
                <c:pt idx="7">
                  <c:v>92%</c:v>
                </c:pt>
                <c:pt idx="8">
                  <c:v>0%</c:v>
                </c:pt>
                <c:pt idx="9">
                  <c:v>75%</c:v>
                </c:pt>
                <c:pt idx="10">
                  <c:v>0%</c:v>
                </c:pt>
                <c:pt idx="11">
                  <c:v>100%</c:v>
                </c:pt>
                <c:pt idx="12">
                  <c:v>38%</c:v>
                </c:pt>
                <c:pt idx="13">
                  <c:v>0%</c:v>
                </c:pt>
                <c:pt idx="14">
                  <c:v>79%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STOPPPER</c:v>
                </c:pt>
                <c:pt idx="14">
                  <c:v>COVER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0.91666666666666663</c:v>
                </c:pt>
                <c:pt idx="7">
                  <c:v>0.91666666666666663</c:v>
                </c:pt>
                <c:pt idx="8">
                  <c:v>0</c:v>
                </c:pt>
                <c:pt idx="9">
                  <c:v>0.75</c:v>
                </c:pt>
                <c:pt idx="10">
                  <c:v>0</c:v>
                </c:pt>
                <c:pt idx="11">
                  <c:v>1</c:v>
                </c:pt>
                <c:pt idx="12">
                  <c:v>0.375</c:v>
                </c:pt>
                <c:pt idx="13">
                  <c:v>0</c:v>
                </c:pt>
                <c:pt idx="14">
                  <c:v>0.79166666666666663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0-45C8-A0F8-136B4337F63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40-45C8-A0F8-136B4337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STOPPPER</c:v>
                </c:pt>
                <c:pt idx="14">
                  <c:v>COVER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0.484375</c:v>
                </c:pt>
                <c:pt idx="1">
                  <c:v>0.484375</c:v>
                </c:pt>
                <c:pt idx="2">
                  <c:v>0.484375</c:v>
                </c:pt>
                <c:pt idx="3">
                  <c:v>0.484375</c:v>
                </c:pt>
                <c:pt idx="4">
                  <c:v>0.484375</c:v>
                </c:pt>
                <c:pt idx="5">
                  <c:v>0.484375</c:v>
                </c:pt>
                <c:pt idx="6">
                  <c:v>0.484375</c:v>
                </c:pt>
                <c:pt idx="7">
                  <c:v>0.484375</c:v>
                </c:pt>
                <c:pt idx="8">
                  <c:v>0.484375</c:v>
                </c:pt>
                <c:pt idx="9">
                  <c:v>0.484375</c:v>
                </c:pt>
                <c:pt idx="10">
                  <c:v>0.484375</c:v>
                </c:pt>
                <c:pt idx="11">
                  <c:v>0.484375</c:v>
                </c:pt>
                <c:pt idx="12">
                  <c:v>0.484375</c:v>
                </c:pt>
                <c:pt idx="13">
                  <c:v>0.484375</c:v>
                </c:pt>
                <c:pt idx="14">
                  <c:v>0.484375</c:v>
                </c:pt>
                <c:pt idx="15">
                  <c:v>0.484375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0-45C8-A0F8-136B4337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STOPPPER</c:v>
                </c:pt>
                <c:pt idx="14">
                  <c:v>COVER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3">
                  <c:v>5456</c:v>
                </c:pt>
                <c:pt idx="4">
                  <c:v>6225</c:v>
                </c:pt>
                <c:pt idx="6">
                  <c:v>5266</c:v>
                </c:pt>
                <c:pt idx="7">
                  <c:v>1510</c:v>
                </c:pt>
                <c:pt idx="9">
                  <c:v>3470</c:v>
                </c:pt>
                <c:pt idx="11">
                  <c:v>45320</c:v>
                </c:pt>
                <c:pt idx="12">
                  <c:v>1657</c:v>
                </c:pt>
                <c:pt idx="14">
                  <c:v>3956</c:v>
                </c:pt>
                <c:pt idx="15">
                  <c:v>57192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9-4B73-AC2B-8C52598B327C}"/>
            </c:ext>
          </c:extLst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STOPPPER</c:v>
                </c:pt>
                <c:pt idx="14">
                  <c:v>COVER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2831</c:v>
                </c:pt>
                <c:pt idx="1">
                  <c:v>7152</c:v>
                </c:pt>
                <c:pt idx="2">
                  <c:v>1000</c:v>
                </c:pt>
                <c:pt idx="3">
                  <c:v>5456</c:v>
                </c:pt>
                <c:pt idx="4">
                  <c:v>6225</c:v>
                </c:pt>
                <c:pt idx="5">
                  <c:v>609</c:v>
                </c:pt>
                <c:pt idx="6">
                  <c:v>5266</c:v>
                </c:pt>
                <c:pt idx="7">
                  <c:v>1510</c:v>
                </c:pt>
                <c:pt idx="8">
                  <c:v>452</c:v>
                </c:pt>
                <c:pt idx="9">
                  <c:v>3470</c:v>
                </c:pt>
                <c:pt idx="10">
                  <c:v>763</c:v>
                </c:pt>
                <c:pt idx="11">
                  <c:v>45320</c:v>
                </c:pt>
                <c:pt idx="12">
                  <c:v>1657</c:v>
                </c:pt>
                <c:pt idx="13">
                  <c:v>2133</c:v>
                </c:pt>
                <c:pt idx="14">
                  <c:v>3956</c:v>
                </c:pt>
                <c:pt idx="15">
                  <c:v>57192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9-4B73-AC2B-8C52598B3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92%</c:v>
                </c:pt>
                <c:pt idx="7">
                  <c:v>92%</c:v>
                </c:pt>
                <c:pt idx="8">
                  <c:v>0%</c:v>
                </c:pt>
                <c:pt idx="9">
                  <c:v>75%</c:v>
                </c:pt>
                <c:pt idx="10">
                  <c:v>0%</c:v>
                </c:pt>
                <c:pt idx="11">
                  <c:v>100%</c:v>
                </c:pt>
                <c:pt idx="12">
                  <c:v>38%</c:v>
                </c:pt>
                <c:pt idx="13">
                  <c:v>0%</c:v>
                </c:pt>
                <c:pt idx="14">
                  <c:v>79%</c:v>
                </c:pt>
                <c:pt idx="15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STOPPPER</c:v>
                </c:pt>
                <c:pt idx="14">
                  <c:v>COVER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0.91666666666666663</c:v>
                </c:pt>
                <c:pt idx="7">
                  <c:v>0.91666666666666663</c:v>
                </c:pt>
                <c:pt idx="8">
                  <c:v>0</c:v>
                </c:pt>
                <c:pt idx="9">
                  <c:v>0.75</c:v>
                </c:pt>
                <c:pt idx="10">
                  <c:v>0</c:v>
                </c:pt>
                <c:pt idx="11">
                  <c:v>1</c:v>
                </c:pt>
                <c:pt idx="12">
                  <c:v>0.375</c:v>
                </c:pt>
                <c:pt idx="13">
                  <c:v>0</c:v>
                </c:pt>
                <c:pt idx="14">
                  <c:v>0.79166666666666663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B-4CFB-9D9D-658683D3BBF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2B-4CFB-9D9D-658683D3BBF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'28'!$D$6:$D$21</c:f>
              <c:strCache>
                <c:ptCount val="15"/>
                <c:pt idx="0">
                  <c:v>ADAPTER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SLIDER</c:v>
                </c:pt>
                <c:pt idx="11">
                  <c:v>RIVET</c:v>
                </c:pt>
                <c:pt idx="12">
                  <c:v>BASE</c:v>
                </c:pt>
                <c:pt idx="13">
                  <c:v>STOPPPER</c:v>
                </c:pt>
                <c:pt idx="14">
                  <c:v>COVER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0.484375</c:v>
                </c:pt>
                <c:pt idx="1">
                  <c:v>0.484375</c:v>
                </c:pt>
                <c:pt idx="2">
                  <c:v>0.484375</c:v>
                </c:pt>
                <c:pt idx="3">
                  <c:v>0.484375</c:v>
                </c:pt>
                <c:pt idx="4">
                  <c:v>0.484375</c:v>
                </c:pt>
                <c:pt idx="5">
                  <c:v>0.484375</c:v>
                </c:pt>
                <c:pt idx="6">
                  <c:v>0.484375</c:v>
                </c:pt>
                <c:pt idx="7">
                  <c:v>0.484375</c:v>
                </c:pt>
                <c:pt idx="8">
                  <c:v>0.484375</c:v>
                </c:pt>
                <c:pt idx="9">
                  <c:v>0.484375</c:v>
                </c:pt>
                <c:pt idx="10">
                  <c:v>0.484375</c:v>
                </c:pt>
                <c:pt idx="11">
                  <c:v>0.484375</c:v>
                </c:pt>
                <c:pt idx="12">
                  <c:v>0.484375</c:v>
                </c:pt>
                <c:pt idx="13">
                  <c:v>0.484375</c:v>
                </c:pt>
                <c:pt idx="14">
                  <c:v>0.484375</c:v>
                </c:pt>
                <c:pt idx="15">
                  <c:v>0.484375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2B-4CFB-9D9D-658683D3B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D10-46E9-9CEA-41CB75A3B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0-46E9-9CEA-41CB75A3B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D10-46E9-9CEA-41CB75A3BA0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10-46E9-9CEA-41CB75A3B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BASE</c:v>
                </c:pt>
                <c:pt idx="12">
                  <c:v>RIVET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</c:strCache>
            </c:strRef>
          </c:cat>
          <c:val>
            <c:numRef>
              <c:f>'29'!$L$6:$L$22</c:f>
              <c:numCache>
                <c:formatCode>_(* #,##0_);_(* \(#,##0\);_(* "-"_);_(@_)</c:formatCode>
                <c:ptCount val="17"/>
                <c:pt idx="0">
                  <c:v>500</c:v>
                </c:pt>
                <c:pt idx="1">
                  <c:v>3500</c:v>
                </c:pt>
                <c:pt idx="3">
                  <c:v>5615</c:v>
                </c:pt>
                <c:pt idx="4">
                  <c:v>5780</c:v>
                </c:pt>
                <c:pt idx="6">
                  <c:v>5310</c:v>
                </c:pt>
                <c:pt idx="7">
                  <c:v>710</c:v>
                </c:pt>
                <c:pt idx="8">
                  <c:v>321</c:v>
                </c:pt>
                <c:pt idx="10">
                  <c:v>4493</c:v>
                </c:pt>
                <c:pt idx="11">
                  <c:v>610</c:v>
                </c:pt>
                <c:pt idx="12">
                  <c:v>6045</c:v>
                </c:pt>
                <c:pt idx="13">
                  <c:v>4317</c:v>
                </c:pt>
                <c:pt idx="14">
                  <c:v>792</c:v>
                </c:pt>
                <c:pt idx="15">
                  <c:v>5626</c:v>
                </c:pt>
                <c:pt idx="16">
                  <c:v>57160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7-4D98-84AE-44A379EB912D}"/>
            </c:ext>
          </c:extLst>
        </c:ser>
        <c:ser>
          <c:idx val="1"/>
          <c:order val="1"/>
          <c:tx>
            <c:v>계획</c:v>
          </c:tx>
          <c:cat>
            <c:strRef>
              <c:f>'29'!$D$6:$D$22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BASE</c:v>
                </c:pt>
                <c:pt idx="12">
                  <c:v>RIVET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</c:strCache>
            </c:strRef>
          </c:cat>
          <c:val>
            <c:numRef>
              <c:f>'29'!$J$6:$J$22</c:f>
              <c:numCache>
                <c:formatCode>_(* #,##0_);_(* \(#,##0\);_(* "-"_);_(@_)</c:formatCode>
                <c:ptCount val="17"/>
                <c:pt idx="0">
                  <c:v>500</c:v>
                </c:pt>
                <c:pt idx="1">
                  <c:v>3500</c:v>
                </c:pt>
                <c:pt idx="2">
                  <c:v>1000</c:v>
                </c:pt>
                <c:pt idx="3">
                  <c:v>5615</c:v>
                </c:pt>
                <c:pt idx="4">
                  <c:v>5780</c:v>
                </c:pt>
                <c:pt idx="5">
                  <c:v>609</c:v>
                </c:pt>
                <c:pt idx="6">
                  <c:v>5310</c:v>
                </c:pt>
                <c:pt idx="7">
                  <c:v>710</c:v>
                </c:pt>
                <c:pt idx="8">
                  <c:v>321</c:v>
                </c:pt>
                <c:pt idx="9">
                  <c:v>452</c:v>
                </c:pt>
                <c:pt idx="10">
                  <c:v>4493</c:v>
                </c:pt>
                <c:pt idx="11">
                  <c:v>610</c:v>
                </c:pt>
                <c:pt idx="12">
                  <c:v>6045</c:v>
                </c:pt>
                <c:pt idx="13">
                  <c:v>4317</c:v>
                </c:pt>
                <c:pt idx="14">
                  <c:v>792</c:v>
                </c:pt>
                <c:pt idx="15">
                  <c:v>5626</c:v>
                </c:pt>
                <c:pt idx="16">
                  <c:v>57160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7-4D98-84AE-44A379EB9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'29'!$AD$6:$AD$22</c:f>
              <c:strCache>
                <c:ptCount val="17"/>
                <c:pt idx="0">
                  <c:v>17%</c:v>
                </c:pt>
                <c:pt idx="1">
                  <c:v>75%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92%</c:v>
                </c:pt>
                <c:pt idx="7">
                  <c:v>29%</c:v>
                </c:pt>
                <c:pt idx="8">
                  <c:v>25%</c:v>
                </c:pt>
                <c:pt idx="9">
                  <c:v>0%</c:v>
                </c:pt>
                <c:pt idx="10">
                  <c:v>75%</c:v>
                </c:pt>
                <c:pt idx="11">
                  <c:v>17%</c:v>
                </c:pt>
                <c:pt idx="12">
                  <c:v>21%</c:v>
                </c:pt>
                <c:pt idx="13">
                  <c:v>83%</c:v>
                </c:pt>
                <c:pt idx="14">
                  <c:v>58%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BASE</c:v>
                </c:pt>
                <c:pt idx="12">
                  <c:v>RIVET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</c:strCache>
            </c:strRef>
          </c:cat>
          <c:val>
            <c:numRef>
              <c:f>'29'!$AD$6:$AD$22</c:f>
              <c:numCache>
                <c:formatCode>0%</c:formatCode>
                <c:ptCount val="17"/>
                <c:pt idx="0">
                  <c:v>0.16666666666666666</c:v>
                </c:pt>
                <c:pt idx="1">
                  <c:v>0.75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0.91666666666666663</c:v>
                </c:pt>
                <c:pt idx="7">
                  <c:v>0.29166666666666669</c:v>
                </c:pt>
                <c:pt idx="8">
                  <c:v>0.25</c:v>
                </c:pt>
                <c:pt idx="9">
                  <c:v>0</c:v>
                </c:pt>
                <c:pt idx="10">
                  <c:v>0.75</c:v>
                </c:pt>
                <c:pt idx="11">
                  <c:v>0.16666666666666666</c:v>
                </c:pt>
                <c:pt idx="12">
                  <c:v>0.20833333333333334</c:v>
                </c:pt>
                <c:pt idx="13">
                  <c:v>0.83333333333333337</c:v>
                </c:pt>
                <c:pt idx="14">
                  <c:v>0.58333333333333337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3-484F-91C8-0959698ACE8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33-484F-91C8-0959698ACE8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BASE</c:v>
                </c:pt>
                <c:pt idx="12">
                  <c:v>RIVET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</c:strCache>
            </c:strRef>
          </c:cat>
          <c:val>
            <c:numRef>
              <c:f>'29'!$AE$6:$AE$22</c:f>
              <c:numCache>
                <c:formatCode>0%</c:formatCode>
                <c:ptCount val="17"/>
                <c:pt idx="0">
                  <c:v>0.52450980392156854</c:v>
                </c:pt>
                <c:pt idx="1">
                  <c:v>0.52450980392156854</c:v>
                </c:pt>
                <c:pt idx="2">
                  <c:v>0.52450980392156854</c:v>
                </c:pt>
                <c:pt idx="3">
                  <c:v>0.52450980392156854</c:v>
                </c:pt>
                <c:pt idx="4">
                  <c:v>0.52450980392156854</c:v>
                </c:pt>
                <c:pt idx="5">
                  <c:v>0.52450980392156854</c:v>
                </c:pt>
                <c:pt idx="6">
                  <c:v>0.52450980392156854</c:v>
                </c:pt>
                <c:pt idx="7">
                  <c:v>0.52450980392156854</c:v>
                </c:pt>
                <c:pt idx="8">
                  <c:v>0.52450980392156854</c:v>
                </c:pt>
                <c:pt idx="9">
                  <c:v>0.52450980392156854</c:v>
                </c:pt>
                <c:pt idx="10">
                  <c:v>0.52450980392156854</c:v>
                </c:pt>
                <c:pt idx="11">
                  <c:v>0.52450980392156854</c:v>
                </c:pt>
                <c:pt idx="12">
                  <c:v>0.52450980392156854</c:v>
                </c:pt>
                <c:pt idx="13">
                  <c:v>0.52450980392156854</c:v>
                </c:pt>
                <c:pt idx="14">
                  <c:v>0.52450980392156854</c:v>
                </c:pt>
                <c:pt idx="15">
                  <c:v>0.52450980392156854</c:v>
                </c:pt>
                <c:pt idx="16">
                  <c:v>0.52450980392156854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3-484F-91C8-0959698AC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BASE</c:v>
                </c:pt>
                <c:pt idx="12">
                  <c:v>RIVET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</c:strCache>
            </c:strRef>
          </c:cat>
          <c:val>
            <c:numRef>
              <c:f>'29'!$L$6:$L$22</c:f>
              <c:numCache>
                <c:formatCode>_(* #,##0_);_(* \(#,##0\);_(* "-"_);_(@_)</c:formatCode>
                <c:ptCount val="17"/>
                <c:pt idx="0">
                  <c:v>500</c:v>
                </c:pt>
                <c:pt idx="1">
                  <c:v>3500</c:v>
                </c:pt>
                <c:pt idx="3">
                  <c:v>5615</c:v>
                </c:pt>
                <c:pt idx="4">
                  <c:v>5780</c:v>
                </c:pt>
                <c:pt idx="6">
                  <c:v>5310</c:v>
                </c:pt>
                <c:pt idx="7">
                  <c:v>710</c:v>
                </c:pt>
                <c:pt idx="8">
                  <c:v>321</c:v>
                </c:pt>
                <c:pt idx="10">
                  <c:v>4493</c:v>
                </c:pt>
                <c:pt idx="11">
                  <c:v>610</c:v>
                </c:pt>
                <c:pt idx="12">
                  <c:v>6045</c:v>
                </c:pt>
                <c:pt idx="13">
                  <c:v>4317</c:v>
                </c:pt>
                <c:pt idx="14">
                  <c:v>792</c:v>
                </c:pt>
                <c:pt idx="15">
                  <c:v>5626</c:v>
                </c:pt>
                <c:pt idx="16">
                  <c:v>57160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B-4B5C-92D6-38D91048F1B8}"/>
            </c:ext>
          </c:extLst>
        </c:ser>
        <c:ser>
          <c:idx val="1"/>
          <c:order val="1"/>
          <c:tx>
            <c:v>계획</c:v>
          </c:tx>
          <c:cat>
            <c:strRef>
              <c:f>'29'!$D$6:$D$22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BASE</c:v>
                </c:pt>
                <c:pt idx="12">
                  <c:v>RIVET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</c:strCache>
            </c:strRef>
          </c:cat>
          <c:val>
            <c:numRef>
              <c:f>'29'!$J$6:$J$22</c:f>
              <c:numCache>
                <c:formatCode>_(* #,##0_);_(* \(#,##0\);_(* "-"_);_(@_)</c:formatCode>
                <c:ptCount val="17"/>
                <c:pt idx="0">
                  <c:v>500</c:v>
                </c:pt>
                <c:pt idx="1">
                  <c:v>3500</c:v>
                </c:pt>
                <c:pt idx="2">
                  <c:v>1000</c:v>
                </c:pt>
                <c:pt idx="3">
                  <c:v>5615</c:v>
                </c:pt>
                <c:pt idx="4">
                  <c:v>5780</c:v>
                </c:pt>
                <c:pt idx="5">
                  <c:v>609</c:v>
                </c:pt>
                <c:pt idx="6">
                  <c:v>5310</c:v>
                </c:pt>
                <c:pt idx="7">
                  <c:v>710</c:v>
                </c:pt>
                <c:pt idx="8">
                  <c:v>321</c:v>
                </c:pt>
                <c:pt idx="9">
                  <c:v>452</c:v>
                </c:pt>
                <c:pt idx="10">
                  <c:v>4493</c:v>
                </c:pt>
                <c:pt idx="11">
                  <c:v>610</c:v>
                </c:pt>
                <c:pt idx="12">
                  <c:v>6045</c:v>
                </c:pt>
                <c:pt idx="13">
                  <c:v>4317</c:v>
                </c:pt>
                <c:pt idx="14">
                  <c:v>792</c:v>
                </c:pt>
                <c:pt idx="15">
                  <c:v>5626</c:v>
                </c:pt>
                <c:pt idx="16">
                  <c:v>57160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B-4B5C-92D6-38D91048F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'29'!$AD$6:$AD$22</c:f>
              <c:strCache>
                <c:ptCount val="17"/>
                <c:pt idx="0">
                  <c:v>17%</c:v>
                </c:pt>
                <c:pt idx="1">
                  <c:v>75%</c:v>
                </c:pt>
                <c:pt idx="2">
                  <c:v>0%</c:v>
                </c:pt>
                <c:pt idx="3">
                  <c:v>100%</c:v>
                </c:pt>
                <c:pt idx="4">
                  <c:v>100%</c:v>
                </c:pt>
                <c:pt idx="5">
                  <c:v>0%</c:v>
                </c:pt>
                <c:pt idx="6">
                  <c:v>92%</c:v>
                </c:pt>
                <c:pt idx="7">
                  <c:v>29%</c:v>
                </c:pt>
                <c:pt idx="8">
                  <c:v>25%</c:v>
                </c:pt>
                <c:pt idx="9">
                  <c:v>0%</c:v>
                </c:pt>
                <c:pt idx="10">
                  <c:v>75%</c:v>
                </c:pt>
                <c:pt idx="11">
                  <c:v>17%</c:v>
                </c:pt>
                <c:pt idx="12">
                  <c:v>21%</c:v>
                </c:pt>
                <c:pt idx="13">
                  <c:v>83%</c:v>
                </c:pt>
                <c:pt idx="14">
                  <c:v>58%</c:v>
                </c:pt>
                <c:pt idx="15">
                  <c:v>100%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BASE</c:v>
                </c:pt>
                <c:pt idx="12">
                  <c:v>RIVET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</c:strCache>
            </c:strRef>
          </c:cat>
          <c:val>
            <c:numRef>
              <c:f>'29'!$AD$6:$AD$22</c:f>
              <c:numCache>
                <c:formatCode>0%</c:formatCode>
                <c:ptCount val="17"/>
                <c:pt idx="0">
                  <c:v>0.16666666666666666</c:v>
                </c:pt>
                <c:pt idx="1">
                  <c:v>0.75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0.91666666666666663</c:v>
                </c:pt>
                <c:pt idx="7">
                  <c:v>0.29166666666666669</c:v>
                </c:pt>
                <c:pt idx="8">
                  <c:v>0.25</c:v>
                </c:pt>
                <c:pt idx="9">
                  <c:v>0</c:v>
                </c:pt>
                <c:pt idx="10">
                  <c:v>0.75</c:v>
                </c:pt>
                <c:pt idx="11">
                  <c:v>0.16666666666666666</c:v>
                </c:pt>
                <c:pt idx="12">
                  <c:v>0.20833333333333334</c:v>
                </c:pt>
                <c:pt idx="13">
                  <c:v>0.83333333333333337</c:v>
                </c:pt>
                <c:pt idx="14">
                  <c:v>0.58333333333333337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F3-45A8-874F-5574151A931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0F3-45A8-874F-5574151A931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'29'!$D$6:$D$22</c:f>
              <c:strCache>
                <c:ptCount val="16"/>
                <c:pt idx="0">
                  <c:v>F/ADAPTER</c:v>
                </c:pt>
                <c:pt idx="1">
                  <c:v>FLOATING</c:v>
                </c:pt>
                <c:pt idx="2">
                  <c:v>LATCH</c:v>
                </c:pt>
                <c:pt idx="3">
                  <c:v>STOPPPER</c:v>
                </c:pt>
                <c:pt idx="4">
                  <c:v>CAM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BASE</c:v>
                </c:pt>
                <c:pt idx="12">
                  <c:v>RIVET</c:v>
                </c:pt>
                <c:pt idx="13">
                  <c:v>BASE</c:v>
                </c:pt>
                <c:pt idx="14">
                  <c:v>BASE</c:v>
                </c:pt>
                <c:pt idx="15">
                  <c:v>COVER</c:v>
                </c:pt>
              </c:strCache>
            </c:strRef>
          </c:cat>
          <c:val>
            <c:numRef>
              <c:f>'29'!$AE$6:$AE$22</c:f>
              <c:numCache>
                <c:formatCode>0%</c:formatCode>
                <c:ptCount val="17"/>
                <c:pt idx="0">
                  <c:v>0.52450980392156854</c:v>
                </c:pt>
                <c:pt idx="1">
                  <c:v>0.52450980392156854</c:v>
                </c:pt>
                <c:pt idx="2">
                  <c:v>0.52450980392156854</c:v>
                </c:pt>
                <c:pt idx="3">
                  <c:v>0.52450980392156854</c:v>
                </c:pt>
                <c:pt idx="4">
                  <c:v>0.52450980392156854</c:v>
                </c:pt>
                <c:pt idx="5">
                  <c:v>0.52450980392156854</c:v>
                </c:pt>
                <c:pt idx="6">
                  <c:v>0.52450980392156854</c:v>
                </c:pt>
                <c:pt idx="7">
                  <c:v>0.52450980392156854</c:v>
                </c:pt>
                <c:pt idx="8">
                  <c:v>0.52450980392156854</c:v>
                </c:pt>
                <c:pt idx="9">
                  <c:v>0.52450980392156854</c:v>
                </c:pt>
                <c:pt idx="10">
                  <c:v>0.52450980392156854</c:v>
                </c:pt>
                <c:pt idx="11">
                  <c:v>0.52450980392156854</c:v>
                </c:pt>
                <c:pt idx="12">
                  <c:v>0.52450980392156854</c:v>
                </c:pt>
                <c:pt idx="13">
                  <c:v>0.52450980392156854</c:v>
                </c:pt>
                <c:pt idx="14">
                  <c:v>0.52450980392156854</c:v>
                </c:pt>
                <c:pt idx="15">
                  <c:v>0.52450980392156854</c:v>
                </c:pt>
                <c:pt idx="16">
                  <c:v>0.52450980392156854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F3-45A8-874F-5574151A9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01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296-40E6-BBB3-B48DEA19F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96-40E6-BBB3-B48DEA19F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296-40E6-BBB3-B48DEA19FE9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96-40E6-BBB3-B48DEA19F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01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총괄!$A$19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총괄!$B$19:$AG$19</c:f>
              <c:numCache>
                <c:formatCode>0%</c:formatCode>
                <c:ptCount val="32"/>
                <c:pt idx="0">
                  <c:v>0.65441176470588236</c:v>
                </c:pt>
                <c:pt idx="1">
                  <c:v>0.30729166666666669</c:v>
                </c:pt>
                <c:pt idx="3">
                  <c:v>0.55921052631578949</c:v>
                </c:pt>
                <c:pt idx="4">
                  <c:v>0.65693147331205815</c:v>
                </c:pt>
                <c:pt idx="5">
                  <c:v>0.60185185185185175</c:v>
                </c:pt>
                <c:pt idx="6">
                  <c:v>0.57543859649122808</c:v>
                </c:pt>
                <c:pt idx="7">
                  <c:v>0.57291666666666663</c:v>
                </c:pt>
                <c:pt idx="8">
                  <c:v>0.55637254901960775</c:v>
                </c:pt>
                <c:pt idx="10">
                  <c:v>0.74019607843137247</c:v>
                </c:pt>
                <c:pt idx="11">
                  <c:v>0.71568627450980393</c:v>
                </c:pt>
                <c:pt idx="12">
                  <c:v>0.70343137254901955</c:v>
                </c:pt>
                <c:pt idx="13">
                  <c:v>0.61574074074074081</c:v>
                </c:pt>
                <c:pt idx="14">
                  <c:v>0.73177083333333337</c:v>
                </c:pt>
                <c:pt idx="17">
                  <c:v>0.57598039215686259</c:v>
                </c:pt>
                <c:pt idx="18">
                  <c:v>0.671875</c:v>
                </c:pt>
                <c:pt idx="19">
                  <c:v>0.59895833333333337</c:v>
                </c:pt>
                <c:pt idx="20">
                  <c:v>0.55989751127577314</c:v>
                </c:pt>
                <c:pt idx="21">
                  <c:v>0.62760416666666674</c:v>
                </c:pt>
                <c:pt idx="22">
                  <c:v>0.25</c:v>
                </c:pt>
                <c:pt idx="24">
                  <c:v>0.421875</c:v>
                </c:pt>
                <c:pt idx="25">
                  <c:v>0.49479166666666669</c:v>
                </c:pt>
                <c:pt idx="26">
                  <c:v>0.4485294117647059</c:v>
                </c:pt>
                <c:pt idx="27">
                  <c:v>0.484375</c:v>
                </c:pt>
                <c:pt idx="28">
                  <c:v>0.52450980392156854</c:v>
                </c:pt>
                <c:pt idx="31">
                  <c:v>0.44031118323805152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총괄!$B$20:$AG$20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01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총괄!$A$3:$A$18</c:f>
              <c:strCache>
                <c:ptCount val="16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  <c:pt idx="15">
                  <c:v>16호기</c:v>
                </c:pt>
              </c:strCache>
            </c:strRef>
          </c:cat>
          <c:val>
            <c:numRef>
              <c:f>총괄!$AG$3:$AG$18</c:f>
              <c:numCache>
                <c:formatCode>0%</c:formatCode>
                <c:ptCount val="16"/>
                <c:pt idx="0">
                  <c:v>8.1989247311827954E-2</c:v>
                </c:pt>
                <c:pt idx="1">
                  <c:v>0.40591397849462368</c:v>
                </c:pt>
                <c:pt idx="2">
                  <c:v>0.38978494623655907</c:v>
                </c:pt>
                <c:pt idx="3">
                  <c:v>0.66129032258064513</c:v>
                </c:pt>
                <c:pt idx="4">
                  <c:v>0.48790322580645157</c:v>
                </c:pt>
                <c:pt idx="5">
                  <c:v>0.50403225806451613</c:v>
                </c:pt>
                <c:pt idx="6">
                  <c:v>0.62231182795698936</c:v>
                </c:pt>
                <c:pt idx="7">
                  <c:v>0.43333333333333324</c:v>
                </c:pt>
                <c:pt idx="8">
                  <c:v>2.9569892473118281E-2</c:v>
                </c:pt>
                <c:pt idx="9">
                  <c:v>0.39247311827956988</c:v>
                </c:pt>
                <c:pt idx="10">
                  <c:v>0.57795698924731198</c:v>
                </c:pt>
                <c:pt idx="11">
                  <c:v>0.50537721012082926</c:v>
                </c:pt>
                <c:pt idx="12">
                  <c:v>0.58099688945138472</c:v>
                </c:pt>
                <c:pt idx="13">
                  <c:v>0.56182795698924726</c:v>
                </c:pt>
                <c:pt idx="14">
                  <c:v>0.59139784946236562</c:v>
                </c:pt>
                <c:pt idx="15">
                  <c:v>0.56586021505376338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5.xml"/><Relationship Id="rId5" Type="http://schemas.openxmlformats.org/officeDocument/2006/relationships/chart" Target="../charts/chart44.xml"/><Relationship Id="rId4" Type="http://schemas.openxmlformats.org/officeDocument/2006/relationships/chart" Target="../charts/chart4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7.xml"/><Relationship Id="rId1" Type="http://schemas.openxmlformats.org/officeDocument/2006/relationships/chart" Target="../charts/chart46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7.xml"/><Relationship Id="rId1" Type="http://schemas.openxmlformats.org/officeDocument/2006/relationships/chart" Target="../charts/chart66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5.xml"/><Relationship Id="rId5" Type="http://schemas.openxmlformats.org/officeDocument/2006/relationships/chart" Target="../charts/chart74.xml"/><Relationship Id="rId4" Type="http://schemas.openxmlformats.org/officeDocument/2006/relationships/chart" Target="../charts/chart7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7.xml"/><Relationship Id="rId1" Type="http://schemas.openxmlformats.org/officeDocument/2006/relationships/chart" Target="../charts/chart76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5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6" Type="http://schemas.openxmlformats.org/officeDocument/2006/relationships/chart" Target="../charts/chart90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2.xml"/><Relationship Id="rId1" Type="http://schemas.openxmlformats.org/officeDocument/2006/relationships/chart" Target="../charts/chart91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7.xml"/><Relationship Id="rId1" Type="http://schemas.openxmlformats.org/officeDocument/2006/relationships/chart" Target="../charts/chart96.xml"/><Relationship Id="rId6" Type="http://schemas.openxmlformats.org/officeDocument/2006/relationships/chart" Target="../charts/chart100.xml"/><Relationship Id="rId5" Type="http://schemas.openxmlformats.org/officeDocument/2006/relationships/chart" Target="../charts/chart99.xml"/><Relationship Id="rId4" Type="http://schemas.openxmlformats.org/officeDocument/2006/relationships/chart" Target="../charts/chart98.xml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5.xml"/><Relationship Id="rId5" Type="http://schemas.openxmlformats.org/officeDocument/2006/relationships/chart" Target="../charts/chart104.xml"/><Relationship Id="rId4" Type="http://schemas.openxmlformats.org/officeDocument/2006/relationships/chart" Target="../charts/chart103.xml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7.xml"/><Relationship Id="rId1" Type="http://schemas.openxmlformats.org/officeDocument/2006/relationships/chart" Target="../charts/chart106.xml"/><Relationship Id="rId6" Type="http://schemas.openxmlformats.org/officeDocument/2006/relationships/chart" Target="../charts/chart110.xml"/><Relationship Id="rId5" Type="http://schemas.openxmlformats.org/officeDocument/2006/relationships/chart" Target="../charts/chart109.xml"/><Relationship Id="rId4" Type="http://schemas.openxmlformats.org/officeDocument/2006/relationships/chart" Target="../charts/chart108.xml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2.xml"/><Relationship Id="rId1" Type="http://schemas.openxmlformats.org/officeDocument/2006/relationships/chart" Target="../charts/chart111.xml"/><Relationship Id="rId6" Type="http://schemas.openxmlformats.org/officeDocument/2006/relationships/chart" Target="../charts/chart115.xml"/><Relationship Id="rId5" Type="http://schemas.openxmlformats.org/officeDocument/2006/relationships/chart" Target="../charts/chart114.xml"/><Relationship Id="rId4" Type="http://schemas.openxmlformats.org/officeDocument/2006/relationships/chart" Target="../charts/chart113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7.xml"/><Relationship Id="rId1" Type="http://schemas.openxmlformats.org/officeDocument/2006/relationships/chart" Target="../charts/chart116.xml"/><Relationship Id="rId6" Type="http://schemas.openxmlformats.org/officeDocument/2006/relationships/chart" Target="../charts/chart120.xml"/><Relationship Id="rId5" Type="http://schemas.openxmlformats.org/officeDocument/2006/relationships/chart" Target="../charts/chart119.xml"/><Relationship Id="rId4" Type="http://schemas.openxmlformats.org/officeDocument/2006/relationships/chart" Target="../charts/chart118.xml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2.xml"/><Relationship Id="rId1" Type="http://schemas.openxmlformats.org/officeDocument/2006/relationships/chart" Target="../charts/chart1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CF0F69-A4C7-4AD5-8542-28CC6A1F3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68D19E5-1DA1-4EC7-9716-419E14E43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202A208-2F66-430D-A457-22F50ACE9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11DB49E-2C34-4341-B7BA-0A2B16698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AFE55BC-9968-4C6F-B35B-BE90E750A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39D8F79-BC6C-416B-8CBD-00FBD7C0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DE677E0-75FF-4FB6-B2C1-D9AB9CF13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C450BF9-58B0-41D4-8E46-D035C08A7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24112E0-531E-41B0-8777-BFD5A1952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B466E4C-E402-4B33-B915-40FFDDB49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984B04B-481F-4C65-8D15-ED3D1362C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94DAC41-30CA-4A29-A37F-F5BA37E22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103D7B4-84D4-482B-A166-330CA426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E3BC2630-3CFC-43C4-884D-ABC778221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D0FB084-54B0-4986-BB67-7F5C2B79D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07FD011-CE90-4039-AAFD-735F48D59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A7B971A-7204-4D17-B3BE-C92EFF99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44C4C8B-4F8A-403D-AF04-D8283E4BB4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2810CA2-F1D2-4D07-8CFF-FD8FD7E25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E1A742D-92DB-47E6-82AA-35AA96543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CD98D6D-4767-4E5A-981B-5D9C9083B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BB172CD-43F1-494F-B725-C632F7AD8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49A3FDA-8EB6-43CB-98B7-8E772B4F1B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0FF62E8-3B7B-48B8-86D5-623AA8E59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0551CB2-989D-4C1F-8B7F-1AD43632D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FA694B4-8467-476C-BBBF-5872A484D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E15D3C3-D406-411F-93EE-A91B6135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3C6328F-3C11-4918-81C3-7E101D19B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197D344-A56C-4AA0-9096-BF622470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CCEDEC-1D4E-484C-B949-41B0240C0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CE267E4-B89D-4844-8D91-B5A539B8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63DCCBC-F58B-4E3B-9666-D61E7A908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B6FC8C2-6D83-436D-9DC5-7701C5ED6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45A3805-B418-49AC-85D5-F8D6293A1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E91A106-7F0E-492F-B664-5B718AEBF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BB0DEE5-9B27-4CE1-96D5-2E8E2C221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BF458F6-B578-47CA-937D-2B10CF25D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5DF1BFE-E887-4BA6-9ABC-135453AC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27</xdr:row>
      <xdr:rowOff>0</xdr:rowOff>
    </xdr:from>
    <xdr:to>
      <xdr:col>12</xdr:col>
      <xdr:colOff>1199028</xdr:colOff>
      <xdr:row>40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B821609-D95D-49FE-BFD5-6FF7D3424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29</xdr:col>
      <xdr:colOff>457200</xdr:colOff>
      <xdr:row>40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90F9394-89CF-4FCA-A848-5A46BE2C1D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A21F196-97B0-46B8-A206-1B49C05D7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41</xdr:row>
      <xdr:rowOff>13607</xdr:rowOff>
    </xdr:from>
    <xdr:to>
      <xdr:col>29</xdr:col>
      <xdr:colOff>476250</xdr:colOff>
      <xdr:row>49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9DA15D8-8BE2-4141-B28A-1200836EA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20E801F-D8F7-42F3-A28A-CF186A2C0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FF08092-DBFD-42CF-AB52-9BA52F520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2A44E53-C09B-4DA8-8F09-725F3DF67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63DB9DC-ECAD-4D4C-BFE8-7DBC4A130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1FB810B-AE28-4C0E-8748-1AE8418D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9E517C2-913B-4A0B-8B33-50CEA4F6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DCD79C7-BB7F-47A7-8C00-CD958F091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EE39B9F-FD9F-43F2-B5D4-1E27B76B3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278FF66-A8C2-4CA6-9F36-ED448E61C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4D94E7F-E4E7-4867-AACE-43EF6E41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3AF03BE-FDA9-406A-AA70-6DBD0E741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A6CABC8-3AE9-43E7-865D-24A1D84C1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25F660C-2863-44FC-8EC5-5D46D0E6A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4BE872A-99D9-4635-B109-4DBA483D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8E035AE-6BB9-41F4-B45B-CE32EAA90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505CDE6-82A8-4465-BCEA-2816B1A90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4638689-0E3F-4755-B7CD-664531DBA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3C333F4-DFFD-4454-9F7A-F934D5423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D2A744A-B930-454A-8DB5-9ED494A7D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C253BA48-0894-425B-A95B-6081BB5E6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BAD0C14-10FA-4178-9A66-2EE7E3F96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452E42B-1DE2-468D-88AB-F3CE5871D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51829A3-8F01-4B22-B1D4-58E743343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6842AB5-C507-4CD9-83D8-31FDD031C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0676827-B1B8-48BC-8068-F00302033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8B1EFEA-BB40-4B9B-A1E0-AD32C41B0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E2AB6E6-7A64-4EF8-B5F4-3A7489040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CB1A547-1E80-4E4C-A0F8-FAE8D639F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62BEB4-6E3F-4D14-A673-4BA7436F3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2680D02-4006-446F-9D67-C3CCCCDCB5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920B21E-C9BE-42BD-B729-921E5B26E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FC0940A-5E89-4210-AE4C-1A9BF6AC0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2605B03-C684-46E8-8820-61559B3B6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4EC5015-2408-4B36-BD92-5B7A1C24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85DAA56-33BC-4BF7-8262-5393A1C80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E0F1B39-B688-4788-9486-87ECB8AC0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1BF1999-55BA-42A3-9B3E-16BDDD0E2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1E07D8E-9B45-4DA7-BDF5-88C8AE67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714CDFC-6505-481B-B0CA-6B0B75710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85A05A2-C8CA-4529-AA76-41F8817C4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0442501-C29B-4E98-9179-412C7CCE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7E42E4D-BD93-4FC9-B9E7-5A8F379DE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C6038C9-4D2F-41BD-A57A-00A52360E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ACEF3F4-20A3-4FC3-BA1A-001784B7DD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B4E1797-EE3E-4C16-AB99-3B5CB4B3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EDF93F5-479D-46A5-B889-2E7F24075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3241272-D0F7-447D-8B73-A5D50B5863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DB8E770-2F81-4AF7-9B4E-958823EF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6DC54DE-0C34-45AE-99E3-80667654B3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1B90889-4F17-4E75-9DFD-0DBBF33D65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64108EA-0F0E-42D6-88E5-890263C6B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1293C1A-E6A6-41C6-8C25-FF17623E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4F50289-CA3E-499A-A684-66FB47FBAD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CA2A424-4481-4680-864F-A368112FC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EAEDD1E-028B-4C20-8D8C-6292829C0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43DC6C5-17E7-41C5-A1A6-D40B4573F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85B129A-1104-4032-8810-406251F42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A349D89-13D9-496D-B90E-1F0BB0200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D12B143-DFFA-4050-890B-17F17974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1327B5A-3EDB-4CA8-9804-CE7BB49780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98FF7C5-B8EB-4C47-A929-AC428BA81B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DE667F6-7B88-497F-8C79-791C85F8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CA02822-D3CD-41B1-A2E7-721AF4066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FC15E3-DA10-4266-BA4C-3ED0D85FA3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081C714-E858-4218-9CAD-2C749C9CF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D97654C-0609-4E64-9D84-003BA28E0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B954D1A-60A4-42CC-8173-201383F37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BC57CC1-4962-456A-A8AF-8EAB5EA3A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5F586E3-DD89-4328-A98B-556F64AE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0386817-7452-4860-94CD-FE068BA190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8A8D1F8-50DA-45A0-AE2E-02E3856F4A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C2E8404-6E30-4E0B-8C06-FFF604626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4BC792F-2324-45F6-A1FC-A8CC1DAD8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94AE3F8-E867-4304-B56F-E44FA71F5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7FAC390-2E60-446B-AD8E-8F4D48D8D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B7BEDFC-893B-48E3-8432-167CE0B7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3493E8A-3FCA-4312-837A-C3580F3A6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3A6EAF-80ED-4C6D-866D-7496192C0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AD56EA3-CEC5-4238-9EA6-47C749821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6C2F3E0-18F7-4CC6-8C98-703A75A76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D023565-90D4-4578-B918-4CB354D76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4CA0CD5-13E0-488D-932F-17B1173E8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F7EC346-5ED2-4708-8ECE-14A2708DD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4D5B570-BDE7-4A1B-85E8-D5F739C06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33412B8-9AC5-444D-B351-8C8994042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DFF5601-9C08-4138-869A-71979D0A5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3BC8D48D-682E-4E67-B8F6-7B15768D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9D4FD1D-B07A-4A80-A57E-5D3E3A6903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89F7DEE-EDD4-4000-9043-E139F8CCF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5273A2A-A490-4C79-9EE9-FC1395B5B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302E2A0-5454-476F-9DCB-29017A61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585CAC4-A4A0-4E5C-8610-2A1C4A497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550F7A0-00E2-40A4-BDE1-3A9D24296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E881BAE-97B3-46AE-8473-F77A918A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2F1C041-CB3F-4989-B330-76FD59292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0290EC5-FB75-4E6D-A1D8-AD0FB18ECE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BFBDD72-53F7-4CE0-A8B4-F7D436656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8E0E5C1-05A8-4801-997E-93020ED65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B67C5E0-BA33-451C-8204-B4060471B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CB0A96E-510D-45BA-88CB-0025621739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4D5E58B-EAE8-4E26-931C-5DE7D4E0B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5A727CE-195D-4419-A2FF-D2F091153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104CC63-B78F-4252-97B4-3D317F593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B53880A-69BC-4B96-80F1-19B84FDF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7BE9DAE-EB1B-4220-9BD0-1222822A2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2297CA0-6893-4E33-BEF9-01265E2DC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32567C0-7DCB-441D-9162-BA531E80A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CA18D45-17F0-4EB0-8507-193843D6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2F3BB4D-83D0-4CEB-8A2E-07BFA7FFE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8262D50-2B3E-45C0-9FC8-61A03DB499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49053DD-0556-4D86-82AC-20E6F897A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3EA03C9-B631-4747-B7AC-EB6FECAAA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CC229A5-0B07-4935-87E1-B29B9032C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36E1FAB-8931-4681-AD0B-08AC2BF64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4FF085C-B965-4930-8C58-9E45E4DB0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389844A-43ED-4817-9798-8719DA43A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4479493-FC4F-40A3-ABE7-EB805AE09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CBFD513-2DC6-445A-B323-0EC44B857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C611565-D792-4ED4-B3D4-F7C7793AD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841293B-1161-43AE-B99D-7CE0669B6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6F8CD9B-3B90-4CC4-9E82-CA01F0590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DE5C9FC-88BF-4FB9-BD86-3B758E396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449443A-1313-4B87-946F-961BB664E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BA6F567-CDB8-4814-9C4B-1028058B8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982CBFE-A137-495E-991F-A820965DC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453" y="54428"/>
          <a:ext cx="34072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2852E7E-A55C-464F-B10C-D971B3B95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20</xdr:row>
      <xdr:rowOff>104775</xdr:rowOff>
    </xdr:from>
    <xdr:to>
      <xdr:col>16</xdr:col>
      <xdr:colOff>66675</xdr:colOff>
      <xdr:row>32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20</xdr:row>
      <xdr:rowOff>123825</xdr:rowOff>
    </xdr:from>
    <xdr:to>
      <xdr:col>32</xdr:col>
      <xdr:colOff>371474</xdr:colOff>
      <xdr:row>32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EFB7-A614-42AD-9576-8300DE67C8FC}">
  <dimension ref="A1:AF88"/>
  <sheetViews>
    <sheetView view="pageBreakPreview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167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132" t="s">
        <v>17</v>
      </c>
      <c r="L5" s="132" t="s">
        <v>18</v>
      </c>
      <c r="M5" s="132" t="s">
        <v>19</v>
      </c>
      <c r="N5" s="13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0.65441176470588236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115</v>
      </c>
      <c r="E7" s="53" t="s">
        <v>155</v>
      </c>
      <c r="F7" s="12" t="s">
        <v>139</v>
      </c>
      <c r="G7" s="12">
        <v>1</v>
      </c>
      <c r="H7" s="13">
        <v>24</v>
      </c>
      <c r="I7" s="31">
        <v>18000</v>
      </c>
      <c r="J7" s="14">
        <v>5880</v>
      </c>
      <c r="K7" s="15">
        <f>L7+2592+4850+5792</f>
        <v>19114</v>
      </c>
      <c r="L7" s="15">
        <f>3157+2723</f>
        <v>5880</v>
      </c>
      <c r="M7" s="15">
        <f t="shared" si="0"/>
        <v>5880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0.65441176470588236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115</v>
      </c>
      <c r="E8" s="53" t="s">
        <v>162</v>
      </c>
      <c r="F8" s="30" t="s">
        <v>142</v>
      </c>
      <c r="G8" s="33">
        <v>1</v>
      </c>
      <c r="H8" s="35">
        <v>24</v>
      </c>
      <c r="I8" s="7">
        <v>15000</v>
      </c>
      <c r="J8" s="5">
        <v>2672</v>
      </c>
      <c r="K8" s="15">
        <f>L8+903</f>
        <v>3575</v>
      </c>
      <c r="L8" s="15">
        <f>1175+1497</f>
        <v>2672</v>
      </c>
      <c r="M8" s="15">
        <f t="shared" si="0"/>
        <v>2672</v>
      </c>
      <c r="N8" s="15">
        <v>0</v>
      </c>
      <c r="O8" s="58">
        <f t="shared" si="1"/>
        <v>0</v>
      </c>
      <c r="P8" s="39">
        <f t="shared" si="2"/>
        <v>14</v>
      </c>
      <c r="Q8" s="40">
        <f t="shared" si="3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0.58333333333333337</v>
      </c>
      <c r="AD8" s="10">
        <f t="shared" si="6"/>
        <v>0.58333333333333337</v>
      </c>
      <c r="AE8" s="36">
        <f t="shared" si="7"/>
        <v>0.65441176470588236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4752</v>
      </c>
      <c r="K9" s="15">
        <f>L9+1344+2695+2818+1363+3398+4807+5146+5399+5363+4916</f>
        <v>42001</v>
      </c>
      <c r="L9" s="15">
        <f>2881+1871</f>
        <v>4752</v>
      </c>
      <c r="M9" s="15">
        <f t="shared" si="0"/>
        <v>4752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0.65441176470588236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151</v>
      </c>
      <c r="E10" s="53" t="s">
        <v>150</v>
      </c>
      <c r="F10" s="30" t="s">
        <v>125</v>
      </c>
      <c r="G10" s="33">
        <v>2</v>
      </c>
      <c r="H10" s="35">
        <v>24</v>
      </c>
      <c r="I10" s="7">
        <v>36000</v>
      </c>
      <c r="J10" s="14">
        <v>3380</v>
      </c>
      <c r="K10" s="15">
        <f>L10+8494+15176+14578</f>
        <v>41628</v>
      </c>
      <c r="L10" s="15">
        <f>1690*2</f>
        <v>3380</v>
      </c>
      <c r="M10" s="15">
        <f t="shared" si="0"/>
        <v>3380</v>
      </c>
      <c r="N10" s="15">
        <v>0</v>
      </c>
      <c r="O10" s="58">
        <f t="shared" si="1"/>
        <v>0</v>
      </c>
      <c r="P10" s="39">
        <f t="shared" si="2"/>
        <v>4</v>
      </c>
      <c r="Q10" s="40">
        <f t="shared" si="3"/>
        <v>20</v>
      </c>
      <c r="R10" s="7"/>
      <c r="S10" s="6"/>
      <c r="T10" s="16"/>
      <c r="U10" s="16"/>
      <c r="V10" s="17"/>
      <c r="W10" s="5">
        <v>20</v>
      </c>
      <c r="X10" s="16"/>
      <c r="Y10" s="16"/>
      <c r="Z10" s="16"/>
      <c r="AA10" s="18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6">
        <f t="shared" si="7"/>
        <v>0.65441176470588236</v>
      </c>
      <c r="AF10" s="84">
        <f t="shared" si="8"/>
        <v>5</v>
      </c>
    </row>
    <row r="11" spans="1:32" ht="27" customHeight="1">
      <c r="A11" s="96">
        <v>5</v>
      </c>
      <c r="B11" s="11" t="s">
        <v>57</v>
      </c>
      <c r="C11" s="11" t="s">
        <v>118</v>
      </c>
      <c r="D11" s="52" t="s">
        <v>137</v>
      </c>
      <c r="E11" s="53" t="s">
        <v>166</v>
      </c>
      <c r="F11" s="30" t="s">
        <v>133</v>
      </c>
      <c r="G11" s="33">
        <v>1</v>
      </c>
      <c r="H11" s="35">
        <v>24</v>
      </c>
      <c r="I11" s="7">
        <v>1000</v>
      </c>
      <c r="J11" s="14">
        <v>3458</v>
      </c>
      <c r="K11" s="15">
        <f>L11</f>
        <v>3458</v>
      </c>
      <c r="L11" s="15">
        <f>313+3145</f>
        <v>3458</v>
      </c>
      <c r="M11" s="15">
        <f t="shared" ref="M11" si="9">L11-N11</f>
        <v>3458</v>
      </c>
      <c r="N11" s="15">
        <v>0</v>
      </c>
      <c r="O11" s="58">
        <f t="shared" ref="O11" si="10">IF(L11=0,"0",N11/L11)</f>
        <v>0</v>
      </c>
      <c r="P11" s="39">
        <f t="shared" ref="P11" si="11">IF(L11=0,"0",(24-Q11))</f>
        <v>18</v>
      </c>
      <c r="Q11" s="40">
        <f t="shared" ref="Q11" si="12">SUM(R11:AA11)</f>
        <v>6</v>
      </c>
      <c r="R11" s="7"/>
      <c r="S11" s="6">
        <v>2</v>
      </c>
      <c r="T11" s="16">
        <v>4</v>
      </c>
      <c r="U11" s="16"/>
      <c r="V11" s="17"/>
      <c r="W11" s="5"/>
      <c r="X11" s="16"/>
      <c r="Y11" s="16"/>
      <c r="Z11" s="16"/>
      <c r="AA11" s="18"/>
      <c r="AB11" s="8">
        <f t="shared" ref="AB11" si="13">IF(J11=0,"0",(L11/J11))</f>
        <v>1</v>
      </c>
      <c r="AC11" s="9">
        <f t="shared" ref="AC11" si="14">IF(P11=0,"0",(P11/24))</f>
        <v>0.75</v>
      </c>
      <c r="AD11" s="10">
        <f t="shared" ref="AD11" si="15">AC11*AB11*(1-O11)</f>
        <v>0.75</v>
      </c>
      <c r="AE11" s="36">
        <f t="shared" si="7"/>
        <v>0.65441176470588236</v>
      </c>
      <c r="AF11" s="84">
        <f t="shared" ref="AF11" si="16">A11</f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140</v>
      </c>
      <c r="E12" s="53" t="s">
        <v>145</v>
      </c>
      <c r="F12" s="30" t="s">
        <v>146</v>
      </c>
      <c r="G12" s="33">
        <v>1</v>
      </c>
      <c r="H12" s="35">
        <v>24</v>
      </c>
      <c r="I12" s="7">
        <v>54000</v>
      </c>
      <c r="J12" s="14">
        <v>5715</v>
      </c>
      <c r="K12" s="15">
        <f>L12+5150+4152+4675</f>
        <v>19692</v>
      </c>
      <c r="L12" s="15">
        <f>2680+3035</f>
        <v>5715</v>
      </c>
      <c r="M12" s="15">
        <f t="shared" si="0"/>
        <v>5715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0.65441176470588236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136</v>
      </c>
      <c r="F13" s="30" t="s">
        <v>130</v>
      </c>
      <c r="G13" s="12">
        <v>1</v>
      </c>
      <c r="H13" s="13">
        <v>22</v>
      </c>
      <c r="I13" s="31">
        <v>76000</v>
      </c>
      <c r="J13" s="5">
        <v>4634</v>
      </c>
      <c r="K13" s="15">
        <f>L13+5135+5549+5689+5232+5555+942+4639</f>
        <v>37375</v>
      </c>
      <c r="L13" s="15">
        <f>2964+1670</f>
        <v>4634</v>
      </c>
      <c r="M13" s="15">
        <f t="shared" si="0"/>
        <v>4634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0.65441176470588236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118</v>
      </c>
      <c r="D14" s="52" t="s">
        <v>140</v>
      </c>
      <c r="E14" s="53" t="s">
        <v>163</v>
      </c>
      <c r="F14" s="30" t="s">
        <v>146</v>
      </c>
      <c r="G14" s="33">
        <v>1</v>
      </c>
      <c r="H14" s="35">
        <v>24</v>
      </c>
      <c r="I14" s="7">
        <v>15000</v>
      </c>
      <c r="J14" s="14">
        <v>4109</v>
      </c>
      <c r="K14" s="15">
        <f>L14+2321</f>
        <v>6430</v>
      </c>
      <c r="L14" s="15">
        <f>2780+1329</f>
        <v>4109</v>
      </c>
      <c r="M14" s="15">
        <f t="shared" si="0"/>
        <v>4109</v>
      </c>
      <c r="N14" s="15">
        <v>0</v>
      </c>
      <c r="O14" s="58">
        <f t="shared" si="1"/>
        <v>0</v>
      </c>
      <c r="P14" s="39">
        <f t="shared" si="2"/>
        <v>20</v>
      </c>
      <c r="Q14" s="40">
        <f t="shared" si="3"/>
        <v>4</v>
      </c>
      <c r="R14" s="7"/>
      <c r="S14" s="6">
        <v>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0.83333333333333337</v>
      </c>
      <c r="AD14" s="10">
        <f t="shared" si="6"/>
        <v>0.83333333333333337</v>
      </c>
      <c r="AE14" s="36">
        <f t="shared" si="7"/>
        <v>0.65441176470588236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158</v>
      </c>
      <c r="D15" s="52" t="s">
        <v>115</v>
      </c>
      <c r="E15" s="53" t="s">
        <v>164</v>
      </c>
      <c r="F15" s="30" t="s">
        <v>159</v>
      </c>
      <c r="G15" s="33">
        <v>1</v>
      </c>
      <c r="H15" s="35">
        <v>50</v>
      </c>
      <c r="I15" s="7">
        <v>100</v>
      </c>
      <c r="J15" s="5">
        <v>926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0.65441176470588236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/>
      <c r="E16" s="53" t="s">
        <v>160</v>
      </c>
      <c r="F16" s="12" t="s">
        <v>129</v>
      </c>
      <c r="G16" s="12">
        <v>1</v>
      </c>
      <c r="H16" s="13">
        <v>24</v>
      </c>
      <c r="I16" s="31">
        <v>900</v>
      </c>
      <c r="J16" s="14">
        <v>1015</v>
      </c>
      <c r="K16" s="15">
        <f>L16+1015</f>
        <v>1015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0.65441176470588236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137</v>
      </c>
      <c r="E17" s="53" t="s">
        <v>141</v>
      </c>
      <c r="F17" s="30" t="s">
        <v>133</v>
      </c>
      <c r="G17" s="12">
        <v>2</v>
      </c>
      <c r="H17" s="13">
        <v>24</v>
      </c>
      <c r="I17" s="7">
        <v>150000</v>
      </c>
      <c r="J17" s="14">
        <v>19102</v>
      </c>
      <c r="K17" s="15">
        <f>L17+3140+8796+9536+5660+12138+18972+18052+19140+19144+19176</f>
        <v>152856</v>
      </c>
      <c r="L17" s="15">
        <f>5134*2+4417*2</f>
        <v>19102</v>
      </c>
      <c r="M17" s="15">
        <f t="shared" si="0"/>
        <v>19102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0.65441176470588236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118</v>
      </c>
      <c r="D18" s="52" t="s">
        <v>137</v>
      </c>
      <c r="E18" s="53" t="s">
        <v>152</v>
      </c>
      <c r="F18" s="30" t="s">
        <v>144</v>
      </c>
      <c r="G18" s="12">
        <v>2</v>
      </c>
      <c r="H18" s="13">
        <v>24</v>
      </c>
      <c r="I18" s="7">
        <v>36000</v>
      </c>
      <c r="J18" s="14">
        <v>11892</v>
      </c>
      <c r="K18" s="15">
        <f>L18+9540+12128</f>
        <v>33560</v>
      </c>
      <c r="L18" s="15">
        <f>3239*2+2707*2</f>
        <v>11892</v>
      </c>
      <c r="M18" s="15">
        <f t="shared" si="0"/>
        <v>11892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0.65441176470588236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161</v>
      </c>
      <c r="F19" s="30" t="s">
        <v>142</v>
      </c>
      <c r="G19" s="33">
        <v>1</v>
      </c>
      <c r="H19" s="35">
        <v>24</v>
      </c>
      <c r="I19" s="7">
        <v>95000</v>
      </c>
      <c r="J19" s="14">
        <v>5368</v>
      </c>
      <c r="K19" s="15">
        <f>L19+4864+5380</f>
        <v>15612</v>
      </c>
      <c r="L19" s="15">
        <f>2884+2484</f>
        <v>5368</v>
      </c>
      <c r="M19" s="15">
        <f t="shared" si="0"/>
        <v>5368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0.65441176470588236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132</v>
      </c>
      <c r="E20" s="53" t="s">
        <v>156</v>
      </c>
      <c r="F20" s="30" t="s">
        <v>130</v>
      </c>
      <c r="G20" s="33">
        <v>1</v>
      </c>
      <c r="H20" s="35">
        <v>24</v>
      </c>
      <c r="I20" s="7">
        <v>18000</v>
      </c>
      <c r="J20" s="14">
        <v>5680</v>
      </c>
      <c r="K20" s="15">
        <f>L20+2379</f>
        <v>8059</v>
      </c>
      <c r="L20" s="15">
        <f>3062+2618</f>
        <v>5680</v>
      </c>
      <c r="M20" s="15">
        <f t="shared" si="0"/>
        <v>5680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0.65441176470588236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148</v>
      </c>
      <c r="F21" s="30" t="s">
        <v>130</v>
      </c>
      <c r="G21" s="12">
        <v>1</v>
      </c>
      <c r="H21" s="13">
        <v>24</v>
      </c>
      <c r="I21" s="7">
        <v>130000</v>
      </c>
      <c r="J21" s="14">
        <v>5643</v>
      </c>
      <c r="K21" s="15">
        <f>L21+582+5215+5575+2206+3456+4708+4157+4736</f>
        <v>36278</v>
      </c>
      <c r="L21" s="15">
        <f>3034+2609</f>
        <v>5643</v>
      </c>
      <c r="M21" s="15">
        <f t="shared" si="0"/>
        <v>5643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0.65441176470588236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157</v>
      </c>
      <c r="F22" s="12" t="s">
        <v>114</v>
      </c>
      <c r="G22" s="12">
        <v>4</v>
      </c>
      <c r="H22" s="35">
        <v>20</v>
      </c>
      <c r="I22" s="7">
        <v>2000000</v>
      </c>
      <c r="J22" s="14">
        <v>69704</v>
      </c>
      <c r="K22" s="15">
        <f>L22+63388+69392+28968+33256+34460+34384+70208+69780+63952+70200+69756+69704</f>
        <v>677448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0.65441176470588236</v>
      </c>
      <c r="AF22" s="84">
        <f t="shared" si="8"/>
        <v>16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2">
        <f t="shared" ref="I23:N23" si="17">SUM(I6:I22)</f>
        <v>2723000</v>
      </c>
      <c r="J23" s="19">
        <f t="shared" si="17"/>
        <v>157331</v>
      </c>
      <c r="K23" s="20">
        <f t="shared" si="17"/>
        <v>1104694</v>
      </c>
      <c r="L23" s="21">
        <f t="shared" si="17"/>
        <v>82285</v>
      </c>
      <c r="M23" s="20">
        <f t="shared" si="17"/>
        <v>82285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267</v>
      </c>
      <c r="Q23" s="43">
        <f t="shared" si="18"/>
        <v>117</v>
      </c>
      <c r="R23" s="23">
        <f t="shared" si="18"/>
        <v>0</v>
      </c>
      <c r="S23" s="24">
        <f t="shared" si="18"/>
        <v>45</v>
      </c>
      <c r="T23" s="24">
        <f t="shared" si="18"/>
        <v>4</v>
      </c>
      <c r="U23" s="24">
        <f t="shared" si="18"/>
        <v>0</v>
      </c>
      <c r="V23" s="25">
        <f t="shared" si="18"/>
        <v>48</v>
      </c>
      <c r="W23" s="26">
        <f t="shared" si="18"/>
        <v>20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0.76470588235294112</v>
      </c>
      <c r="AC23" s="4">
        <f>AVERAGE(AC6:AC22)</f>
        <v>0.65441176470588236</v>
      </c>
      <c r="AD23" s="4">
        <f>AVERAGE(AD6:AD22)</f>
        <v>0.65441176470588236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7" t="s">
        <v>45</v>
      </c>
      <c r="B50" s="447"/>
      <c r="C50" s="447"/>
      <c r="D50" s="447"/>
      <c r="E50" s="4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8" t="s">
        <v>169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175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131" t="s">
        <v>46</v>
      </c>
      <c r="D52" s="131" t="s">
        <v>47</v>
      </c>
      <c r="E52" s="131" t="s">
        <v>107</v>
      </c>
      <c r="F52" s="456" t="s">
        <v>106</v>
      </c>
      <c r="G52" s="457"/>
      <c r="H52" s="457"/>
      <c r="I52" s="457"/>
      <c r="J52" s="457"/>
      <c r="K52" s="457"/>
      <c r="L52" s="457"/>
      <c r="M52" s="458"/>
      <c r="N52" s="67" t="s">
        <v>110</v>
      </c>
      <c r="O52" s="131" t="s">
        <v>46</v>
      </c>
      <c r="P52" s="456" t="s">
        <v>47</v>
      </c>
      <c r="Q52" s="459"/>
      <c r="R52" s="456" t="s">
        <v>38</v>
      </c>
      <c r="S52" s="457"/>
      <c r="T52" s="457"/>
      <c r="U52" s="459"/>
      <c r="V52" s="456" t="s">
        <v>48</v>
      </c>
      <c r="W52" s="457"/>
      <c r="X52" s="457"/>
      <c r="Y52" s="457"/>
      <c r="Z52" s="457"/>
      <c r="AA52" s="457"/>
      <c r="AB52" s="457"/>
      <c r="AC52" s="457"/>
      <c r="AD52" s="458"/>
    </row>
    <row r="53" spans="1:32" ht="27" customHeight="1">
      <c r="A53" s="470" t="s">
        <v>118</v>
      </c>
      <c r="B53" s="471"/>
      <c r="C53" s="133" t="s">
        <v>131</v>
      </c>
      <c r="D53" s="133" t="s">
        <v>115</v>
      </c>
      <c r="E53" s="134" t="s">
        <v>162</v>
      </c>
      <c r="F53" s="472" t="s">
        <v>170</v>
      </c>
      <c r="G53" s="473"/>
      <c r="H53" s="473"/>
      <c r="I53" s="473"/>
      <c r="J53" s="473"/>
      <c r="K53" s="473"/>
      <c r="L53" s="473"/>
      <c r="M53" s="474"/>
      <c r="N53" s="130" t="s">
        <v>118</v>
      </c>
      <c r="O53" s="124" t="s">
        <v>128</v>
      </c>
      <c r="P53" s="475" t="s">
        <v>143</v>
      </c>
      <c r="Q53" s="476"/>
      <c r="R53" s="475" t="s">
        <v>163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70" t="s">
        <v>118</v>
      </c>
      <c r="B54" s="471"/>
      <c r="C54" s="133" t="s">
        <v>149</v>
      </c>
      <c r="D54" s="133" t="s">
        <v>115</v>
      </c>
      <c r="E54" s="134" t="s">
        <v>136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130" t="s">
        <v>118</v>
      </c>
      <c r="O54" s="124" t="s">
        <v>131</v>
      </c>
      <c r="P54" s="475" t="s">
        <v>115</v>
      </c>
      <c r="Q54" s="476"/>
      <c r="R54" s="475" t="s">
        <v>162</v>
      </c>
      <c r="S54" s="477"/>
      <c r="T54" s="477"/>
      <c r="U54" s="476"/>
      <c r="V54" s="478" t="s">
        <v>124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70" t="s">
        <v>118</v>
      </c>
      <c r="B55" s="471"/>
      <c r="C55" s="133" t="s">
        <v>147</v>
      </c>
      <c r="D55" s="133" t="s">
        <v>143</v>
      </c>
      <c r="E55" s="134" t="s">
        <v>138</v>
      </c>
      <c r="F55" s="472" t="s">
        <v>124</v>
      </c>
      <c r="G55" s="473"/>
      <c r="H55" s="473"/>
      <c r="I55" s="473"/>
      <c r="J55" s="473"/>
      <c r="K55" s="473"/>
      <c r="L55" s="473"/>
      <c r="M55" s="474"/>
      <c r="N55" s="130"/>
      <c r="O55" s="124"/>
      <c r="P55" s="475"/>
      <c r="Q55" s="476"/>
      <c r="R55" s="475"/>
      <c r="S55" s="477"/>
      <c r="T55" s="477"/>
      <c r="U55" s="476"/>
      <c r="V55" s="478"/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118</v>
      </c>
      <c r="B56" s="481"/>
      <c r="C56" s="134" t="s">
        <v>128</v>
      </c>
      <c r="D56" s="134" t="s">
        <v>143</v>
      </c>
      <c r="E56" s="134" t="s">
        <v>163</v>
      </c>
      <c r="F56" s="472" t="s">
        <v>165</v>
      </c>
      <c r="G56" s="473"/>
      <c r="H56" s="473"/>
      <c r="I56" s="473"/>
      <c r="J56" s="473"/>
      <c r="K56" s="473"/>
      <c r="L56" s="473"/>
      <c r="M56" s="474"/>
      <c r="N56" s="130"/>
      <c r="O56" s="124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70" t="s">
        <v>118</v>
      </c>
      <c r="B57" s="471"/>
      <c r="C57" s="126" t="s">
        <v>171</v>
      </c>
      <c r="D57" s="126" t="s">
        <v>172</v>
      </c>
      <c r="E57" s="127" t="s">
        <v>173</v>
      </c>
      <c r="F57" s="472" t="s">
        <v>174</v>
      </c>
      <c r="G57" s="473"/>
      <c r="H57" s="473"/>
      <c r="I57" s="473"/>
      <c r="J57" s="473"/>
      <c r="K57" s="473"/>
      <c r="L57" s="473"/>
      <c r="M57" s="474"/>
      <c r="N57" s="130"/>
      <c r="O57" s="124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/>
      <c r="B58" s="471"/>
      <c r="C58" s="126"/>
      <c r="D58" s="126"/>
      <c r="E58" s="127"/>
      <c r="F58" s="472"/>
      <c r="G58" s="473"/>
      <c r="H58" s="473"/>
      <c r="I58" s="473"/>
      <c r="J58" s="473"/>
      <c r="K58" s="473"/>
      <c r="L58" s="473"/>
      <c r="M58" s="474"/>
      <c r="N58" s="130"/>
      <c r="O58" s="124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/>
      <c r="B59" s="471"/>
      <c r="C59" s="126"/>
      <c r="D59" s="126"/>
      <c r="E59" s="127"/>
      <c r="F59" s="472"/>
      <c r="G59" s="473"/>
      <c r="H59" s="473"/>
      <c r="I59" s="473"/>
      <c r="J59" s="473"/>
      <c r="K59" s="473"/>
      <c r="L59" s="473"/>
      <c r="M59" s="474"/>
      <c r="N59" s="130"/>
      <c r="O59" s="124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80"/>
      <c r="B60" s="481"/>
      <c r="C60" s="127"/>
      <c r="D60" s="127"/>
      <c r="E60" s="127"/>
      <c r="F60" s="472"/>
      <c r="G60" s="473"/>
      <c r="H60" s="473"/>
      <c r="I60" s="473"/>
      <c r="J60" s="473"/>
      <c r="K60" s="473"/>
      <c r="L60" s="473"/>
      <c r="M60" s="474"/>
      <c r="N60" s="130"/>
      <c r="O60" s="124"/>
      <c r="P60" s="475"/>
      <c r="Q60" s="476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/>
      <c r="B61" s="471"/>
      <c r="C61" s="126"/>
      <c r="D61" s="126"/>
      <c r="E61" s="127"/>
      <c r="F61" s="472"/>
      <c r="G61" s="473"/>
      <c r="H61" s="473"/>
      <c r="I61" s="473"/>
      <c r="J61" s="473"/>
      <c r="K61" s="473"/>
      <c r="L61" s="473"/>
      <c r="M61" s="474"/>
      <c r="N61" s="130"/>
      <c r="O61" s="124"/>
      <c r="P61" s="481"/>
      <c r="Q61" s="481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  <c r="AF61" s="84">
        <f>8*3000</f>
        <v>24000</v>
      </c>
    </row>
    <row r="62" spans="1:32" ht="27" customHeight="1" thickBot="1">
      <c r="A62" s="482"/>
      <c r="B62" s="483"/>
      <c r="C62" s="128"/>
      <c r="D62" s="129"/>
      <c r="E62" s="129"/>
      <c r="F62" s="484"/>
      <c r="G62" s="485"/>
      <c r="H62" s="485"/>
      <c r="I62" s="485"/>
      <c r="J62" s="485"/>
      <c r="K62" s="485"/>
      <c r="L62" s="485"/>
      <c r="M62" s="486"/>
      <c r="N62" s="111"/>
      <c r="O62" s="103"/>
      <c r="P62" s="487"/>
      <c r="Q62" s="487"/>
      <c r="R62" s="487"/>
      <c r="S62" s="487"/>
      <c r="T62" s="487"/>
      <c r="U62" s="487"/>
      <c r="V62" s="488"/>
      <c r="W62" s="488"/>
      <c r="X62" s="488"/>
      <c r="Y62" s="488"/>
      <c r="Z62" s="488"/>
      <c r="AA62" s="488"/>
      <c r="AB62" s="488"/>
      <c r="AC62" s="488"/>
      <c r="AD62" s="489"/>
      <c r="AF62" s="84">
        <f>16*3000</f>
        <v>48000</v>
      </c>
    </row>
    <row r="63" spans="1:32" ht="27.75" thickBot="1">
      <c r="A63" s="490" t="s">
        <v>176</v>
      </c>
      <c r="B63" s="490"/>
      <c r="C63" s="490"/>
      <c r="D63" s="490"/>
      <c r="E63" s="49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1" t="s">
        <v>111</v>
      </c>
      <c r="B64" s="492"/>
      <c r="C64" s="125" t="s">
        <v>2</v>
      </c>
      <c r="D64" s="125" t="s">
        <v>37</v>
      </c>
      <c r="E64" s="125" t="s">
        <v>3</v>
      </c>
      <c r="F64" s="492" t="s">
        <v>109</v>
      </c>
      <c r="G64" s="492"/>
      <c r="H64" s="492"/>
      <c r="I64" s="492"/>
      <c r="J64" s="492"/>
      <c r="K64" s="492" t="s">
        <v>39</v>
      </c>
      <c r="L64" s="492"/>
      <c r="M64" s="125" t="s">
        <v>40</v>
      </c>
      <c r="N64" s="492" t="s">
        <v>41</v>
      </c>
      <c r="O64" s="492"/>
      <c r="P64" s="493" t="s">
        <v>42</v>
      </c>
      <c r="Q64" s="494"/>
      <c r="R64" s="493" t="s">
        <v>43</v>
      </c>
      <c r="S64" s="495"/>
      <c r="T64" s="495"/>
      <c r="U64" s="495"/>
      <c r="V64" s="495"/>
      <c r="W64" s="495"/>
      <c r="X64" s="495"/>
      <c r="Y64" s="495"/>
      <c r="Z64" s="495"/>
      <c r="AA64" s="494"/>
      <c r="AB64" s="492" t="s">
        <v>44</v>
      </c>
      <c r="AC64" s="492"/>
      <c r="AD64" s="496"/>
      <c r="AF64" s="84">
        <f>SUM(AF61:AF63)</f>
        <v>96000</v>
      </c>
    </row>
    <row r="65" spans="1:32" ht="25.5" customHeight="1">
      <c r="A65" s="497">
        <v>1</v>
      </c>
      <c r="B65" s="498"/>
      <c r="C65" s="104"/>
      <c r="D65" s="120"/>
      <c r="E65" s="123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2</v>
      </c>
      <c r="B66" s="498"/>
      <c r="C66" s="104"/>
      <c r="D66" s="120"/>
      <c r="E66" s="123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3</v>
      </c>
      <c r="B67" s="498"/>
      <c r="C67" s="104"/>
      <c r="D67" s="120"/>
      <c r="E67" s="123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4</v>
      </c>
      <c r="B68" s="498"/>
      <c r="C68" s="104"/>
      <c r="D68" s="120"/>
      <c r="E68" s="123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5</v>
      </c>
      <c r="B69" s="498"/>
      <c r="C69" s="104"/>
      <c r="D69" s="120"/>
      <c r="E69" s="123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6</v>
      </c>
      <c r="B70" s="498"/>
      <c r="C70" s="104"/>
      <c r="D70" s="120"/>
      <c r="E70" s="123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7</v>
      </c>
      <c r="B71" s="498"/>
      <c r="C71" s="104"/>
      <c r="D71" s="120"/>
      <c r="E71" s="123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8</v>
      </c>
      <c r="B72" s="498"/>
      <c r="C72" s="104"/>
      <c r="D72" s="120"/>
      <c r="E72" s="123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9</v>
      </c>
      <c r="B73" s="498"/>
      <c r="C73" s="104"/>
      <c r="D73" s="120"/>
      <c r="E73" s="123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10</v>
      </c>
      <c r="B74" s="498"/>
      <c r="C74" s="104"/>
      <c r="D74" s="120"/>
      <c r="E74" s="123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6.25" customHeight="1" thickBot="1">
      <c r="A75" s="507" t="s">
        <v>177</v>
      </c>
      <c r="B75" s="507"/>
      <c r="C75" s="507"/>
      <c r="D75" s="507"/>
      <c r="E75" s="50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8" t="s">
        <v>127</v>
      </c>
      <c r="B76" s="509"/>
      <c r="C76" s="122" t="s">
        <v>2</v>
      </c>
      <c r="D76" s="122" t="s">
        <v>37</v>
      </c>
      <c r="E76" s="122" t="s">
        <v>126</v>
      </c>
      <c r="F76" s="509" t="s">
        <v>38</v>
      </c>
      <c r="G76" s="509"/>
      <c r="H76" s="509"/>
      <c r="I76" s="509"/>
      <c r="J76" s="509"/>
      <c r="K76" s="510" t="s">
        <v>58</v>
      </c>
      <c r="L76" s="511"/>
      <c r="M76" s="511"/>
      <c r="N76" s="511"/>
      <c r="O76" s="511"/>
      <c r="P76" s="511"/>
      <c r="Q76" s="511"/>
      <c r="R76" s="511"/>
      <c r="S76" s="512"/>
      <c r="T76" s="509" t="s">
        <v>49</v>
      </c>
      <c r="U76" s="509"/>
      <c r="V76" s="510" t="s">
        <v>50</v>
      </c>
      <c r="W76" s="512"/>
      <c r="X76" s="511" t="s">
        <v>51</v>
      </c>
      <c r="Y76" s="511"/>
      <c r="Z76" s="511"/>
      <c r="AA76" s="511"/>
      <c r="AB76" s="511"/>
      <c r="AC76" s="511"/>
      <c r="AD76" s="513"/>
      <c r="AF76" s="50"/>
    </row>
    <row r="77" spans="1:32" ht="33.75" customHeight="1">
      <c r="A77" s="522">
        <v>1</v>
      </c>
      <c r="B77" s="523"/>
      <c r="C77" s="121" t="s">
        <v>112</v>
      </c>
      <c r="D77" s="121"/>
      <c r="E77" s="65" t="s">
        <v>117</v>
      </c>
      <c r="F77" s="524" t="s">
        <v>116</v>
      </c>
      <c r="G77" s="525"/>
      <c r="H77" s="525"/>
      <c r="I77" s="525"/>
      <c r="J77" s="526"/>
      <c r="K77" s="527" t="s">
        <v>119</v>
      </c>
      <c r="L77" s="528"/>
      <c r="M77" s="528"/>
      <c r="N77" s="528"/>
      <c r="O77" s="528"/>
      <c r="P77" s="528"/>
      <c r="Q77" s="528"/>
      <c r="R77" s="528"/>
      <c r="S77" s="529"/>
      <c r="T77" s="530">
        <v>44118</v>
      </c>
      <c r="U77" s="531"/>
      <c r="V77" s="532"/>
      <c r="W77" s="532"/>
      <c r="X77" s="533"/>
      <c r="Y77" s="533"/>
      <c r="Z77" s="533"/>
      <c r="AA77" s="533"/>
      <c r="AB77" s="533"/>
      <c r="AC77" s="533"/>
      <c r="AD77" s="534"/>
      <c r="AF77" s="50"/>
    </row>
    <row r="78" spans="1:32" ht="30" customHeight="1">
      <c r="A78" s="514">
        <f>A77+1</f>
        <v>2</v>
      </c>
      <c r="B78" s="515"/>
      <c r="C78" s="120"/>
      <c r="D78" s="120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ref="A79:A83" si="19">A78+1</f>
        <v>3</v>
      </c>
      <c r="B79" s="515"/>
      <c r="C79" s="120"/>
      <c r="D79" s="120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9"/>
        <v>4</v>
      </c>
      <c r="B80" s="515"/>
      <c r="C80" s="120"/>
      <c r="D80" s="120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9"/>
        <v>5</v>
      </c>
      <c r="B81" s="515"/>
      <c r="C81" s="120"/>
      <c r="D81" s="120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6</v>
      </c>
      <c r="B82" s="515"/>
      <c r="C82" s="120"/>
      <c r="D82" s="120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7</v>
      </c>
      <c r="B83" s="515"/>
      <c r="C83" s="120"/>
      <c r="D83" s="120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6" thickBot="1">
      <c r="A84" s="507" t="s">
        <v>178</v>
      </c>
      <c r="B84" s="507"/>
      <c r="C84" s="507"/>
      <c r="D84" s="507"/>
      <c r="E84" s="50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8" t="s">
        <v>111</v>
      </c>
      <c r="B85" s="509"/>
      <c r="C85" s="535" t="s">
        <v>52</v>
      </c>
      <c r="D85" s="535"/>
      <c r="E85" s="535" t="s">
        <v>53</v>
      </c>
      <c r="F85" s="535"/>
      <c r="G85" s="535"/>
      <c r="H85" s="535"/>
      <c r="I85" s="535"/>
      <c r="J85" s="535"/>
      <c r="K85" s="535" t="s">
        <v>54</v>
      </c>
      <c r="L85" s="535"/>
      <c r="M85" s="535"/>
      <c r="N85" s="535"/>
      <c r="O85" s="535"/>
      <c r="P85" s="535"/>
      <c r="Q85" s="535"/>
      <c r="R85" s="535"/>
      <c r="S85" s="535"/>
      <c r="T85" s="535" t="s">
        <v>55</v>
      </c>
      <c r="U85" s="535"/>
      <c r="V85" s="535" t="s">
        <v>56</v>
      </c>
      <c r="W85" s="535"/>
      <c r="X85" s="535"/>
      <c r="Y85" s="535" t="s">
        <v>51</v>
      </c>
      <c r="Z85" s="535"/>
      <c r="AA85" s="535"/>
      <c r="AB85" s="535"/>
      <c r="AC85" s="535"/>
      <c r="AD85" s="536"/>
      <c r="AF85" s="50"/>
    </row>
    <row r="86" spans="1:32" ht="30.75" customHeight="1">
      <c r="A86" s="522">
        <v>1</v>
      </c>
      <c r="B86" s="523"/>
      <c r="C86" s="537"/>
      <c r="D86" s="537"/>
      <c r="E86" s="537"/>
      <c r="F86" s="537"/>
      <c r="G86" s="537"/>
      <c r="H86" s="537"/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7"/>
      <c r="V86" s="538"/>
      <c r="W86" s="538"/>
      <c r="X86" s="538"/>
      <c r="Y86" s="539"/>
      <c r="Z86" s="539"/>
      <c r="AA86" s="539"/>
      <c r="AB86" s="539"/>
      <c r="AC86" s="539"/>
      <c r="AD86" s="540"/>
      <c r="AF86" s="50"/>
    </row>
    <row r="87" spans="1:32" ht="30.75" customHeight="1">
      <c r="A87" s="514">
        <v>2</v>
      </c>
      <c r="B87" s="51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9"/>
      <c r="U87" s="549"/>
      <c r="V87" s="550"/>
      <c r="W87" s="550"/>
      <c r="X87" s="550"/>
      <c r="Y87" s="541"/>
      <c r="Z87" s="541"/>
      <c r="AA87" s="541"/>
      <c r="AB87" s="541"/>
      <c r="AC87" s="541"/>
      <c r="AD87" s="542"/>
      <c r="AF87" s="50"/>
    </row>
    <row r="88" spans="1:32" ht="30.75" customHeight="1" thickBot="1">
      <c r="A88" s="543">
        <v>3</v>
      </c>
      <c r="B88" s="544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6"/>
      <c r="Z88" s="546"/>
      <c r="AA88" s="546"/>
      <c r="AB88" s="546"/>
      <c r="AC88" s="546"/>
      <c r="AD88" s="547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CD2D-6FDB-44B9-B6F0-92F20567CF24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179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135" t="s">
        <v>17</v>
      </c>
      <c r="L5" s="135" t="s">
        <v>18</v>
      </c>
      <c r="M5" s="135" t="s">
        <v>19</v>
      </c>
      <c r="N5" s="13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0.30729166666666669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115</v>
      </c>
      <c r="E7" s="53" t="s">
        <v>155</v>
      </c>
      <c r="F7" s="12" t="s">
        <v>139</v>
      </c>
      <c r="G7" s="12">
        <v>1</v>
      </c>
      <c r="H7" s="13">
        <v>24</v>
      </c>
      <c r="I7" s="31">
        <v>18000</v>
      </c>
      <c r="J7" s="14">
        <v>2696</v>
      </c>
      <c r="K7" s="15">
        <f>L7+2592+4850+5792+5880</f>
        <v>21810</v>
      </c>
      <c r="L7" s="15">
        <v>2696</v>
      </c>
      <c r="M7" s="15">
        <f t="shared" si="0"/>
        <v>2696</v>
      </c>
      <c r="N7" s="15">
        <v>0</v>
      </c>
      <c r="O7" s="58">
        <f t="shared" si="1"/>
        <v>0</v>
      </c>
      <c r="P7" s="39">
        <f t="shared" si="2"/>
        <v>11</v>
      </c>
      <c r="Q7" s="40">
        <f t="shared" si="3"/>
        <v>13</v>
      </c>
      <c r="R7" s="7"/>
      <c r="S7" s="6"/>
      <c r="T7" s="16"/>
      <c r="U7" s="16"/>
      <c r="V7" s="17">
        <v>13</v>
      </c>
      <c r="W7" s="5"/>
      <c r="X7" s="16"/>
      <c r="Y7" s="16"/>
      <c r="Z7" s="16"/>
      <c r="AA7" s="18"/>
      <c r="AB7" s="8">
        <f t="shared" si="4"/>
        <v>1</v>
      </c>
      <c r="AC7" s="9">
        <f t="shared" si="5"/>
        <v>0.45833333333333331</v>
      </c>
      <c r="AD7" s="10">
        <f t="shared" si="6"/>
        <v>0.45833333333333331</v>
      </c>
      <c r="AE7" s="36">
        <f t="shared" si="7"/>
        <v>0.30729166666666669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115</v>
      </c>
      <c r="E8" s="53" t="s">
        <v>162</v>
      </c>
      <c r="F8" s="30" t="s">
        <v>142</v>
      </c>
      <c r="G8" s="33">
        <v>1</v>
      </c>
      <c r="H8" s="35">
        <v>24</v>
      </c>
      <c r="I8" s="7">
        <v>15000</v>
      </c>
      <c r="J8" s="5">
        <v>918</v>
      </c>
      <c r="K8" s="15">
        <f>L8+903+2672</f>
        <v>4493</v>
      </c>
      <c r="L8" s="15">
        <v>918</v>
      </c>
      <c r="M8" s="15">
        <f t="shared" si="0"/>
        <v>918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>
        <v>4</v>
      </c>
      <c r="T8" s="16"/>
      <c r="U8" s="16"/>
      <c r="V8" s="17">
        <v>13</v>
      </c>
      <c r="W8" s="5"/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6"/>
        <v>0.29166666666666669</v>
      </c>
      <c r="AE8" s="36">
        <f t="shared" si="7"/>
        <v>0.30729166666666669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2389</v>
      </c>
      <c r="K9" s="15">
        <f>L9+1344+2695+2818+1363+3398+4807+5146+5399+5363+4916+4752</f>
        <v>44390</v>
      </c>
      <c r="L9" s="15">
        <v>2389</v>
      </c>
      <c r="M9" s="15">
        <f t="shared" si="0"/>
        <v>2389</v>
      </c>
      <c r="N9" s="15">
        <v>0</v>
      </c>
      <c r="O9" s="58">
        <f t="shared" si="1"/>
        <v>0</v>
      </c>
      <c r="P9" s="39">
        <f t="shared" si="2"/>
        <v>11</v>
      </c>
      <c r="Q9" s="40">
        <f t="shared" si="3"/>
        <v>13</v>
      </c>
      <c r="R9" s="7"/>
      <c r="S9" s="6"/>
      <c r="T9" s="16"/>
      <c r="U9" s="16"/>
      <c r="V9" s="17">
        <v>13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0.45833333333333331</v>
      </c>
      <c r="AD9" s="10">
        <f t="shared" si="6"/>
        <v>0.45833333333333331</v>
      </c>
      <c r="AE9" s="36">
        <f t="shared" si="7"/>
        <v>0.30729166666666669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137</v>
      </c>
      <c r="E10" s="53" t="s">
        <v>166</v>
      </c>
      <c r="F10" s="30" t="s">
        <v>133</v>
      </c>
      <c r="G10" s="33">
        <v>1</v>
      </c>
      <c r="H10" s="35">
        <v>24</v>
      </c>
      <c r="I10" s="7">
        <v>1000</v>
      </c>
      <c r="J10" s="14">
        <v>1630</v>
      </c>
      <c r="K10" s="15">
        <f>L10+3458</f>
        <v>5088</v>
      </c>
      <c r="L10" s="15">
        <v>1630</v>
      </c>
      <c r="M10" s="15">
        <f t="shared" si="0"/>
        <v>1630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>
        <v>1</v>
      </c>
      <c r="T10" s="16"/>
      <c r="U10" s="16"/>
      <c r="V10" s="17">
        <v>13</v>
      </c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6">
        <f t="shared" si="7"/>
        <v>0.30729166666666669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145</v>
      </c>
      <c r="F11" s="30" t="s">
        <v>146</v>
      </c>
      <c r="G11" s="33">
        <v>1</v>
      </c>
      <c r="H11" s="35">
        <v>24</v>
      </c>
      <c r="I11" s="7">
        <v>54000</v>
      </c>
      <c r="J11" s="14">
        <v>2598</v>
      </c>
      <c r="K11" s="15">
        <f>L11+5150+4152+4675+5715</f>
        <v>22290</v>
      </c>
      <c r="L11" s="15">
        <v>2598</v>
      </c>
      <c r="M11" s="15">
        <f t="shared" si="0"/>
        <v>2598</v>
      </c>
      <c r="N11" s="15">
        <v>0</v>
      </c>
      <c r="O11" s="58">
        <f t="shared" si="1"/>
        <v>0</v>
      </c>
      <c r="P11" s="39">
        <f t="shared" si="2"/>
        <v>11</v>
      </c>
      <c r="Q11" s="40">
        <f t="shared" si="3"/>
        <v>13</v>
      </c>
      <c r="R11" s="7"/>
      <c r="S11" s="6"/>
      <c r="T11" s="16"/>
      <c r="U11" s="16"/>
      <c r="V11" s="17">
        <v>13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0.45833333333333331</v>
      </c>
      <c r="AD11" s="10">
        <f t="shared" si="6"/>
        <v>0.45833333333333331</v>
      </c>
      <c r="AE11" s="36">
        <f t="shared" si="7"/>
        <v>0.30729166666666669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136</v>
      </c>
      <c r="F12" s="30" t="s">
        <v>130</v>
      </c>
      <c r="G12" s="12">
        <v>1</v>
      </c>
      <c r="H12" s="13">
        <v>22</v>
      </c>
      <c r="I12" s="31">
        <v>76000</v>
      </c>
      <c r="J12" s="5">
        <v>2453</v>
      </c>
      <c r="K12" s="15">
        <f>L12+5135+5549+5689+5232+5555+942+4639+4634</f>
        <v>39828</v>
      </c>
      <c r="L12" s="15">
        <v>2453</v>
      </c>
      <c r="M12" s="15">
        <f t="shared" si="0"/>
        <v>2453</v>
      </c>
      <c r="N12" s="15">
        <v>0</v>
      </c>
      <c r="O12" s="58">
        <f t="shared" si="1"/>
        <v>0</v>
      </c>
      <c r="P12" s="39">
        <f t="shared" si="2"/>
        <v>11</v>
      </c>
      <c r="Q12" s="40">
        <f t="shared" si="3"/>
        <v>13</v>
      </c>
      <c r="R12" s="7"/>
      <c r="S12" s="6"/>
      <c r="T12" s="16"/>
      <c r="U12" s="16"/>
      <c r="V12" s="17">
        <v>13</v>
      </c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0.45833333333333331</v>
      </c>
      <c r="AD12" s="10">
        <f t="shared" si="6"/>
        <v>0.45833333333333331</v>
      </c>
      <c r="AE12" s="36">
        <f t="shared" si="7"/>
        <v>0.30729166666666669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140</v>
      </c>
      <c r="E13" s="53" t="s">
        <v>163</v>
      </c>
      <c r="F13" s="30" t="s">
        <v>146</v>
      </c>
      <c r="G13" s="33">
        <v>1</v>
      </c>
      <c r="H13" s="35">
        <v>24</v>
      </c>
      <c r="I13" s="7">
        <v>15000</v>
      </c>
      <c r="J13" s="14">
        <v>1908</v>
      </c>
      <c r="K13" s="15">
        <f>L13+2321+4109</f>
        <v>8338</v>
      </c>
      <c r="L13" s="15">
        <v>1908</v>
      </c>
      <c r="M13" s="15">
        <f t="shared" si="0"/>
        <v>1908</v>
      </c>
      <c r="N13" s="15">
        <v>0</v>
      </c>
      <c r="O13" s="58">
        <f t="shared" si="1"/>
        <v>0</v>
      </c>
      <c r="P13" s="39">
        <f t="shared" si="2"/>
        <v>9</v>
      </c>
      <c r="Q13" s="40">
        <f t="shared" si="3"/>
        <v>15</v>
      </c>
      <c r="R13" s="7"/>
      <c r="S13" s="6">
        <v>2</v>
      </c>
      <c r="T13" s="16"/>
      <c r="U13" s="16"/>
      <c r="V13" s="17">
        <v>13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0.375</v>
      </c>
      <c r="AD13" s="10">
        <f t="shared" si="6"/>
        <v>0.375</v>
      </c>
      <c r="AE13" s="36">
        <f t="shared" si="7"/>
        <v>0.30729166666666669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164</v>
      </c>
      <c r="F14" s="30" t="s">
        <v>159</v>
      </c>
      <c r="G14" s="33">
        <v>1</v>
      </c>
      <c r="H14" s="35">
        <v>50</v>
      </c>
      <c r="I14" s="7">
        <v>100</v>
      </c>
      <c r="J14" s="5">
        <v>926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0.30729166666666669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160</v>
      </c>
      <c r="F15" s="12" t="s">
        <v>129</v>
      </c>
      <c r="G15" s="12">
        <v>1</v>
      </c>
      <c r="H15" s="13">
        <v>24</v>
      </c>
      <c r="I15" s="31">
        <v>900</v>
      </c>
      <c r="J15" s="14">
        <v>1015</v>
      </c>
      <c r="K15" s="15">
        <f>L15+1015</f>
        <v>1015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0.30729166666666669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137</v>
      </c>
      <c r="E16" s="53" t="s">
        <v>141</v>
      </c>
      <c r="F16" s="30" t="s">
        <v>133</v>
      </c>
      <c r="G16" s="12">
        <v>2</v>
      </c>
      <c r="H16" s="13">
        <v>24</v>
      </c>
      <c r="I16" s="7">
        <v>150000</v>
      </c>
      <c r="J16" s="14">
        <v>8016</v>
      </c>
      <c r="K16" s="15">
        <f>L16+3140+8796+9536+5660+12138+18972+18052+19140+19144+19176+19102</f>
        <v>160872</v>
      </c>
      <c r="L16" s="15">
        <f>4008*2</f>
        <v>8016</v>
      </c>
      <c r="M16" s="15">
        <f t="shared" si="0"/>
        <v>8016</v>
      </c>
      <c r="N16" s="15">
        <v>0</v>
      </c>
      <c r="O16" s="58">
        <f t="shared" si="1"/>
        <v>0</v>
      </c>
      <c r="P16" s="39">
        <f t="shared" si="2"/>
        <v>11</v>
      </c>
      <c r="Q16" s="40">
        <f t="shared" si="3"/>
        <v>13</v>
      </c>
      <c r="R16" s="7"/>
      <c r="S16" s="6"/>
      <c r="T16" s="16"/>
      <c r="U16" s="16"/>
      <c r="V16" s="17">
        <v>13</v>
      </c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0.45833333333333331</v>
      </c>
      <c r="AD16" s="10">
        <f t="shared" si="6"/>
        <v>0.45833333333333331</v>
      </c>
      <c r="AE16" s="36">
        <f t="shared" si="7"/>
        <v>0.30729166666666669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118</v>
      </c>
      <c r="D17" s="52" t="s">
        <v>137</v>
      </c>
      <c r="E17" s="53" t="s">
        <v>152</v>
      </c>
      <c r="F17" s="30" t="s">
        <v>144</v>
      </c>
      <c r="G17" s="12">
        <v>2</v>
      </c>
      <c r="H17" s="13">
        <v>24</v>
      </c>
      <c r="I17" s="7">
        <v>36000</v>
      </c>
      <c r="J17" s="14">
        <v>2536</v>
      </c>
      <c r="K17" s="15">
        <f>L17+9540+12128+11892</f>
        <v>36096</v>
      </c>
      <c r="L17" s="15">
        <f>1268*2</f>
        <v>2536</v>
      </c>
      <c r="M17" s="15">
        <f t="shared" si="0"/>
        <v>2536</v>
      </c>
      <c r="N17" s="15">
        <v>0</v>
      </c>
      <c r="O17" s="58">
        <f t="shared" si="1"/>
        <v>0</v>
      </c>
      <c r="P17" s="39">
        <f t="shared" si="2"/>
        <v>6</v>
      </c>
      <c r="Q17" s="40">
        <f t="shared" si="3"/>
        <v>18</v>
      </c>
      <c r="R17" s="7"/>
      <c r="S17" s="6">
        <v>5</v>
      </c>
      <c r="T17" s="16"/>
      <c r="U17" s="16"/>
      <c r="V17" s="17">
        <v>13</v>
      </c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0.25</v>
      </c>
      <c r="AD17" s="10">
        <f t="shared" si="6"/>
        <v>0.25</v>
      </c>
      <c r="AE17" s="36">
        <f t="shared" si="7"/>
        <v>0.30729166666666669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161</v>
      </c>
      <c r="F18" s="30" t="s">
        <v>142</v>
      </c>
      <c r="G18" s="33">
        <v>1</v>
      </c>
      <c r="H18" s="35">
        <v>24</v>
      </c>
      <c r="I18" s="7">
        <v>95000</v>
      </c>
      <c r="J18" s="14">
        <v>2414</v>
      </c>
      <c r="K18" s="15">
        <f>L18+4864+5380+5368</f>
        <v>18026</v>
      </c>
      <c r="L18" s="15">
        <f>2414</f>
        <v>2414</v>
      </c>
      <c r="M18" s="15">
        <f t="shared" si="0"/>
        <v>2414</v>
      </c>
      <c r="N18" s="15">
        <v>0</v>
      </c>
      <c r="O18" s="58">
        <f t="shared" si="1"/>
        <v>0</v>
      </c>
      <c r="P18" s="39">
        <f t="shared" si="2"/>
        <v>11</v>
      </c>
      <c r="Q18" s="40">
        <f t="shared" si="3"/>
        <v>13</v>
      </c>
      <c r="R18" s="7"/>
      <c r="S18" s="6"/>
      <c r="T18" s="16"/>
      <c r="U18" s="16"/>
      <c r="V18" s="17">
        <v>13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0.45833333333333331</v>
      </c>
      <c r="AD18" s="10">
        <f t="shared" si="6"/>
        <v>0.45833333333333331</v>
      </c>
      <c r="AE18" s="36">
        <f t="shared" si="7"/>
        <v>0.30729166666666669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132</v>
      </c>
      <c r="E19" s="53" t="s">
        <v>156</v>
      </c>
      <c r="F19" s="30" t="s">
        <v>130</v>
      </c>
      <c r="G19" s="33">
        <v>1</v>
      </c>
      <c r="H19" s="35">
        <v>24</v>
      </c>
      <c r="I19" s="7">
        <v>18000</v>
      </c>
      <c r="J19" s="14">
        <v>2619</v>
      </c>
      <c r="K19" s="15">
        <f>L19+2379+5680</f>
        <v>10678</v>
      </c>
      <c r="L19" s="15">
        <v>2619</v>
      </c>
      <c r="M19" s="15">
        <f t="shared" si="0"/>
        <v>2619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/>
      <c r="T19" s="16"/>
      <c r="U19" s="16"/>
      <c r="V19" s="17">
        <v>13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 t="shared" si="7"/>
        <v>0.30729166666666669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130000</v>
      </c>
      <c r="J20" s="14">
        <v>1830</v>
      </c>
      <c r="K20" s="15">
        <f>L20+582+5215+5575+2206+3456+4708+4157+4736+5643</f>
        <v>38108</v>
      </c>
      <c r="L20" s="15">
        <v>1830</v>
      </c>
      <c r="M20" s="15">
        <f t="shared" si="0"/>
        <v>1830</v>
      </c>
      <c r="N20" s="15">
        <v>0</v>
      </c>
      <c r="O20" s="58">
        <f t="shared" si="1"/>
        <v>0</v>
      </c>
      <c r="P20" s="39">
        <f t="shared" si="2"/>
        <v>9</v>
      </c>
      <c r="Q20" s="40">
        <f t="shared" si="3"/>
        <v>15</v>
      </c>
      <c r="R20" s="7"/>
      <c r="S20" s="6">
        <v>2</v>
      </c>
      <c r="T20" s="16"/>
      <c r="U20" s="16"/>
      <c r="V20" s="17">
        <v>13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0.375</v>
      </c>
      <c r="AD20" s="10">
        <f t="shared" si="6"/>
        <v>0.375</v>
      </c>
      <c r="AE20" s="36">
        <f t="shared" si="7"/>
        <v>0.30729166666666669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157</v>
      </c>
      <c r="F21" s="12" t="s">
        <v>114</v>
      </c>
      <c r="G21" s="12">
        <v>4</v>
      </c>
      <c r="H21" s="35">
        <v>20</v>
      </c>
      <c r="I21" s="7">
        <v>2000000</v>
      </c>
      <c r="J21" s="14">
        <v>69704</v>
      </c>
      <c r="K21" s="15">
        <f>L21+63388+69392+28968+33256+34460+34384+70208+69780+63952+70200+69756+69704</f>
        <v>677448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>
        <v>24</v>
      </c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0.30729166666666669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2687000</v>
      </c>
      <c r="J22" s="19">
        <f t="shared" si="9"/>
        <v>107053</v>
      </c>
      <c r="K22" s="20">
        <f t="shared" si="9"/>
        <v>1095073</v>
      </c>
      <c r="L22" s="21">
        <f t="shared" si="9"/>
        <v>32007</v>
      </c>
      <c r="M22" s="20">
        <f t="shared" si="9"/>
        <v>32007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118</v>
      </c>
      <c r="Q22" s="43">
        <f t="shared" si="10"/>
        <v>266</v>
      </c>
      <c r="R22" s="23">
        <f t="shared" si="10"/>
        <v>0</v>
      </c>
      <c r="S22" s="24">
        <f t="shared" si="10"/>
        <v>38</v>
      </c>
      <c r="T22" s="24">
        <f t="shared" si="10"/>
        <v>0</v>
      </c>
      <c r="U22" s="24">
        <f t="shared" si="10"/>
        <v>0</v>
      </c>
      <c r="V22" s="25">
        <f t="shared" si="10"/>
        <v>228</v>
      </c>
      <c r="W22" s="26">
        <f t="shared" si="10"/>
        <v>0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0.75</v>
      </c>
      <c r="AC22" s="4">
        <f>AVERAGE(AC6:AC21)</f>
        <v>0.30729166666666669</v>
      </c>
      <c r="AD22" s="4">
        <f>AVERAGE(AD6:AD21)</f>
        <v>0.30729166666666669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180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185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136" t="s">
        <v>46</v>
      </c>
      <c r="D51" s="136" t="s">
        <v>47</v>
      </c>
      <c r="E51" s="136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136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70" t="s">
        <v>118</v>
      </c>
      <c r="B52" s="471"/>
      <c r="C52" s="137" t="s">
        <v>131</v>
      </c>
      <c r="D52" s="137" t="s">
        <v>115</v>
      </c>
      <c r="E52" s="138" t="s">
        <v>162</v>
      </c>
      <c r="F52" s="472" t="s">
        <v>165</v>
      </c>
      <c r="G52" s="473"/>
      <c r="H52" s="473"/>
      <c r="I52" s="473"/>
      <c r="J52" s="473"/>
      <c r="K52" s="473"/>
      <c r="L52" s="473"/>
      <c r="M52" s="474"/>
      <c r="N52" s="141" t="s">
        <v>118</v>
      </c>
      <c r="O52" s="144" t="s">
        <v>131</v>
      </c>
      <c r="P52" s="475" t="s">
        <v>115</v>
      </c>
      <c r="Q52" s="476"/>
      <c r="R52" s="475" t="s">
        <v>162</v>
      </c>
      <c r="S52" s="477"/>
      <c r="T52" s="477"/>
      <c r="U52" s="476"/>
      <c r="V52" s="478" t="s">
        <v>124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70" t="s">
        <v>118</v>
      </c>
      <c r="B53" s="471"/>
      <c r="C53" s="137" t="s">
        <v>171</v>
      </c>
      <c r="D53" s="137" t="s">
        <v>137</v>
      </c>
      <c r="E53" s="138" t="s">
        <v>166</v>
      </c>
      <c r="F53" s="472" t="s">
        <v>181</v>
      </c>
      <c r="G53" s="473"/>
      <c r="H53" s="473"/>
      <c r="I53" s="473"/>
      <c r="J53" s="473"/>
      <c r="K53" s="473"/>
      <c r="L53" s="473"/>
      <c r="M53" s="474"/>
      <c r="N53" s="141" t="s">
        <v>188</v>
      </c>
      <c r="O53" s="144" t="s">
        <v>171</v>
      </c>
      <c r="P53" s="475" t="s">
        <v>189</v>
      </c>
      <c r="Q53" s="476"/>
      <c r="R53" s="475" t="s">
        <v>186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118</v>
      </c>
      <c r="B54" s="481"/>
      <c r="C54" s="138" t="s">
        <v>128</v>
      </c>
      <c r="D54" s="138" t="s">
        <v>143</v>
      </c>
      <c r="E54" s="138" t="s">
        <v>163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141"/>
      <c r="O54" s="144"/>
      <c r="P54" s="475"/>
      <c r="Q54" s="476"/>
      <c r="R54" s="475"/>
      <c r="S54" s="477"/>
      <c r="T54" s="477"/>
      <c r="U54" s="476"/>
      <c r="V54" s="478"/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112</v>
      </c>
      <c r="B55" s="481"/>
      <c r="C55" s="138" t="s">
        <v>182</v>
      </c>
      <c r="D55" s="138" t="s">
        <v>115</v>
      </c>
      <c r="E55" s="138" t="s">
        <v>148</v>
      </c>
      <c r="F55" s="472" t="s">
        <v>183</v>
      </c>
      <c r="G55" s="473"/>
      <c r="H55" s="473"/>
      <c r="I55" s="473"/>
      <c r="J55" s="473"/>
      <c r="K55" s="473"/>
      <c r="L55" s="473"/>
      <c r="M55" s="474"/>
      <c r="N55" s="141"/>
      <c r="O55" s="144"/>
      <c r="P55" s="475"/>
      <c r="Q55" s="476"/>
      <c r="R55" s="475"/>
      <c r="S55" s="477"/>
      <c r="T55" s="477"/>
      <c r="U55" s="476"/>
      <c r="V55" s="478"/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70" t="s">
        <v>118</v>
      </c>
      <c r="B56" s="471"/>
      <c r="C56" s="137" t="s">
        <v>184</v>
      </c>
      <c r="D56" s="137" t="s">
        <v>137</v>
      </c>
      <c r="E56" s="138" t="s">
        <v>152</v>
      </c>
      <c r="F56" s="472" t="s">
        <v>183</v>
      </c>
      <c r="G56" s="473"/>
      <c r="H56" s="473"/>
      <c r="I56" s="473"/>
      <c r="J56" s="473"/>
      <c r="K56" s="473"/>
      <c r="L56" s="473"/>
      <c r="M56" s="474"/>
      <c r="N56" s="141"/>
      <c r="O56" s="144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70"/>
      <c r="B57" s="471"/>
      <c r="C57" s="137"/>
      <c r="D57" s="137"/>
      <c r="E57" s="138"/>
      <c r="F57" s="472"/>
      <c r="G57" s="473"/>
      <c r="H57" s="473"/>
      <c r="I57" s="473"/>
      <c r="J57" s="473"/>
      <c r="K57" s="473"/>
      <c r="L57" s="473"/>
      <c r="M57" s="474"/>
      <c r="N57" s="141"/>
      <c r="O57" s="144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/>
      <c r="B58" s="471"/>
      <c r="C58" s="137"/>
      <c r="D58" s="137"/>
      <c r="E58" s="138"/>
      <c r="F58" s="472"/>
      <c r="G58" s="473"/>
      <c r="H58" s="473"/>
      <c r="I58" s="473"/>
      <c r="J58" s="473"/>
      <c r="K58" s="473"/>
      <c r="L58" s="473"/>
      <c r="M58" s="474"/>
      <c r="N58" s="141"/>
      <c r="O58" s="144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138"/>
      <c r="D59" s="138"/>
      <c r="E59" s="138"/>
      <c r="F59" s="472"/>
      <c r="G59" s="473"/>
      <c r="H59" s="473"/>
      <c r="I59" s="473"/>
      <c r="J59" s="473"/>
      <c r="K59" s="473"/>
      <c r="L59" s="473"/>
      <c r="M59" s="474"/>
      <c r="N59" s="141"/>
      <c r="O59" s="144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137"/>
      <c r="D60" s="137"/>
      <c r="E60" s="138"/>
      <c r="F60" s="472"/>
      <c r="G60" s="473"/>
      <c r="H60" s="473"/>
      <c r="I60" s="473"/>
      <c r="J60" s="473"/>
      <c r="K60" s="473"/>
      <c r="L60" s="473"/>
      <c r="M60" s="474"/>
      <c r="N60" s="141"/>
      <c r="O60" s="144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139"/>
      <c r="D61" s="140"/>
      <c r="E61" s="140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190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142" t="s">
        <v>2</v>
      </c>
      <c r="D63" s="142" t="s">
        <v>37</v>
      </c>
      <c r="E63" s="142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142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146"/>
      <c r="E64" s="143" t="s">
        <v>154</v>
      </c>
      <c r="F64" s="499" t="s">
        <v>153</v>
      </c>
      <c r="G64" s="500"/>
      <c r="H64" s="500"/>
      <c r="I64" s="500"/>
      <c r="J64" s="501"/>
      <c r="K64" s="502" t="s">
        <v>134</v>
      </c>
      <c r="L64" s="502"/>
      <c r="M64" s="51" t="s">
        <v>191</v>
      </c>
      <c r="N64" s="503" t="s">
        <v>192</v>
      </c>
      <c r="O64" s="503"/>
      <c r="P64" s="504">
        <v>200</v>
      </c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/>
      <c r="D65" s="146"/>
      <c r="E65" s="143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/>
      <c r="D66" s="146"/>
      <c r="E66" s="143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/>
      <c r="D67" s="146"/>
      <c r="E67" s="143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/>
      <c r="D68" s="146"/>
      <c r="E68" s="143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/>
      <c r="D69" s="146"/>
      <c r="E69" s="143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146"/>
      <c r="E70" s="143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146"/>
      <c r="E71" s="143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146"/>
      <c r="E72" s="143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146"/>
      <c r="E73" s="143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193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145" t="s">
        <v>2</v>
      </c>
      <c r="D75" s="145" t="s">
        <v>37</v>
      </c>
      <c r="E75" s="145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147" t="s">
        <v>112</v>
      </c>
      <c r="D76" s="147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146"/>
      <c r="D77" s="146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146"/>
      <c r="D78" s="146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146"/>
      <c r="D79" s="146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146"/>
      <c r="D80" s="146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146"/>
      <c r="D81" s="146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146"/>
      <c r="D82" s="146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194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143B-C6CB-4351-B7D2-6DA1E834BD76}">
  <dimension ref="A1:AF90"/>
  <sheetViews>
    <sheetView view="pageBreakPreview" zoomScale="70" zoomScaleNormal="72" zoomScaleSheetLayoutView="70" workbookViewId="0">
      <selection activeCell="L16" sqref="L1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195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160" t="s">
        <v>17</v>
      </c>
      <c r="L5" s="160" t="s">
        <v>18</v>
      </c>
      <c r="M5" s="160" t="s">
        <v>19</v>
      </c>
      <c r="N5" s="16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4" si="0">L6-N6</f>
        <v>0</v>
      </c>
      <c r="N6" s="15">
        <v>0</v>
      </c>
      <c r="O6" s="58" t="str">
        <f t="shared" ref="O6:O25" si="1">IF(L6=0,"0",N6/L6)</f>
        <v>0</v>
      </c>
      <c r="P6" s="39" t="str">
        <f t="shared" ref="P6:P24" si="2">IF(L6=0,"0",(24-Q6))</f>
        <v>0</v>
      </c>
      <c r="Q6" s="40">
        <f t="shared" ref="Q6:Q24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4" si="4">IF(J6=0,"0",(L6/J6))</f>
        <v>0</v>
      </c>
      <c r="AC6" s="9">
        <f t="shared" ref="AC6:AC24" si="5">IF(P6=0,"0",(P6/24))</f>
        <v>0</v>
      </c>
      <c r="AD6" s="10">
        <f t="shared" ref="AD6:AD24" si="6">AC6*AB6*(1-O6)</f>
        <v>0</v>
      </c>
      <c r="AE6" s="36">
        <f t="shared" ref="AE6:AE24" si="7">$AD$25</f>
        <v>0.55921052631578949</v>
      </c>
      <c r="AF6" s="84">
        <f t="shared" ref="AF6:AF24" si="8">A6</f>
        <v>1</v>
      </c>
    </row>
    <row r="7" spans="1:32" ht="27" customHeight="1">
      <c r="A7" s="112">
        <v>2</v>
      </c>
      <c r="B7" s="11" t="s">
        <v>57</v>
      </c>
      <c r="C7" s="34" t="s">
        <v>118</v>
      </c>
      <c r="D7" s="52" t="s">
        <v>115</v>
      </c>
      <c r="E7" s="53" t="s">
        <v>155</v>
      </c>
      <c r="F7" s="12" t="s">
        <v>139</v>
      </c>
      <c r="G7" s="12">
        <v>1</v>
      </c>
      <c r="H7" s="13">
        <v>24</v>
      </c>
      <c r="I7" s="31">
        <v>18000</v>
      </c>
      <c r="J7" s="14">
        <v>1461</v>
      </c>
      <c r="K7" s="15">
        <f>L7+2592+4850+5792+5880+2696</f>
        <v>23271</v>
      </c>
      <c r="L7" s="15">
        <v>1461</v>
      </c>
      <c r="M7" s="15">
        <f t="shared" si="0"/>
        <v>1461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/>
      <c r="T7" s="16"/>
      <c r="U7" s="16"/>
      <c r="V7" s="17"/>
      <c r="W7" s="5">
        <v>18</v>
      </c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 t="shared" si="7"/>
        <v>0.55921052631578949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112</v>
      </c>
      <c r="D8" s="52" t="s">
        <v>154</v>
      </c>
      <c r="E8" s="53" t="s">
        <v>196</v>
      </c>
      <c r="F8" s="12" t="s">
        <v>134</v>
      </c>
      <c r="G8" s="12">
        <v>1</v>
      </c>
      <c r="H8" s="13">
        <v>24</v>
      </c>
      <c r="I8" s="31">
        <v>130</v>
      </c>
      <c r="J8" s="14">
        <v>130</v>
      </c>
      <c r="K8" s="15">
        <f>L8</f>
        <v>130</v>
      </c>
      <c r="L8" s="15">
        <v>130</v>
      </c>
      <c r="M8" s="15">
        <f t="shared" ref="M8" si="9">L8-N8</f>
        <v>130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2</v>
      </c>
      <c r="Q8" s="40">
        <f t="shared" ref="Q8" si="12">SUM(R8:AA8)</f>
        <v>22</v>
      </c>
      <c r="R8" s="7"/>
      <c r="S8" s="6"/>
      <c r="T8" s="16"/>
      <c r="U8" s="16"/>
      <c r="V8" s="17"/>
      <c r="W8" s="5">
        <v>22</v>
      </c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8.3333333333333329E-2</v>
      </c>
      <c r="AD8" s="10">
        <f t="shared" ref="AD8" si="15">AC8*AB8*(1-O8)</f>
        <v>8.3333333333333329E-2</v>
      </c>
      <c r="AE8" s="36">
        <f t="shared" si="7"/>
        <v>0.55921052631578949</v>
      </c>
      <c r="AF8" s="84">
        <f t="shared" ref="AF8" si="16">A8</f>
        <v>2</v>
      </c>
    </row>
    <row r="9" spans="1:32" ht="27" customHeight="1">
      <c r="A9" s="96">
        <v>3</v>
      </c>
      <c r="B9" s="11" t="s">
        <v>57</v>
      </c>
      <c r="C9" s="34" t="s">
        <v>118</v>
      </c>
      <c r="D9" s="52" t="s">
        <v>115</v>
      </c>
      <c r="E9" s="53" t="s">
        <v>162</v>
      </c>
      <c r="F9" s="30" t="s">
        <v>142</v>
      </c>
      <c r="G9" s="33">
        <v>1</v>
      </c>
      <c r="H9" s="35">
        <v>24</v>
      </c>
      <c r="I9" s="7">
        <v>15000</v>
      </c>
      <c r="J9" s="5">
        <v>2251</v>
      </c>
      <c r="K9" s="15">
        <f>L9+903+2672+918</f>
        <v>6744</v>
      </c>
      <c r="L9" s="15">
        <f>2251</f>
        <v>2251</v>
      </c>
      <c r="M9" s="15">
        <f t="shared" si="0"/>
        <v>2251</v>
      </c>
      <c r="N9" s="15">
        <v>0</v>
      </c>
      <c r="O9" s="58">
        <f t="shared" si="1"/>
        <v>0</v>
      </c>
      <c r="P9" s="39">
        <f t="shared" si="2"/>
        <v>10</v>
      </c>
      <c r="Q9" s="40">
        <f t="shared" si="3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6">
        <f t="shared" si="7"/>
        <v>0.55921052631578949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140</v>
      </c>
      <c r="E10" s="53" t="s">
        <v>138</v>
      </c>
      <c r="F10" s="30" t="s">
        <v>135</v>
      </c>
      <c r="G10" s="12">
        <v>1</v>
      </c>
      <c r="H10" s="13">
        <v>24</v>
      </c>
      <c r="I10" s="7">
        <v>65000</v>
      </c>
      <c r="J10" s="14">
        <v>5076</v>
      </c>
      <c r="K10" s="15">
        <f>L10+1344+2695+2818+1363+3398+4807+5146+5399+5363+4916+4752+2389</f>
        <v>49466</v>
      </c>
      <c r="L10" s="15">
        <f>2430+2646</f>
        <v>5076</v>
      </c>
      <c r="M10" s="15">
        <f t="shared" si="0"/>
        <v>5076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0.55921052631578949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188</v>
      </c>
      <c r="D11" s="52" t="s">
        <v>189</v>
      </c>
      <c r="E11" s="53" t="s">
        <v>186</v>
      </c>
      <c r="F11" s="30" t="s">
        <v>197</v>
      </c>
      <c r="G11" s="33">
        <v>2</v>
      </c>
      <c r="H11" s="35">
        <v>24</v>
      </c>
      <c r="I11" s="7">
        <v>30000</v>
      </c>
      <c r="J11" s="14">
        <v>11988</v>
      </c>
      <c r="K11" s="15">
        <f>L11</f>
        <v>11988</v>
      </c>
      <c r="L11" s="15">
        <f>3193*2+2801*2</f>
        <v>11988</v>
      </c>
      <c r="M11" s="15">
        <f t="shared" si="0"/>
        <v>11988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0.55921052631578949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140</v>
      </c>
      <c r="E12" s="53" t="s">
        <v>145</v>
      </c>
      <c r="F12" s="30" t="s">
        <v>146</v>
      </c>
      <c r="G12" s="33">
        <v>1</v>
      </c>
      <c r="H12" s="35">
        <v>24</v>
      </c>
      <c r="I12" s="7">
        <v>54000</v>
      </c>
      <c r="J12" s="14">
        <v>5455</v>
      </c>
      <c r="K12" s="15">
        <f>L12+5150+4152+4675+5715+2598</f>
        <v>27745</v>
      </c>
      <c r="L12" s="15">
        <f>2861+2594</f>
        <v>5455</v>
      </c>
      <c r="M12" s="15">
        <f t="shared" si="0"/>
        <v>5455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0.55921052631578949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136</v>
      </c>
      <c r="F13" s="30" t="s">
        <v>130</v>
      </c>
      <c r="G13" s="12">
        <v>1</v>
      </c>
      <c r="H13" s="13">
        <v>22</v>
      </c>
      <c r="I13" s="31">
        <v>76000</v>
      </c>
      <c r="J13" s="5">
        <v>5366</v>
      </c>
      <c r="K13" s="15">
        <f>L13+5135+5549+5689+5232+5555+942+4639+4634+2453</f>
        <v>45194</v>
      </c>
      <c r="L13" s="15">
        <f>2631+2735</f>
        <v>5366</v>
      </c>
      <c r="M13" s="15">
        <f t="shared" si="0"/>
        <v>5366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0.55921052631578949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118</v>
      </c>
      <c r="D14" s="52" t="s">
        <v>140</v>
      </c>
      <c r="E14" s="53" t="s">
        <v>163</v>
      </c>
      <c r="F14" s="30" t="s">
        <v>146</v>
      </c>
      <c r="G14" s="33">
        <v>1</v>
      </c>
      <c r="H14" s="35">
        <v>24</v>
      </c>
      <c r="I14" s="7">
        <v>15000</v>
      </c>
      <c r="J14" s="14">
        <v>5229</v>
      </c>
      <c r="K14" s="15">
        <f>L14+2321+4109+1908</f>
        <v>13567</v>
      </c>
      <c r="L14" s="15">
        <f>2809+2420</f>
        <v>5229</v>
      </c>
      <c r="M14" s="15">
        <f t="shared" si="0"/>
        <v>5229</v>
      </c>
      <c r="N14" s="15">
        <v>0</v>
      </c>
      <c r="O14" s="58">
        <f t="shared" si="1"/>
        <v>0</v>
      </c>
      <c r="P14" s="39">
        <f t="shared" si="2"/>
        <v>22</v>
      </c>
      <c r="Q14" s="40">
        <f t="shared" si="3"/>
        <v>2</v>
      </c>
      <c r="R14" s="7"/>
      <c r="S14" s="6">
        <v>2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0.91666666666666663</v>
      </c>
      <c r="AD14" s="10">
        <f t="shared" si="6"/>
        <v>0.91666666666666663</v>
      </c>
      <c r="AE14" s="36">
        <f t="shared" si="7"/>
        <v>0.55921052631578949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158</v>
      </c>
      <c r="D15" s="52" t="s">
        <v>115</v>
      </c>
      <c r="E15" s="53" t="s">
        <v>164</v>
      </c>
      <c r="F15" s="30" t="s">
        <v>159</v>
      </c>
      <c r="G15" s="33">
        <v>1</v>
      </c>
      <c r="H15" s="35">
        <v>50</v>
      </c>
      <c r="I15" s="7">
        <v>100</v>
      </c>
      <c r="J15" s="5">
        <v>926</v>
      </c>
      <c r="K15" s="15">
        <f>L15</f>
        <v>0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0.55921052631578949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/>
      <c r="E16" s="53" t="s">
        <v>160</v>
      </c>
      <c r="F16" s="12" t="s">
        <v>129</v>
      </c>
      <c r="G16" s="12">
        <v>1</v>
      </c>
      <c r="H16" s="13">
        <v>24</v>
      </c>
      <c r="I16" s="31">
        <v>900</v>
      </c>
      <c r="J16" s="14">
        <v>1015</v>
      </c>
      <c r="K16" s="15">
        <f>L16+1015</f>
        <v>1015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0.55921052631578949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112</v>
      </c>
      <c r="D17" s="52" t="s">
        <v>115</v>
      </c>
      <c r="E17" s="53" t="s">
        <v>198</v>
      </c>
      <c r="F17" s="30" t="s">
        <v>133</v>
      </c>
      <c r="G17" s="12">
        <v>1</v>
      </c>
      <c r="H17" s="13">
        <v>24</v>
      </c>
      <c r="I17" s="7">
        <v>480</v>
      </c>
      <c r="J17" s="14">
        <v>480</v>
      </c>
      <c r="K17" s="15">
        <f>L17</f>
        <v>480</v>
      </c>
      <c r="L17" s="15">
        <f>480</f>
        <v>480</v>
      </c>
      <c r="M17" s="15">
        <f t="shared" ref="M17" si="17">L17-N17</f>
        <v>480</v>
      </c>
      <c r="N17" s="15">
        <v>0</v>
      </c>
      <c r="O17" s="58">
        <f t="shared" ref="O17" si="18">IF(L17=0,"0",N17/L17)</f>
        <v>0</v>
      </c>
      <c r="P17" s="39">
        <f t="shared" ref="P17" si="19">IF(L17=0,"0",(24-Q17))</f>
        <v>4</v>
      </c>
      <c r="Q17" s="40">
        <f t="shared" ref="Q17" si="20">SUM(R17:AA17)</f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ref="AB17" si="21">IF(J17=0,"0",(L17/J17))</f>
        <v>1</v>
      </c>
      <c r="AC17" s="9">
        <f t="shared" ref="AC17" si="22">IF(P17=0,"0",(P17/24))</f>
        <v>0.16666666666666666</v>
      </c>
      <c r="AD17" s="10">
        <f t="shared" ref="AD17" si="23">AC17*AB17*(1-O17)</f>
        <v>0.16666666666666666</v>
      </c>
      <c r="AE17" s="36">
        <f t="shared" si="7"/>
        <v>0.55921052631578949</v>
      </c>
      <c r="AF17" s="84">
        <f t="shared" ref="AF17" si="24">A17</f>
        <v>11</v>
      </c>
    </row>
    <row r="18" spans="1:32" ht="30" customHeight="1">
      <c r="A18" s="112">
        <v>11</v>
      </c>
      <c r="B18" s="11" t="s">
        <v>57</v>
      </c>
      <c r="C18" s="34" t="s">
        <v>112</v>
      </c>
      <c r="D18" s="52" t="s">
        <v>199</v>
      </c>
      <c r="E18" s="53" t="s">
        <v>200</v>
      </c>
      <c r="F18" s="30" t="s">
        <v>133</v>
      </c>
      <c r="G18" s="12">
        <v>2</v>
      </c>
      <c r="H18" s="13">
        <v>24</v>
      </c>
      <c r="I18" s="7">
        <v>260</v>
      </c>
      <c r="J18" s="14">
        <v>260</v>
      </c>
      <c r="K18" s="15">
        <f>L18</f>
        <v>260</v>
      </c>
      <c r="L18" s="15">
        <v>260</v>
      </c>
      <c r="M18" s="15">
        <f t="shared" si="0"/>
        <v>260</v>
      </c>
      <c r="N18" s="15">
        <v>0</v>
      </c>
      <c r="O18" s="58">
        <f t="shared" si="1"/>
        <v>0</v>
      </c>
      <c r="P18" s="39">
        <f t="shared" si="2"/>
        <v>2</v>
      </c>
      <c r="Q18" s="40">
        <f t="shared" si="3"/>
        <v>22</v>
      </c>
      <c r="R18" s="7"/>
      <c r="S18" s="6"/>
      <c r="T18" s="16"/>
      <c r="U18" s="16"/>
      <c r="V18" s="17"/>
      <c r="W18" s="5">
        <v>22</v>
      </c>
      <c r="X18" s="16"/>
      <c r="Y18" s="16"/>
      <c r="Z18" s="16"/>
      <c r="AA18" s="18"/>
      <c r="AB18" s="8">
        <f t="shared" si="4"/>
        <v>1</v>
      </c>
      <c r="AC18" s="9">
        <f t="shared" si="5"/>
        <v>8.3333333333333329E-2</v>
      </c>
      <c r="AD18" s="10">
        <f t="shared" si="6"/>
        <v>8.3333333333333329E-2</v>
      </c>
      <c r="AE18" s="36">
        <f t="shared" si="7"/>
        <v>0.55921052631578949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118</v>
      </c>
      <c r="D19" s="52" t="s">
        <v>137</v>
      </c>
      <c r="E19" s="53" t="s">
        <v>152</v>
      </c>
      <c r="F19" s="30" t="s">
        <v>144</v>
      </c>
      <c r="G19" s="12">
        <v>2</v>
      </c>
      <c r="H19" s="13">
        <v>24</v>
      </c>
      <c r="I19" s="7">
        <v>36000</v>
      </c>
      <c r="J19" s="14">
        <v>4546</v>
      </c>
      <c r="K19" s="15">
        <f>L19+9540+12128+11892+2536</f>
        <v>40642</v>
      </c>
      <c r="L19" s="15">
        <f>2273*2</f>
        <v>4546</v>
      </c>
      <c r="M19" s="15">
        <f t="shared" si="0"/>
        <v>4546</v>
      </c>
      <c r="N19" s="15">
        <v>0</v>
      </c>
      <c r="O19" s="58">
        <f t="shared" si="1"/>
        <v>0</v>
      </c>
      <c r="P19" s="39">
        <f t="shared" si="2"/>
        <v>7</v>
      </c>
      <c r="Q19" s="40">
        <f t="shared" si="3"/>
        <v>17</v>
      </c>
      <c r="R19" s="7"/>
      <c r="S19" s="6"/>
      <c r="T19" s="16"/>
      <c r="U19" s="16"/>
      <c r="V19" s="17"/>
      <c r="W19" s="5">
        <v>17</v>
      </c>
      <c r="X19" s="16"/>
      <c r="Y19" s="16"/>
      <c r="Z19" s="16"/>
      <c r="AA19" s="18"/>
      <c r="AB19" s="8">
        <f t="shared" si="4"/>
        <v>1</v>
      </c>
      <c r="AC19" s="9">
        <f t="shared" si="5"/>
        <v>0.29166666666666669</v>
      </c>
      <c r="AD19" s="10">
        <f t="shared" si="6"/>
        <v>0.29166666666666669</v>
      </c>
      <c r="AE19" s="36">
        <f t="shared" si="7"/>
        <v>0.55921052631578949</v>
      </c>
      <c r="AF19" s="84">
        <f t="shared" si="8"/>
        <v>12</v>
      </c>
    </row>
    <row r="20" spans="1:32" ht="30" customHeight="1">
      <c r="A20" s="95">
        <v>12</v>
      </c>
      <c r="B20" s="11" t="s">
        <v>57</v>
      </c>
      <c r="C20" s="34" t="s">
        <v>188</v>
      </c>
      <c r="D20" s="52" t="s">
        <v>201</v>
      </c>
      <c r="E20" s="53" t="s">
        <v>202</v>
      </c>
      <c r="F20" s="30" t="s">
        <v>144</v>
      </c>
      <c r="G20" s="12">
        <v>1</v>
      </c>
      <c r="H20" s="13">
        <v>24</v>
      </c>
      <c r="I20" s="7">
        <v>15000</v>
      </c>
      <c r="J20" s="14">
        <v>3414</v>
      </c>
      <c r="K20" s="15">
        <f>L20</f>
        <v>3414</v>
      </c>
      <c r="L20" s="15">
        <f>3414</f>
        <v>3414</v>
      </c>
      <c r="M20" s="15">
        <f t="shared" ref="M20" si="25">L20-N20</f>
        <v>3414</v>
      </c>
      <c r="N20" s="15">
        <v>0</v>
      </c>
      <c r="O20" s="58">
        <f t="shared" ref="O20" si="26">IF(L20=0,"0",N20/L20)</f>
        <v>0</v>
      </c>
      <c r="P20" s="39">
        <f t="shared" ref="P20" si="27">IF(L20=0,"0",(24-Q20))</f>
        <v>15</v>
      </c>
      <c r="Q20" s="40">
        <f t="shared" ref="Q20" si="28">SUM(R20:AA20)</f>
        <v>9</v>
      </c>
      <c r="R20" s="7"/>
      <c r="S20" s="6"/>
      <c r="T20" s="16">
        <v>9</v>
      </c>
      <c r="U20" s="16"/>
      <c r="V20" s="17"/>
      <c r="W20" s="5"/>
      <c r="X20" s="16"/>
      <c r="Y20" s="16"/>
      <c r="Z20" s="16"/>
      <c r="AA20" s="18"/>
      <c r="AB20" s="8">
        <f t="shared" ref="AB20" si="29">IF(J20=0,"0",(L20/J20))</f>
        <v>1</v>
      </c>
      <c r="AC20" s="9">
        <f t="shared" ref="AC20" si="30">IF(P20=0,"0",(P20/24))</f>
        <v>0.625</v>
      </c>
      <c r="AD20" s="10">
        <f t="shared" ref="AD20" si="31">AC20*AB20*(1-O20)</f>
        <v>0.625</v>
      </c>
      <c r="AE20" s="36">
        <f t="shared" si="7"/>
        <v>0.55921052631578949</v>
      </c>
      <c r="AF20" s="84">
        <f t="shared" ref="AF20" si="32">A20</f>
        <v>12</v>
      </c>
    </row>
    <row r="21" spans="1:32" ht="27" customHeight="1">
      <c r="A21" s="96">
        <v>13</v>
      </c>
      <c r="B21" s="11" t="s">
        <v>57</v>
      </c>
      <c r="C21" s="11" t="s">
        <v>118</v>
      </c>
      <c r="D21" s="52" t="s">
        <v>115</v>
      </c>
      <c r="E21" s="53" t="s">
        <v>161</v>
      </c>
      <c r="F21" s="30" t="s">
        <v>142</v>
      </c>
      <c r="G21" s="33">
        <v>1</v>
      </c>
      <c r="H21" s="35">
        <v>24</v>
      </c>
      <c r="I21" s="7">
        <v>95000</v>
      </c>
      <c r="J21" s="14">
        <v>5327</v>
      </c>
      <c r="K21" s="15">
        <f>L21+4864+5380+5368+2414</f>
        <v>23353</v>
      </c>
      <c r="L21" s="15">
        <f>2830+2497</f>
        <v>5327</v>
      </c>
      <c r="M21" s="15">
        <f t="shared" si="0"/>
        <v>5327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0.55921052631578949</v>
      </c>
      <c r="AF21" s="84">
        <f t="shared" si="8"/>
        <v>13</v>
      </c>
    </row>
    <row r="22" spans="1:32" ht="27" customHeight="1">
      <c r="A22" s="96">
        <v>14</v>
      </c>
      <c r="B22" s="11" t="s">
        <v>57</v>
      </c>
      <c r="C22" s="11" t="s">
        <v>118</v>
      </c>
      <c r="D22" s="52" t="s">
        <v>132</v>
      </c>
      <c r="E22" s="53" t="s">
        <v>156</v>
      </c>
      <c r="F22" s="30" t="s">
        <v>130</v>
      </c>
      <c r="G22" s="33">
        <v>1</v>
      </c>
      <c r="H22" s="35">
        <v>24</v>
      </c>
      <c r="I22" s="7">
        <v>18000</v>
      </c>
      <c r="J22" s="14">
        <v>4631</v>
      </c>
      <c r="K22" s="15">
        <f>L22+2379+5680+2619</f>
        <v>15309</v>
      </c>
      <c r="L22" s="15">
        <f>2816+1815</f>
        <v>4631</v>
      </c>
      <c r="M22" s="15">
        <f t="shared" si="0"/>
        <v>4631</v>
      </c>
      <c r="N22" s="15">
        <v>0</v>
      </c>
      <c r="O22" s="58">
        <f t="shared" si="1"/>
        <v>0</v>
      </c>
      <c r="P22" s="39">
        <f t="shared" si="2"/>
        <v>21</v>
      </c>
      <c r="Q22" s="40">
        <f t="shared" si="3"/>
        <v>3</v>
      </c>
      <c r="R22" s="7"/>
      <c r="S22" s="6">
        <v>3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0.875</v>
      </c>
      <c r="AD22" s="10">
        <f t="shared" si="6"/>
        <v>0.875</v>
      </c>
      <c r="AE22" s="36">
        <f t="shared" si="7"/>
        <v>0.55921052631578949</v>
      </c>
      <c r="AF22" s="84">
        <f t="shared" si="8"/>
        <v>14</v>
      </c>
    </row>
    <row r="23" spans="1:32" ht="30" customHeight="1">
      <c r="A23" s="112">
        <v>15</v>
      </c>
      <c r="B23" s="11" t="s">
        <v>57</v>
      </c>
      <c r="C23" s="34" t="s">
        <v>112</v>
      </c>
      <c r="D23" s="52" t="s">
        <v>115</v>
      </c>
      <c r="E23" s="53" t="s">
        <v>148</v>
      </c>
      <c r="F23" s="30" t="s">
        <v>130</v>
      </c>
      <c r="G23" s="12">
        <v>1</v>
      </c>
      <c r="H23" s="13">
        <v>24</v>
      </c>
      <c r="I23" s="7">
        <v>130000</v>
      </c>
      <c r="J23" s="14">
        <v>5368</v>
      </c>
      <c r="K23" s="15">
        <f>L23+582+5215+5575+2206+3456+4708+4157+4736+5643+1830</f>
        <v>43476</v>
      </c>
      <c r="L23" s="15">
        <f>2778+2590</f>
        <v>5368</v>
      </c>
      <c r="M23" s="15">
        <f t="shared" si="0"/>
        <v>5368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0.55921052631578949</v>
      </c>
      <c r="AF23" s="84">
        <f t="shared" si="8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157</v>
      </c>
      <c r="F24" s="12" t="s">
        <v>114</v>
      </c>
      <c r="G24" s="12">
        <v>4</v>
      </c>
      <c r="H24" s="35">
        <v>20</v>
      </c>
      <c r="I24" s="7">
        <v>2000000</v>
      </c>
      <c r="J24" s="14">
        <v>63720</v>
      </c>
      <c r="K24" s="15">
        <f>L24+63388+69392+28968+33256+34460+34384+70208+69780+63952+70200+69756+69704</f>
        <v>741168</v>
      </c>
      <c r="L24" s="15">
        <f>8628*4+7302*4</f>
        <v>63720</v>
      </c>
      <c r="M24" s="15">
        <f t="shared" si="0"/>
        <v>63720</v>
      </c>
      <c r="N24" s="15">
        <v>0</v>
      </c>
      <c r="O24" s="58">
        <f t="shared" si="1"/>
        <v>0</v>
      </c>
      <c r="P24" s="39">
        <f t="shared" si="2"/>
        <v>22</v>
      </c>
      <c r="Q24" s="40">
        <f t="shared" si="3"/>
        <v>2</v>
      </c>
      <c r="R24" s="7"/>
      <c r="S24" s="6"/>
      <c r="T24" s="16"/>
      <c r="U24" s="16"/>
      <c r="V24" s="17">
        <v>2</v>
      </c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0.91666666666666663</v>
      </c>
      <c r="AD24" s="10">
        <f t="shared" si="6"/>
        <v>0.91666666666666663</v>
      </c>
      <c r="AE24" s="36">
        <f t="shared" si="7"/>
        <v>0.55921052631578949</v>
      </c>
      <c r="AF24" s="84">
        <f t="shared" si="8"/>
        <v>16</v>
      </c>
    </row>
    <row r="25" spans="1:32" ht="31.5" customHeight="1" thickBot="1">
      <c r="A25" s="444" t="s">
        <v>34</v>
      </c>
      <c r="B25" s="445"/>
      <c r="C25" s="445"/>
      <c r="D25" s="445"/>
      <c r="E25" s="445"/>
      <c r="F25" s="445"/>
      <c r="G25" s="445"/>
      <c r="H25" s="446"/>
      <c r="I25" s="22">
        <f t="shared" ref="I25:N25" si="33">SUM(I6:I24)</f>
        <v>2581870</v>
      </c>
      <c r="J25" s="19">
        <f t="shared" si="33"/>
        <v>130044</v>
      </c>
      <c r="K25" s="20">
        <f t="shared" si="33"/>
        <v>1053815</v>
      </c>
      <c r="L25" s="21">
        <f t="shared" si="33"/>
        <v>124702</v>
      </c>
      <c r="M25" s="20">
        <f t="shared" si="33"/>
        <v>124702</v>
      </c>
      <c r="N25" s="21">
        <f t="shared" si="33"/>
        <v>0</v>
      </c>
      <c r="O25" s="41">
        <f t="shared" si="1"/>
        <v>0</v>
      </c>
      <c r="P25" s="42">
        <f t="shared" ref="P25:AA25" si="34">SUM(P6:P24)</f>
        <v>255</v>
      </c>
      <c r="Q25" s="43">
        <f t="shared" si="34"/>
        <v>201</v>
      </c>
      <c r="R25" s="23">
        <f t="shared" si="34"/>
        <v>0</v>
      </c>
      <c r="S25" s="24">
        <f t="shared" si="34"/>
        <v>43</v>
      </c>
      <c r="T25" s="24">
        <f t="shared" si="34"/>
        <v>9</v>
      </c>
      <c r="U25" s="24">
        <f t="shared" si="34"/>
        <v>0</v>
      </c>
      <c r="V25" s="25">
        <f t="shared" si="34"/>
        <v>50</v>
      </c>
      <c r="W25" s="26">
        <f t="shared" si="34"/>
        <v>99</v>
      </c>
      <c r="X25" s="27">
        <f t="shared" si="34"/>
        <v>0</v>
      </c>
      <c r="Y25" s="27">
        <f t="shared" si="34"/>
        <v>0</v>
      </c>
      <c r="Z25" s="27">
        <f t="shared" si="34"/>
        <v>0</v>
      </c>
      <c r="AA25" s="27">
        <f t="shared" si="34"/>
        <v>0</v>
      </c>
      <c r="AB25" s="28">
        <f>AVERAGE(AB6:AB24)</f>
        <v>0.84210526315789469</v>
      </c>
      <c r="AC25" s="4">
        <f>AVERAGE(AC6:AC24)</f>
        <v>0.55921052631578949</v>
      </c>
      <c r="AD25" s="4">
        <f>AVERAGE(AD6:AD24)</f>
        <v>0.55921052631578949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447" t="s">
        <v>45</v>
      </c>
      <c r="B52" s="447"/>
      <c r="C52" s="447"/>
      <c r="D52" s="447"/>
      <c r="E52" s="447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448" t="s">
        <v>203</v>
      </c>
      <c r="B53" s="449"/>
      <c r="C53" s="449"/>
      <c r="D53" s="449"/>
      <c r="E53" s="449"/>
      <c r="F53" s="449"/>
      <c r="G53" s="449"/>
      <c r="H53" s="449"/>
      <c r="I53" s="449"/>
      <c r="J53" s="449"/>
      <c r="K53" s="449"/>
      <c r="L53" s="449"/>
      <c r="M53" s="450"/>
      <c r="N53" s="451" t="s">
        <v>212</v>
      </c>
      <c r="O53" s="452"/>
      <c r="P53" s="452"/>
      <c r="Q53" s="452"/>
      <c r="R53" s="452"/>
      <c r="S53" s="452"/>
      <c r="T53" s="452"/>
      <c r="U53" s="452"/>
      <c r="V53" s="452"/>
      <c r="W53" s="452"/>
      <c r="X53" s="452"/>
      <c r="Y53" s="452"/>
      <c r="Z53" s="452"/>
      <c r="AA53" s="452"/>
      <c r="AB53" s="452"/>
      <c r="AC53" s="452"/>
      <c r="AD53" s="453"/>
    </row>
    <row r="54" spans="1:32" ht="27" customHeight="1">
      <c r="A54" s="454" t="s">
        <v>2</v>
      </c>
      <c r="B54" s="455"/>
      <c r="C54" s="159" t="s">
        <v>46</v>
      </c>
      <c r="D54" s="159" t="s">
        <v>47</v>
      </c>
      <c r="E54" s="159" t="s">
        <v>107</v>
      </c>
      <c r="F54" s="456" t="s">
        <v>106</v>
      </c>
      <c r="G54" s="457"/>
      <c r="H54" s="457"/>
      <c r="I54" s="457"/>
      <c r="J54" s="457"/>
      <c r="K54" s="457"/>
      <c r="L54" s="457"/>
      <c r="M54" s="458"/>
      <c r="N54" s="67" t="s">
        <v>110</v>
      </c>
      <c r="O54" s="159" t="s">
        <v>46</v>
      </c>
      <c r="P54" s="456" t="s">
        <v>47</v>
      </c>
      <c r="Q54" s="459"/>
      <c r="R54" s="456" t="s">
        <v>38</v>
      </c>
      <c r="S54" s="457"/>
      <c r="T54" s="457"/>
      <c r="U54" s="459"/>
      <c r="V54" s="456" t="s">
        <v>48</v>
      </c>
      <c r="W54" s="457"/>
      <c r="X54" s="457"/>
      <c r="Y54" s="457"/>
      <c r="Z54" s="457"/>
      <c r="AA54" s="457"/>
      <c r="AB54" s="457"/>
      <c r="AC54" s="457"/>
      <c r="AD54" s="458"/>
    </row>
    <row r="55" spans="1:32" ht="27" customHeight="1">
      <c r="A55" s="470" t="s">
        <v>118</v>
      </c>
      <c r="B55" s="471"/>
      <c r="C55" s="154" t="s">
        <v>131</v>
      </c>
      <c r="D55" s="154" t="s">
        <v>115</v>
      </c>
      <c r="E55" s="155" t="s">
        <v>162</v>
      </c>
      <c r="F55" s="472" t="s">
        <v>204</v>
      </c>
      <c r="G55" s="473"/>
      <c r="H55" s="473"/>
      <c r="I55" s="473"/>
      <c r="J55" s="473"/>
      <c r="K55" s="473"/>
      <c r="L55" s="473"/>
      <c r="M55" s="474"/>
      <c r="N55" s="158" t="s">
        <v>118</v>
      </c>
      <c r="O55" s="152" t="s">
        <v>131</v>
      </c>
      <c r="P55" s="475" t="s">
        <v>115</v>
      </c>
      <c r="Q55" s="476"/>
      <c r="R55" s="475" t="s">
        <v>162</v>
      </c>
      <c r="S55" s="477"/>
      <c r="T55" s="477"/>
      <c r="U55" s="476"/>
      <c r="V55" s="478" t="s">
        <v>124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70" t="s">
        <v>112</v>
      </c>
      <c r="B56" s="471"/>
      <c r="C56" s="154" t="s">
        <v>205</v>
      </c>
      <c r="D56" s="154" t="s">
        <v>154</v>
      </c>
      <c r="E56" s="155" t="s">
        <v>196</v>
      </c>
      <c r="F56" s="472" t="s">
        <v>206</v>
      </c>
      <c r="G56" s="473"/>
      <c r="H56" s="473"/>
      <c r="I56" s="473"/>
      <c r="J56" s="473"/>
      <c r="K56" s="473"/>
      <c r="L56" s="473"/>
      <c r="M56" s="474"/>
      <c r="N56" s="158" t="s">
        <v>188</v>
      </c>
      <c r="O56" s="152" t="s">
        <v>214</v>
      </c>
      <c r="P56" s="475" t="s">
        <v>115</v>
      </c>
      <c r="Q56" s="476"/>
      <c r="R56" s="475" t="s">
        <v>213</v>
      </c>
      <c r="S56" s="477"/>
      <c r="T56" s="477"/>
      <c r="U56" s="476"/>
      <c r="V56" s="478" t="s">
        <v>187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118</v>
      </c>
      <c r="B57" s="481"/>
      <c r="C57" s="155" t="s">
        <v>128</v>
      </c>
      <c r="D57" s="155" t="s">
        <v>143</v>
      </c>
      <c r="E57" s="155" t="s">
        <v>163</v>
      </c>
      <c r="F57" s="472" t="s">
        <v>207</v>
      </c>
      <c r="G57" s="473"/>
      <c r="H57" s="473"/>
      <c r="I57" s="473"/>
      <c r="J57" s="473"/>
      <c r="K57" s="473"/>
      <c r="L57" s="473"/>
      <c r="M57" s="474"/>
      <c r="N57" s="158" t="s">
        <v>118</v>
      </c>
      <c r="O57" s="152" t="s">
        <v>128</v>
      </c>
      <c r="P57" s="475" t="s">
        <v>143</v>
      </c>
      <c r="Q57" s="476"/>
      <c r="R57" s="475" t="s">
        <v>162</v>
      </c>
      <c r="S57" s="477"/>
      <c r="T57" s="477"/>
      <c r="U57" s="476"/>
      <c r="V57" s="478" t="s">
        <v>124</v>
      </c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188</v>
      </c>
      <c r="B58" s="481"/>
      <c r="C58" s="155" t="s">
        <v>171</v>
      </c>
      <c r="D58" s="155" t="s">
        <v>189</v>
      </c>
      <c r="E58" s="155" t="s">
        <v>186</v>
      </c>
      <c r="F58" s="472" t="s">
        <v>187</v>
      </c>
      <c r="G58" s="473"/>
      <c r="H58" s="473"/>
      <c r="I58" s="473"/>
      <c r="J58" s="473"/>
      <c r="K58" s="473"/>
      <c r="L58" s="473"/>
      <c r="M58" s="474"/>
      <c r="N58" s="158"/>
      <c r="O58" s="152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 t="s">
        <v>188</v>
      </c>
      <c r="B59" s="471"/>
      <c r="C59" s="154" t="s">
        <v>184</v>
      </c>
      <c r="D59" s="154" t="s">
        <v>201</v>
      </c>
      <c r="E59" s="155" t="s">
        <v>208</v>
      </c>
      <c r="F59" s="472" t="s">
        <v>187</v>
      </c>
      <c r="G59" s="473"/>
      <c r="H59" s="473"/>
      <c r="I59" s="473"/>
      <c r="J59" s="473"/>
      <c r="K59" s="473"/>
      <c r="L59" s="473"/>
      <c r="M59" s="474"/>
      <c r="N59" s="158"/>
      <c r="O59" s="152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 t="s">
        <v>118</v>
      </c>
      <c r="B60" s="471"/>
      <c r="C60" s="154" t="s">
        <v>209</v>
      </c>
      <c r="D60" s="154" t="s">
        <v>132</v>
      </c>
      <c r="E60" s="155" t="s">
        <v>156</v>
      </c>
      <c r="F60" s="472" t="s">
        <v>210</v>
      </c>
      <c r="G60" s="473"/>
      <c r="H60" s="473"/>
      <c r="I60" s="473"/>
      <c r="J60" s="473"/>
      <c r="K60" s="473"/>
      <c r="L60" s="473"/>
      <c r="M60" s="474"/>
      <c r="N60" s="158"/>
      <c r="O60" s="152"/>
      <c r="P60" s="475"/>
      <c r="Q60" s="476"/>
      <c r="R60" s="475"/>
      <c r="S60" s="477"/>
      <c r="T60" s="477"/>
      <c r="U60" s="476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 t="s">
        <v>112</v>
      </c>
      <c r="B61" s="471"/>
      <c r="C61" s="154" t="s">
        <v>211</v>
      </c>
      <c r="D61" s="154" t="s">
        <v>115</v>
      </c>
      <c r="E61" s="155" t="s">
        <v>198</v>
      </c>
      <c r="F61" s="472" t="s">
        <v>206</v>
      </c>
      <c r="G61" s="473"/>
      <c r="H61" s="473"/>
      <c r="I61" s="473"/>
      <c r="J61" s="473"/>
      <c r="K61" s="473"/>
      <c r="L61" s="473"/>
      <c r="M61" s="474"/>
      <c r="N61" s="158"/>
      <c r="O61" s="152"/>
      <c r="P61" s="475"/>
      <c r="Q61" s="476"/>
      <c r="R61" s="475"/>
      <c r="S61" s="477"/>
      <c r="T61" s="477"/>
      <c r="U61" s="476"/>
      <c r="V61" s="478"/>
      <c r="W61" s="478"/>
      <c r="X61" s="478"/>
      <c r="Y61" s="478"/>
      <c r="Z61" s="478"/>
      <c r="AA61" s="478"/>
      <c r="AB61" s="478"/>
      <c r="AC61" s="478"/>
      <c r="AD61" s="479"/>
    </row>
    <row r="62" spans="1:32" ht="27" customHeight="1">
      <c r="A62" s="480" t="s">
        <v>112</v>
      </c>
      <c r="B62" s="481"/>
      <c r="C62" s="155" t="s">
        <v>211</v>
      </c>
      <c r="D62" s="155" t="s">
        <v>199</v>
      </c>
      <c r="E62" s="155" t="s">
        <v>200</v>
      </c>
      <c r="F62" s="472" t="s">
        <v>206</v>
      </c>
      <c r="G62" s="473"/>
      <c r="H62" s="473"/>
      <c r="I62" s="473"/>
      <c r="J62" s="473"/>
      <c r="K62" s="473"/>
      <c r="L62" s="473"/>
      <c r="M62" s="474"/>
      <c r="N62" s="158"/>
      <c r="O62" s="152"/>
      <c r="P62" s="475"/>
      <c r="Q62" s="476"/>
      <c r="R62" s="481"/>
      <c r="S62" s="481"/>
      <c r="T62" s="481"/>
      <c r="U62" s="481"/>
      <c r="V62" s="478"/>
      <c r="W62" s="478"/>
      <c r="X62" s="478"/>
      <c r="Y62" s="478"/>
      <c r="Z62" s="478"/>
      <c r="AA62" s="478"/>
      <c r="AB62" s="478"/>
      <c r="AC62" s="478"/>
      <c r="AD62" s="479"/>
    </row>
    <row r="63" spans="1:32" ht="27" customHeight="1">
      <c r="A63" s="470"/>
      <c r="B63" s="471"/>
      <c r="C63" s="154"/>
      <c r="D63" s="154"/>
      <c r="E63" s="155"/>
      <c r="F63" s="472"/>
      <c r="G63" s="473"/>
      <c r="H63" s="473"/>
      <c r="I63" s="473"/>
      <c r="J63" s="473"/>
      <c r="K63" s="473"/>
      <c r="L63" s="473"/>
      <c r="M63" s="474"/>
      <c r="N63" s="158"/>
      <c r="O63" s="152"/>
      <c r="P63" s="481"/>
      <c r="Q63" s="481"/>
      <c r="R63" s="481"/>
      <c r="S63" s="481"/>
      <c r="T63" s="481"/>
      <c r="U63" s="481"/>
      <c r="V63" s="478"/>
      <c r="W63" s="478"/>
      <c r="X63" s="478"/>
      <c r="Y63" s="478"/>
      <c r="Z63" s="478"/>
      <c r="AA63" s="478"/>
      <c r="AB63" s="478"/>
      <c r="AC63" s="478"/>
      <c r="AD63" s="479"/>
      <c r="AF63" s="84">
        <f>8*3000</f>
        <v>24000</v>
      </c>
    </row>
    <row r="64" spans="1:32" ht="27" customHeight="1" thickBot="1">
      <c r="A64" s="482"/>
      <c r="B64" s="483"/>
      <c r="C64" s="156"/>
      <c r="D64" s="157"/>
      <c r="E64" s="157"/>
      <c r="F64" s="484"/>
      <c r="G64" s="485"/>
      <c r="H64" s="485"/>
      <c r="I64" s="485"/>
      <c r="J64" s="485"/>
      <c r="K64" s="485"/>
      <c r="L64" s="485"/>
      <c r="M64" s="486"/>
      <c r="N64" s="111"/>
      <c r="O64" s="103"/>
      <c r="P64" s="487"/>
      <c r="Q64" s="487"/>
      <c r="R64" s="487"/>
      <c r="S64" s="487"/>
      <c r="T64" s="487"/>
      <c r="U64" s="487"/>
      <c r="V64" s="488"/>
      <c r="W64" s="488"/>
      <c r="X64" s="488"/>
      <c r="Y64" s="488"/>
      <c r="Z64" s="488"/>
      <c r="AA64" s="488"/>
      <c r="AB64" s="488"/>
      <c r="AC64" s="488"/>
      <c r="AD64" s="489"/>
      <c r="AF64" s="84">
        <f>16*3000</f>
        <v>48000</v>
      </c>
    </row>
    <row r="65" spans="1:32" ht="27.75" thickBot="1">
      <c r="A65" s="490" t="s">
        <v>215</v>
      </c>
      <c r="B65" s="490"/>
      <c r="C65" s="490"/>
      <c r="D65" s="490"/>
      <c r="E65" s="490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491" t="s">
        <v>111</v>
      </c>
      <c r="B66" s="492"/>
      <c r="C66" s="153" t="s">
        <v>2</v>
      </c>
      <c r="D66" s="153" t="s">
        <v>37</v>
      </c>
      <c r="E66" s="153" t="s">
        <v>3</v>
      </c>
      <c r="F66" s="492" t="s">
        <v>109</v>
      </c>
      <c r="G66" s="492"/>
      <c r="H66" s="492"/>
      <c r="I66" s="492"/>
      <c r="J66" s="492"/>
      <c r="K66" s="492" t="s">
        <v>39</v>
      </c>
      <c r="L66" s="492"/>
      <c r="M66" s="153" t="s">
        <v>40</v>
      </c>
      <c r="N66" s="492" t="s">
        <v>41</v>
      </c>
      <c r="O66" s="492"/>
      <c r="P66" s="493" t="s">
        <v>42</v>
      </c>
      <c r="Q66" s="494"/>
      <c r="R66" s="493" t="s">
        <v>43</v>
      </c>
      <c r="S66" s="495"/>
      <c r="T66" s="495"/>
      <c r="U66" s="495"/>
      <c r="V66" s="495"/>
      <c r="W66" s="495"/>
      <c r="X66" s="495"/>
      <c r="Y66" s="495"/>
      <c r="Z66" s="495"/>
      <c r="AA66" s="494"/>
      <c r="AB66" s="492" t="s">
        <v>44</v>
      </c>
      <c r="AC66" s="492"/>
      <c r="AD66" s="496"/>
      <c r="AF66" s="84">
        <f>SUM(AF63:AF65)</f>
        <v>96000</v>
      </c>
    </row>
    <row r="67" spans="1:32" ht="25.5" customHeight="1">
      <c r="A67" s="497">
        <v>1</v>
      </c>
      <c r="B67" s="498"/>
      <c r="C67" s="104" t="s">
        <v>112</v>
      </c>
      <c r="D67" s="148"/>
      <c r="E67" s="151" t="s">
        <v>154</v>
      </c>
      <c r="F67" s="499" t="s">
        <v>196</v>
      </c>
      <c r="G67" s="500"/>
      <c r="H67" s="500"/>
      <c r="I67" s="500"/>
      <c r="J67" s="501"/>
      <c r="K67" s="502" t="s">
        <v>134</v>
      </c>
      <c r="L67" s="502"/>
      <c r="M67" s="51" t="s">
        <v>191</v>
      </c>
      <c r="N67" s="503" t="s">
        <v>205</v>
      </c>
      <c r="O67" s="503"/>
      <c r="P67" s="504">
        <v>50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2</v>
      </c>
      <c r="B68" s="498"/>
      <c r="C68" s="104" t="s">
        <v>112</v>
      </c>
      <c r="D68" s="148"/>
      <c r="E68" s="151" t="s">
        <v>115</v>
      </c>
      <c r="F68" s="499" t="s">
        <v>198</v>
      </c>
      <c r="G68" s="500"/>
      <c r="H68" s="500"/>
      <c r="I68" s="500"/>
      <c r="J68" s="501"/>
      <c r="K68" s="502" t="s">
        <v>133</v>
      </c>
      <c r="L68" s="502"/>
      <c r="M68" s="51" t="s">
        <v>191</v>
      </c>
      <c r="N68" s="503" t="s">
        <v>211</v>
      </c>
      <c r="O68" s="503"/>
      <c r="P68" s="504">
        <v>50</v>
      </c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3</v>
      </c>
      <c r="B69" s="498"/>
      <c r="C69" s="104" t="s">
        <v>112</v>
      </c>
      <c r="D69" s="148"/>
      <c r="E69" s="151" t="s">
        <v>199</v>
      </c>
      <c r="F69" s="499" t="s">
        <v>200</v>
      </c>
      <c r="G69" s="500"/>
      <c r="H69" s="500"/>
      <c r="I69" s="500"/>
      <c r="J69" s="501"/>
      <c r="K69" s="502" t="s">
        <v>133</v>
      </c>
      <c r="L69" s="502"/>
      <c r="M69" s="51" t="s">
        <v>191</v>
      </c>
      <c r="N69" s="503" t="s">
        <v>211</v>
      </c>
      <c r="O69" s="503"/>
      <c r="P69" s="504">
        <v>100</v>
      </c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4</v>
      </c>
      <c r="B70" s="498"/>
      <c r="C70" s="104"/>
      <c r="D70" s="148"/>
      <c r="E70" s="151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5</v>
      </c>
      <c r="B71" s="498"/>
      <c r="C71" s="104"/>
      <c r="D71" s="148"/>
      <c r="E71" s="151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6</v>
      </c>
      <c r="B72" s="498"/>
      <c r="C72" s="104"/>
      <c r="D72" s="148"/>
      <c r="E72" s="151"/>
      <c r="F72" s="499"/>
      <c r="G72" s="500"/>
      <c r="H72" s="500"/>
      <c r="I72" s="500"/>
      <c r="J72" s="501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7</v>
      </c>
      <c r="B73" s="498"/>
      <c r="C73" s="104"/>
      <c r="D73" s="148"/>
      <c r="E73" s="151"/>
      <c r="F73" s="499"/>
      <c r="G73" s="500"/>
      <c r="H73" s="500"/>
      <c r="I73" s="500"/>
      <c r="J73" s="501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8</v>
      </c>
      <c r="B74" s="498"/>
      <c r="C74" s="104"/>
      <c r="D74" s="148"/>
      <c r="E74" s="151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5.5" customHeight="1">
      <c r="A75" s="497">
        <v>9</v>
      </c>
      <c r="B75" s="498"/>
      <c r="C75" s="104"/>
      <c r="D75" s="148"/>
      <c r="E75" s="151"/>
      <c r="F75" s="506"/>
      <c r="G75" s="502"/>
      <c r="H75" s="502"/>
      <c r="I75" s="502"/>
      <c r="J75" s="502"/>
      <c r="K75" s="502"/>
      <c r="L75" s="502"/>
      <c r="M75" s="51"/>
      <c r="N75" s="503"/>
      <c r="O75" s="503"/>
      <c r="P75" s="504"/>
      <c r="Q75" s="504"/>
      <c r="R75" s="478"/>
      <c r="S75" s="478"/>
      <c r="T75" s="478"/>
      <c r="U75" s="478"/>
      <c r="V75" s="478"/>
      <c r="W75" s="478"/>
      <c r="X75" s="478"/>
      <c r="Y75" s="478"/>
      <c r="Z75" s="478"/>
      <c r="AA75" s="478"/>
      <c r="AB75" s="502"/>
      <c r="AC75" s="502"/>
      <c r="AD75" s="505"/>
      <c r="AF75" s="50"/>
    </row>
    <row r="76" spans="1:32" ht="25.5" customHeight="1">
      <c r="A76" s="497">
        <v>10</v>
      </c>
      <c r="B76" s="498"/>
      <c r="C76" s="104"/>
      <c r="D76" s="148"/>
      <c r="E76" s="151"/>
      <c r="F76" s="506"/>
      <c r="G76" s="502"/>
      <c r="H76" s="502"/>
      <c r="I76" s="502"/>
      <c r="J76" s="502"/>
      <c r="K76" s="502"/>
      <c r="L76" s="502"/>
      <c r="M76" s="51"/>
      <c r="N76" s="503"/>
      <c r="O76" s="503"/>
      <c r="P76" s="504"/>
      <c r="Q76" s="504"/>
      <c r="R76" s="478"/>
      <c r="S76" s="478"/>
      <c r="T76" s="478"/>
      <c r="U76" s="478"/>
      <c r="V76" s="478"/>
      <c r="W76" s="478"/>
      <c r="X76" s="478"/>
      <c r="Y76" s="478"/>
      <c r="Z76" s="478"/>
      <c r="AA76" s="478"/>
      <c r="AB76" s="502"/>
      <c r="AC76" s="502"/>
      <c r="AD76" s="505"/>
      <c r="AF76" s="50"/>
    </row>
    <row r="77" spans="1:32" ht="26.25" customHeight="1" thickBot="1">
      <c r="A77" s="507" t="s">
        <v>216</v>
      </c>
      <c r="B77" s="507"/>
      <c r="C77" s="507"/>
      <c r="D77" s="507"/>
      <c r="E77" s="507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508" t="s">
        <v>127</v>
      </c>
      <c r="B78" s="509"/>
      <c r="C78" s="150" t="s">
        <v>2</v>
      </c>
      <c r="D78" s="150" t="s">
        <v>37</v>
      </c>
      <c r="E78" s="150" t="s">
        <v>126</v>
      </c>
      <c r="F78" s="509" t="s">
        <v>38</v>
      </c>
      <c r="G78" s="509"/>
      <c r="H78" s="509"/>
      <c r="I78" s="509"/>
      <c r="J78" s="509"/>
      <c r="K78" s="510" t="s">
        <v>58</v>
      </c>
      <c r="L78" s="511"/>
      <c r="M78" s="511"/>
      <c r="N78" s="511"/>
      <c r="O78" s="511"/>
      <c r="P78" s="511"/>
      <c r="Q78" s="511"/>
      <c r="R78" s="511"/>
      <c r="S78" s="512"/>
      <c r="T78" s="509" t="s">
        <v>49</v>
      </c>
      <c r="U78" s="509"/>
      <c r="V78" s="510" t="s">
        <v>50</v>
      </c>
      <c r="W78" s="512"/>
      <c r="X78" s="511" t="s">
        <v>51</v>
      </c>
      <c r="Y78" s="511"/>
      <c r="Z78" s="511"/>
      <c r="AA78" s="511"/>
      <c r="AB78" s="511"/>
      <c r="AC78" s="511"/>
      <c r="AD78" s="513"/>
      <c r="AF78" s="50"/>
    </row>
    <row r="79" spans="1:32" ht="33.75" customHeight="1">
      <c r="A79" s="522">
        <v>1</v>
      </c>
      <c r="B79" s="523"/>
      <c r="C79" s="149" t="s">
        <v>112</v>
      </c>
      <c r="D79" s="149"/>
      <c r="E79" s="65" t="s">
        <v>117</v>
      </c>
      <c r="F79" s="524" t="s">
        <v>116</v>
      </c>
      <c r="G79" s="525"/>
      <c r="H79" s="525"/>
      <c r="I79" s="525"/>
      <c r="J79" s="526"/>
      <c r="K79" s="527" t="s">
        <v>119</v>
      </c>
      <c r="L79" s="528"/>
      <c r="M79" s="528"/>
      <c r="N79" s="528"/>
      <c r="O79" s="528"/>
      <c r="P79" s="528"/>
      <c r="Q79" s="528"/>
      <c r="R79" s="528"/>
      <c r="S79" s="529"/>
      <c r="T79" s="530">
        <v>44118</v>
      </c>
      <c r="U79" s="531"/>
      <c r="V79" s="532"/>
      <c r="W79" s="532"/>
      <c r="X79" s="533"/>
      <c r="Y79" s="533"/>
      <c r="Z79" s="533"/>
      <c r="AA79" s="533"/>
      <c r="AB79" s="533"/>
      <c r="AC79" s="533"/>
      <c r="AD79" s="534"/>
      <c r="AF79" s="50"/>
    </row>
    <row r="80" spans="1:32" ht="30" customHeight="1">
      <c r="A80" s="514">
        <f>A79+1</f>
        <v>2</v>
      </c>
      <c r="B80" s="515"/>
      <c r="C80" s="148"/>
      <c r="D80" s="148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ref="A81:A85" si="35">A80+1</f>
        <v>3</v>
      </c>
      <c r="B81" s="515"/>
      <c r="C81" s="148"/>
      <c r="D81" s="148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35"/>
        <v>4</v>
      </c>
      <c r="B82" s="515"/>
      <c r="C82" s="148"/>
      <c r="D82" s="148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35"/>
        <v>5</v>
      </c>
      <c r="B83" s="515"/>
      <c r="C83" s="148"/>
      <c r="D83" s="148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0" customHeight="1">
      <c r="A84" s="514">
        <f t="shared" si="35"/>
        <v>6</v>
      </c>
      <c r="B84" s="515"/>
      <c r="C84" s="148"/>
      <c r="D84" s="148"/>
      <c r="E84" s="32"/>
      <c r="F84" s="515"/>
      <c r="G84" s="515"/>
      <c r="H84" s="515"/>
      <c r="I84" s="515"/>
      <c r="J84" s="515"/>
      <c r="K84" s="516"/>
      <c r="L84" s="517"/>
      <c r="M84" s="517"/>
      <c r="N84" s="517"/>
      <c r="O84" s="517"/>
      <c r="P84" s="517"/>
      <c r="Q84" s="517"/>
      <c r="R84" s="517"/>
      <c r="S84" s="518"/>
      <c r="T84" s="519"/>
      <c r="U84" s="519"/>
      <c r="V84" s="519"/>
      <c r="W84" s="519"/>
      <c r="X84" s="520"/>
      <c r="Y84" s="520"/>
      <c r="Z84" s="520"/>
      <c r="AA84" s="520"/>
      <c r="AB84" s="520"/>
      <c r="AC84" s="520"/>
      <c r="AD84" s="521"/>
      <c r="AF84" s="50"/>
    </row>
    <row r="85" spans="1:32" ht="30" customHeight="1">
      <c r="A85" s="514">
        <f t="shared" si="35"/>
        <v>7</v>
      </c>
      <c r="B85" s="515"/>
      <c r="C85" s="148"/>
      <c r="D85" s="148"/>
      <c r="E85" s="32"/>
      <c r="F85" s="515"/>
      <c r="G85" s="515"/>
      <c r="H85" s="515"/>
      <c r="I85" s="515"/>
      <c r="J85" s="515"/>
      <c r="K85" s="516"/>
      <c r="L85" s="517"/>
      <c r="M85" s="517"/>
      <c r="N85" s="517"/>
      <c r="O85" s="517"/>
      <c r="P85" s="517"/>
      <c r="Q85" s="517"/>
      <c r="R85" s="517"/>
      <c r="S85" s="518"/>
      <c r="T85" s="519"/>
      <c r="U85" s="519"/>
      <c r="V85" s="519"/>
      <c r="W85" s="519"/>
      <c r="X85" s="520"/>
      <c r="Y85" s="520"/>
      <c r="Z85" s="520"/>
      <c r="AA85" s="520"/>
      <c r="AB85" s="520"/>
      <c r="AC85" s="520"/>
      <c r="AD85" s="521"/>
      <c r="AF85" s="50"/>
    </row>
    <row r="86" spans="1:32" ht="36" thickBot="1">
      <c r="A86" s="507" t="s">
        <v>217</v>
      </c>
      <c r="B86" s="507"/>
      <c r="C86" s="507"/>
      <c r="D86" s="507"/>
      <c r="E86" s="507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508" t="s">
        <v>111</v>
      </c>
      <c r="B87" s="509"/>
      <c r="C87" s="535" t="s">
        <v>52</v>
      </c>
      <c r="D87" s="535"/>
      <c r="E87" s="535" t="s">
        <v>53</v>
      </c>
      <c r="F87" s="535"/>
      <c r="G87" s="535"/>
      <c r="H87" s="535"/>
      <c r="I87" s="535"/>
      <c r="J87" s="535"/>
      <c r="K87" s="535" t="s">
        <v>54</v>
      </c>
      <c r="L87" s="535"/>
      <c r="M87" s="535"/>
      <c r="N87" s="535"/>
      <c r="O87" s="535"/>
      <c r="P87" s="535"/>
      <c r="Q87" s="535"/>
      <c r="R87" s="535"/>
      <c r="S87" s="535"/>
      <c r="T87" s="535" t="s">
        <v>55</v>
      </c>
      <c r="U87" s="535"/>
      <c r="V87" s="535" t="s">
        <v>56</v>
      </c>
      <c r="W87" s="535"/>
      <c r="X87" s="535"/>
      <c r="Y87" s="535" t="s">
        <v>51</v>
      </c>
      <c r="Z87" s="535"/>
      <c r="AA87" s="535"/>
      <c r="AB87" s="535"/>
      <c r="AC87" s="535"/>
      <c r="AD87" s="536"/>
      <c r="AF87" s="50"/>
    </row>
    <row r="88" spans="1:32" ht="30.75" customHeight="1">
      <c r="A88" s="522">
        <v>1</v>
      </c>
      <c r="B88" s="523"/>
      <c r="C88" s="537"/>
      <c r="D88" s="537"/>
      <c r="E88" s="537"/>
      <c r="F88" s="537"/>
      <c r="G88" s="537"/>
      <c r="H88" s="537"/>
      <c r="I88" s="537"/>
      <c r="J88" s="537"/>
      <c r="K88" s="537"/>
      <c r="L88" s="537"/>
      <c r="M88" s="537"/>
      <c r="N88" s="537"/>
      <c r="O88" s="537"/>
      <c r="P88" s="537"/>
      <c r="Q88" s="537"/>
      <c r="R88" s="537"/>
      <c r="S88" s="537"/>
      <c r="T88" s="537"/>
      <c r="U88" s="537"/>
      <c r="V88" s="538"/>
      <c r="W88" s="538"/>
      <c r="X88" s="538"/>
      <c r="Y88" s="539"/>
      <c r="Z88" s="539"/>
      <c r="AA88" s="539"/>
      <c r="AB88" s="539"/>
      <c r="AC88" s="539"/>
      <c r="AD88" s="540"/>
      <c r="AF88" s="50"/>
    </row>
    <row r="89" spans="1:32" ht="30.75" customHeight="1">
      <c r="A89" s="514">
        <v>2</v>
      </c>
      <c r="B89" s="515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  <c r="P89" s="548"/>
      <c r="Q89" s="548"/>
      <c r="R89" s="548"/>
      <c r="S89" s="548"/>
      <c r="T89" s="549"/>
      <c r="U89" s="549"/>
      <c r="V89" s="550"/>
      <c r="W89" s="550"/>
      <c r="X89" s="550"/>
      <c r="Y89" s="541"/>
      <c r="Z89" s="541"/>
      <c r="AA89" s="541"/>
      <c r="AB89" s="541"/>
      <c r="AC89" s="541"/>
      <c r="AD89" s="542"/>
      <c r="AF89" s="50"/>
    </row>
    <row r="90" spans="1:32" ht="30.75" customHeight="1" thickBot="1">
      <c r="A90" s="543">
        <v>3</v>
      </c>
      <c r="B90" s="544"/>
      <c r="C90" s="545"/>
      <c r="D90" s="545"/>
      <c r="E90" s="545"/>
      <c r="F90" s="545"/>
      <c r="G90" s="545"/>
      <c r="H90" s="545"/>
      <c r="I90" s="545"/>
      <c r="J90" s="545"/>
      <c r="K90" s="545"/>
      <c r="L90" s="545"/>
      <c r="M90" s="545"/>
      <c r="N90" s="545"/>
      <c r="O90" s="545"/>
      <c r="P90" s="545"/>
      <c r="Q90" s="545"/>
      <c r="R90" s="545"/>
      <c r="S90" s="545"/>
      <c r="T90" s="545"/>
      <c r="U90" s="545"/>
      <c r="V90" s="545"/>
      <c r="W90" s="545"/>
      <c r="X90" s="545"/>
      <c r="Y90" s="546"/>
      <c r="Z90" s="546"/>
      <c r="AA90" s="546"/>
      <c r="AB90" s="546"/>
      <c r="AC90" s="546"/>
      <c r="AD90" s="547"/>
      <c r="AF90" s="50"/>
    </row>
  </sheetData>
  <mergeCells count="232"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0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8B6C-CEE3-4DAC-A2E9-FA6BD724338F}">
  <dimension ref="A1:AF87"/>
  <sheetViews>
    <sheetView view="pageBreakPreview" zoomScale="70" zoomScaleNormal="72" zoomScaleSheetLayoutView="70" workbookViewId="0">
      <selection activeCell="R17" sqref="R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218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161" t="s">
        <v>17</v>
      </c>
      <c r="L5" s="161" t="s">
        <v>18</v>
      </c>
      <c r="M5" s="161" t="s">
        <v>19</v>
      </c>
      <c r="N5" s="16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0.65693147331205815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154</v>
      </c>
      <c r="E7" s="53" t="s">
        <v>196</v>
      </c>
      <c r="F7" s="12" t="s">
        <v>134</v>
      </c>
      <c r="G7" s="12">
        <v>1</v>
      </c>
      <c r="H7" s="13">
        <v>24</v>
      </c>
      <c r="I7" s="31">
        <v>130</v>
      </c>
      <c r="J7" s="14">
        <v>130</v>
      </c>
      <c r="K7" s="15">
        <f>L7+130</f>
        <v>130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0.65693147331205815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115</v>
      </c>
      <c r="E8" s="53" t="s">
        <v>162</v>
      </c>
      <c r="F8" s="30" t="s">
        <v>142</v>
      </c>
      <c r="G8" s="33">
        <v>1</v>
      </c>
      <c r="H8" s="35">
        <v>24</v>
      </c>
      <c r="I8" s="7">
        <v>15000</v>
      </c>
      <c r="J8" s="5">
        <v>1271</v>
      </c>
      <c r="K8" s="15">
        <f>L8+903+2672+918+2251</f>
        <v>8015</v>
      </c>
      <c r="L8" s="15">
        <v>1271</v>
      </c>
      <c r="M8" s="15">
        <f t="shared" si="0"/>
        <v>1271</v>
      </c>
      <c r="N8" s="15">
        <v>0</v>
      </c>
      <c r="O8" s="58">
        <f t="shared" si="1"/>
        <v>0</v>
      </c>
      <c r="P8" s="39">
        <f t="shared" si="2"/>
        <v>7</v>
      </c>
      <c r="Q8" s="40">
        <f t="shared" si="3"/>
        <v>17</v>
      </c>
      <c r="R8" s="7"/>
      <c r="S8" s="6">
        <v>17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0.29166666666666669</v>
      </c>
      <c r="AD8" s="10">
        <f t="shared" si="6"/>
        <v>0.29166666666666669</v>
      </c>
      <c r="AE8" s="36">
        <f t="shared" si="7"/>
        <v>0.65693147331205815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5367</v>
      </c>
      <c r="K9" s="15">
        <f>L9+1344+2695+2818+1363+3398+4807+5146+5399+5363+4916+4752+2389+5076</f>
        <v>54833</v>
      </c>
      <c r="L9" s="15">
        <f>2689+2678</f>
        <v>5367</v>
      </c>
      <c r="M9" s="15">
        <f t="shared" si="0"/>
        <v>5367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0.65693147331205815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188</v>
      </c>
      <c r="D10" s="52" t="s">
        <v>189</v>
      </c>
      <c r="E10" s="53" t="s">
        <v>186</v>
      </c>
      <c r="F10" s="30" t="s">
        <v>197</v>
      </c>
      <c r="G10" s="33">
        <v>2</v>
      </c>
      <c r="H10" s="35">
        <v>24</v>
      </c>
      <c r="I10" s="7">
        <v>30000</v>
      </c>
      <c r="J10" s="14">
        <v>12980</v>
      </c>
      <c r="K10" s="15">
        <f>L10+11988</f>
        <v>24968</v>
      </c>
      <c r="L10" s="15">
        <f>3246*2+3244*2</f>
        <v>12980</v>
      </c>
      <c r="M10" s="15">
        <f t="shared" si="0"/>
        <v>12980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0.65693147331205815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145</v>
      </c>
      <c r="F11" s="30" t="s">
        <v>146</v>
      </c>
      <c r="G11" s="33">
        <v>1</v>
      </c>
      <c r="H11" s="35">
        <v>24</v>
      </c>
      <c r="I11" s="7">
        <v>54000</v>
      </c>
      <c r="J11" s="14">
        <v>5797</v>
      </c>
      <c r="K11" s="15">
        <f>L11+5150+4152+4675+5715+2598+5455</f>
        <v>33542</v>
      </c>
      <c r="L11" s="15">
        <f>2897+2900</f>
        <v>5797</v>
      </c>
      <c r="M11" s="15">
        <f t="shared" si="0"/>
        <v>5797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0.65693147331205815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136</v>
      </c>
      <c r="F12" s="30" t="s">
        <v>130</v>
      </c>
      <c r="G12" s="12">
        <v>1</v>
      </c>
      <c r="H12" s="13">
        <v>22</v>
      </c>
      <c r="I12" s="31">
        <v>76000</v>
      </c>
      <c r="J12" s="5">
        <v>5303</v>
      </c>
      <c r="K12" s="15">
        <f>L12+5135+5549+5689+5232+5555+942+4639+4634+2453+5366</f>
        <v>50497</v>
      </c>
      <c r="L12" s="15">
        <f>2759+2544</f>
        <v>5303</v>
      </c>
      <c r="M12" s="15">
        <f t="shared" si="0"/>
        <v>5303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0.65693147331205815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140</v>
      </c>
      <c r="E13" s="53" t="s">
        <v>163</v>
      </c>
      <c r="F13" s="30" t="s">
        <v>146</v>
      </c>
      <c r="G13" s="33">
        <v>1</v>
      </c>
      <c r="H13" s="35">
        <v>24</v>
      </c>
      <c r="I13" s="7">
        <v>15000</v>
      </c>
      <c r="J13" s="14">
        <v>4984</v>
      </c>
      <c r="K13" s="15">
        <f>L13+2321+4109+1908+5229</f>
        <v>18551</v>
      </c>
      <c r="L13" s="15">
        <f>3237+1747</f>
        <v>4984</v>
      </c>
      <c r="M13" s="15">
        <f t="shared" si="0"/>
        <v>4984</v>
      </c>
      <c r="N13" s="15">
        <v>0</v>
      </c>
      <c r="O13" s="58">
        <f t="shared" si="1"/>
        <v>0</v>
      </c>
      <c r="P13" s="39">
        <f t="shared" si="2"/>
        <v>21</v>
      </c>
      <c r="Q13" s="40">
        <f t="shared" si="3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6">
        <f t="shared" si="7"/>
        <v>0.65693147331205815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164</v>
      </c>
      <c r="F14" s="30" t="s">
        <v>159</v>
      </c>
      <c r="G14" s="33">
        <v>1</v>
      </c>
      <c r="H14" s="35">
        <v>50</v>
      </c>
      <c r="I14" s="7">
        <v>100</v>
      </c>
      <c r="J14" s="5">
        <v>926</v>
      </c>
      <c r="K14" s="15">
        <f>L14</f>
        <v>0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0.65693147331205815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160</v>
      </c>
      <c r="F15" s="12" t="s">
        <v>129</v>
      </c>
      <c r="G15" s="12">
        <v>1</v>
      </c>
      <c r="H15" s="13">
        <v>24</v>
      </c>
      <c r="I15" s="31">
        <v>900</v>
      </c>
      <c r="J15" s="14">
        <v>1015</v>
      </c>
      <c r="K15" s="15">
        <f>L15+1015</f>
        <v>1015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>
        <v>24</v>
      </c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0.65693147331205815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4303</v>
      </c>
      <c r="K16" s="15">
        <f>L16</f>
        <v>4303</v>
      </c>
      <c r="L16" s="15">
        <f>1395+2908</f>
        <v>4303</v>
      </c>
      <c r="M16" s="15">
        <f t="shared" si="0"/>
        <v>4303</v>
      </c>
      <c r="N16" s="15">
        <v>0</v>
      </c>
      <c r="O16" s="58">
        <f t="shared" si="1"/>
        <v>0</v>
      </c>
      <c r="P16" s="39">
        <f t="shared" si="2"/>
        <v>19</v>
      </c>
      <c r="Q16" s="40">
        <f t="shared" si="3"/>
        <v>5</v>
      </c>
      <c r="R16" s="7"/>
      <c r="S16" s="6"/>
      <c r="T16" s="16">
        <v>5</v>
      </c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6">
        <f t="shared" si="7"/>
        <v>0.65693147331205815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201</v>
      </c>
      <c r="E17" s="53" t="s">
        <v>202</v>
      </c>
      <c r="F17" s="30" t="s">
        <v>144</v>
      </c>
      <c r="G17" s="12">
        <v>1</v>
      </c>
      <c r="H17" s="13">
        <v>24</v>
      </c>
      <c r="I17" s="7">
        <v>15000</v>
      </c>
      <c r="J17" s="14">
        <v>6022</v>
      </c>
      <c r="K17" s="15">
        <f>L17+3414</f>
        <v>9436</v>
      </c>
      <c r="L17" s="15">
        <f>3115+2907</f>
        <v>6022</v>
      </c>
      <c r="M17" s="15">
        <f t="shared" si="0"/>
        <v>6022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0.65693147331205815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188</v>
      </c>
      <c r="D18" s="52" t="s">
        <v>115</v>
      </c>
      <c r="E18" s="53" t="s">
        <v>213</v>
      </c>
      <c r="F18" s="30" t="s">
        <v>197</v>
      </c>
      <c r="G18" s="33">
        <v>1</v>
      </c>
      <c r="H18" s="35">
        <v>24</v>
      </c>
      <c r="I18" s="7">
        <v>15000</v>
      </c>
      <c r="J18" s="14">
        <v>5327</v>
      </c>
      <c r="K18" s="15">
        <f>L18</f>
        <v>5156</v>
      </c>
      <c r="L18" s="15">
        <f>2829+2327</f>
        <v>5156</v>
      </c>
      <c r="M18" s="15">
        <f t="shared" si="0"/>
        <v>5156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/>
      <c r="T18" s="16">
        <v>1</v>
      </c>
      <c r="U18" s="16"/>
      <c r="V18" s="17"/>
      <c r="W18" s="5"/>
      <c r="X18" s="16"/>
      <c r="Y18" s="16"/>
      <c r="Z18" s="16"/>
      <c r="AA18" s="18"/>
      <c r="AB18" s="8">
        <f t="shared" si="4"/>
        <v>0.96789938051436075</v>
      </c>
      <c r="AC18" s="9">
        <f t="shared" si="5"/>
        <v>0.95833333333333337</v>
      </c>
      <c r="AD18" s="10">
        <f t="shared" si="6"/>
        <v>0.92757023965959573</v>
      </c>
      <c r="AE18" s="36">
        <f t="shared" si="7"/>
        <v>0.65693147331205815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132</v>
      </c>
      <c r="E19" s="53" t="s">
        <v>156</v>
      </c>
      <c r="F19" s="30" t="s">
        <v>130</v>
      </c>
      <c r="G19" s="33">
        <v>1</v>
      </c>
      <c r="H19" s="35">
        <v>24</v>
      </c>
      <c r="I19" s="7">
        <v>18000</v>
      </c>
      <c r="J19" s="14">
        <v>5216</v>
      </c>
      <c r="K19" s="15">
        <f>L19+2379+5680+2619+4631</f>
        <v>20525</v>
      </c>
      <c r="L19" s="15">
        <f>2377+2839</f>
        <v>5216</v>
      </c>
      <c r="M19" s="15">
        <f t="shared" si="0"/>
        <v>5216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0.65693147331205815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130000</v>
      </c>
      <c r="J20" s="14">
        <v>3481</v>
      </c>
      <c r="K20" s="15">
        <f>L20+582+5215+5575+2206+3456+4708+4157+4736+5643+1830+5368</f>
        <v>46957</v>
      </c>
      <c r="L20" s="15">
        <f>2831+650</f>
        <v>3481</v>
      </c>
      <c r="M20" s="15">
        <f t="shared" si="0"/>
        <v>3481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>
        <v>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0.625</v>
      </c>
      <c r="AD20" s="10">
        <f t="shared" si="6"/>
        <v>0.625</v>
      </c>
      <c r="AE20" s="36">
        <f t="shared" si="7"/>
        <v>0.65693147331205815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157</v>
      </c>
      <c r="F21" s="12" t="s">
        <v>114</v>
      </c>
      <c r="G21" s="12">
        <v>4</v>
      </c>
      <c r="H21" s="35">
        <v>20</v>
      </c>
      <c r="I21" s="7">
        <v>2000000</v>
      </c>
      <c r="J21" s="14">
        <v>69508</v>
      </c>
      <c r="K21" s="15">
        <f>L21+63388+69392+28968+33256+34460+34384+70208+69780+63952+70200+69756+69704+63720</f>
        <v>810676</v>
      </c>
      <c r="L21" s="15">
        <f>8623*4+8754*4</f>
        <v>69508</v>
      </c>
      <c r="M21" s="15">
        <f t="shared" si="0"/>
        <v>69508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0.65693147331205815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2542130</v>
      </c>
      <c r="J22" s="19">
        <f t="shared" si="9"/>
        <v>135031</v>
      </c>
      <c r="K22" s="20">
        <f t="shared" si="9"/>
        <v>1095197</v>
      </c>
      <c r="L22" s="21">
        <f t="shared" si="9"/>
        <v>129388</v>
      </c>
      <c r="M22" s="20">
        <f t="shared" si="9"/>
        <v>129388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253</v>
      </c>
      <c r="Q22" s="43">
        <f t="shared" si="10"/>
        <v>131</v>
      </c>
      <c r="R22" s="23">
        <f t="shared" si="10"/>
        <v>0</v>
      </c>
      <c r="S22" s="24">
        <f t="shared" si="10"/>
        <v>53</v>
      </c>
      <c r="T22" s="24">
        <f t="shared" si="10"/>
        <v>6</v>
      </c>
      <c r="U22" s="24">
        <f t="shared" si="10"/>
        <v>0</v>
      </c>
      <c r="V22" s="25">
        <f t="shared" si="10"/>
        <v>48</v>
      </c>
      <c r="W22" s="26">
        <f t="shared" si="10"/>
        <v>24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0.74799371128214753</v>
      </c>
      <c r="AC22" s="4">
        <f>AVERAGE(AC6:AC21)</f>
        <v>0.65885416666666674</v>
      </c>
      <c r="AD22" s="4">
        <f>AVERAGE(AD6:AD21)</f>
        <v>0.65693147331205815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221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224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162" t="s">
        <v>46</v>
      </c>
      <c r="D51" s="162" t="s">
        <v>47</v>
      </c>
      <c r="E51" s="162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162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70" t="s">
        <v>118</v>
      </c>
      <c r="B52" s="471"/>
      <c r="C52" s="163" t="s">
        <v>131</v>
      </c>
      <c r="D52" s="163" t="s">
        <v>115</v>
      </c>
      <c r="E52" s="165" t="s">
        <v>162</v>
      </c>
      <c r="F52" s="472" t="s">
        <v>204</v>
      </c>
      <c r="G52" s="473"/>
      <c r="H52" s="473"/>
      <c r="I52" s="473"/>
      <c r="J52" s="473"/>
      <c r="K52" s="473"/>
      <c r="L52" s="473"/>
      <c r="M52" s="474"/>
      <c r="N52" s="164" t="s">
        <v>118</v>
      </c>
      <c r="O52" s="170" t="s">
        <v>209</v>
      </c>
      <c r="P52" s="475" t="s">
        <v>115</v>
      </c>
      <c r="Q52" s="476"/>
      <c r="R52" s="475" t="s">
        <v>162</v>
      </c>
      <c r="S52" s="477"/>
      <c r="T52" s="477"/>
      <c r="U52" s="476"/>
      <c r="V52" s="478" t="s">
        <v>124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80" t="s">
        <v>118</v>
      </c>
      <c r="B53" s="481"/>
      <c r="C53" s="165" t="s">
        <v>128</v>
      </c>
      <c r="D53" s="165" t="s">
        <v>143</v>
      </c>
      <c r="E53" s="165" t="s">
        <v>163</v>
      </c>
      <c r="F53" s="472" t="s">
        <v>222</v>
      </c>
      <c r="G53" s="473"/>
      <c r="H53" s="473"/>
      <c r="I53" s="473"/>
      <c r="J53" s="473"/>
      <c r="K53" s="473"/>
      <c r="L53" s="473"/>
      <c r="M53" s="474"/>
      <c r="N53" s="164" t="s">
        <v>188</v>
      </c>
      <c r="O53" s="170" t="s">
        <v>131</v>
      </c>
      <c r="P53" s="475" t="s">
        <v>225</v>
      </c>
      <c r="Q53" s="476"/>
      <c r="R53" s="475" t="s">
        <v>226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188</v>
      </c>
      <c r="B54" s="481"/>
      <c r="C54" s="165" t="s">
        <v>214</v>
      </c>
      <c r="D54" s="165" t="s">
        <v>115</v>
      </c>
      <c r="E54" s="165" t="s">
        <v>213</v>
      </c>
      <c r="F54" s="472" t="s">
        <v>187</v>
      </c>
      <c r="G54" s="473"/>
      <c r="H54" s="473"/>
      <c r="I54" s="473"/>
      <c r="J54" s="473"/>
      <c r="K54" s="473"/>
      <c r="L54" s="473"/>
      <c r="M54" s="474"/>
      <c r="N54" s="164" t="s">
        <v>112</v>
      </c>
      <c r="O54" s="170" t="s">
        <v>131</v>
      </c>
      <c r="P54" s="475" t="s">
        <v>227</v>
      </c>
      <c r="Q54" s="476"/>
      <c r="R54" s="475" t="s">
        <v>228</v>
      </c>
      <c r="S54" s="477"/>
      <c r="T54" s="477"/>
      <c r="U54" s="476"/>
      <c r="V54" s="478" t="s">
        <v>206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118</v>
      </c>
      <c r="B55" s="481"/>
      <c r="C55" s="165" t="s">
        <v>211</v>
      </c>
      <c r="D55" s="165" t="s">
        <v>219</v>
      </c>
      <c r="E55" s="165" t="s">
        <v>220</v>
      </c>
      <c r="F55" s="472" t="s">
        <v>187</v>
      </c>
      <c r="G55" s="473"/>
      <c r="H55" s="473"/>
      <c r="I55" s="473"/>
      <c r="J55" s="473"/>
      <c r="K55" s="473"/>
      <c r="L55" s="473"/>
      <c r="M55" s="474"/>
      <c r="N55" s="164"/>
      <c r="O55" s="170"/>
      <c r="P55" s="475"/>
      <c r="Q55" s="476"/>
      <c r="R55" s="475"/>
      <c r="S55" s="477"/>
      <c r="T55" s="477"/>
      <c r="U55" s="476"/>
      <c r="V55" s="478"/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70" t="s">
        <v>112</v>
      </c>
      <c r="B56" s="471"/>
      <c r="C56" s="163" t="s">
        <v>182</v>
      </c>
      <c r="D56" s="163" t="s">
        <v>115</v>
      </c>
      <c r="E56" s="165" t="s">
        <v>148</v>
      </c>
      <c r="F56" s="472" t="s">
        <v>223</v>
      </c>
      <c r="G56" s="473"/>
      <c r="H56" s="473"/>
      <c r="I56" s="473"/>
      <c r="J56" s="473"/>
      <c r="K56" s="473"/>
      <c r="L56" s="473"/>
      <c r="M56" s="474"/>
      <c r="N56" s="164"/>
      <c r="O56" s="170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70"/>
      <c r="B57" s="471"/>
      <c r="C57" s="163"/>
      <c r="D57" s="163"/>
      <c r="E57" s="165"/>
      <c r="F57" s="472"/>
      <c r="G57" s="473"/>
      <c r="H57" s="473"/>
      <c r="I57" s="473"/>
      <c r="J57" s="473"/>
      <c r="K57" s="473"/>
      <c r="L57" s="473"/>
      <c r="M57" s="474"/>
      <c r="N57" s="164"/>
      <c r="O57" s="170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/>
      <c r="B58" s="471"/>
      <c r="C58" s="163"/>
      <c r="D58" s="163"/>
      <c r="E58" s="165"/>
      <c r="F58" s="472"/>
      <c r="G58" s="473"/>
      <c r="H58" s="473"/>
      <c r="I58" s="473"/>
      <c r="J58" s="473"/>
      <c r="K58" s="473"/>
      <c r="L58" s="473"/>
      <c r="M58" s="474"/>
      <c r="N58" s="164"/>
      <c r="O58" s="170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165"/>
      <c r="D59" s="165"/>
      <c r="E59" s="165"/>
      <c r="F59" s="472"/>
      <c r="G59" s="473"/>
      <c r="H59" s="473"/>
      <c r="I59" s="473"/>
      <c r="J59" s="473"/>
      <c r="K59" s="473"/>
      <c r="L59" s="473"/>
      <c r="M59" s="474"/>
      <c r="N59" s="164"/>
      <c r="O59" s="170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163"/>
      <c r="D60" s="163"/>
      <c r="E60" s="165"/>
      <c r="F60" s="472"/>
      <c r="G60" s="473"/>
      <c r="H60" s="473"/>
      <c r="I60" s="473"/>
      <c r="J60" s="473"/>
      <c r="K60" s="473"/>
      <c r="L60" s="473"/>
      <c r="M60" s="474"/>
      <c r="N60" s="164"/>
      <c r="O60" s="170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166"/>
      <c r="D61" s="167"/>
      <c r="E61" s="167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229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168" t="s">
        <v>2</v>
      </c>
      <c r="D63" s="168" t="s">
        <v>37</v>
      </c>
      <c r="E63" s="168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168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/>
      <c r="D64" s="172"/>
      <c r="E64" s="169"/>
      <c r="F64" s="499"/>
      <c r="G64" s="500"/>
      <c r="H64" s="500"/>
      <c r="I64" s="500"/>
      <c r="J64" s="501"/>
      <c r="K64" s="502"/>
      <c r="L64" s="502"/>
      <c r="M64" s="51"/>
      <c r="N64" s="503"/>
      <c r="O64" s="503"/>
      <c r="P64" s="504"/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/>
      <c r="D65" s="172"/>
      <c r="E65" s="169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/>
      <c r="D66" s="172"/>
      <c r="E66" s="169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/>
      <c r="D67" s="172"/>
      <c r="E67" s="169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/>
      <c r="D68" s="172"/>
      <c r="E68" s="169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/>
      <c r="D69" s="172"/>
      <c r="E69" s="169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172"/>
      <c r="E70" s="169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172"/>
      <c r="E71" s="169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172"/>
      <c r="E72" s="169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172"/>
      <c r="E73" s="169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230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171" t="s">
        <v>2</v>
      </c>
      <c r="D75" s="171" t="s">
        <v>37</v>
      </c>
      <c r="E75" s="171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173" t="s">
        <v>112</v>
      </c>
      <c r="D76" s="173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172"/>
      <c r="D77" s="172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172"/>
      <c r="D78" s="172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172"/>
      <c r="D79" s="172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172"/>
      <c r="D80" s="172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172"/>
      <c r="D81" s="172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172"/>
      <c r="D82" s="172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231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F1D3-B885-4435-97CE-6658665C0AE9}">
  <dimension ref="A1:AF89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232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186" t="s">
        <v>17</v>
      </c>
      <c r="L5" s="186" t="s">
        <v>18</v>
      </c>
      <c r="M5" s="186" t="s">
        <v>19</v>
      </c>
      <c r="N5" s="18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0.60185185185185175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112</v>
      </c>
      <c r="D7" s="52" t="s">
        <v>154</v>
      </c>
      <c r="E7" s="53" t="s">
        <v>196</v>
      </c>
      <c r="F7" s="12" t="s">
        <v>134</v>
      </c>
      <c r="G7" s="12">
        <v>1</v>
      </c>
      <c r="H7" s="13">
        <v>24</v>
      </c>
      <c r="I7" s="31">
        <v>130</v>
      </c>
      <c r="J7" s="14">
        <v>130</v>
      </c>
      <c r="K7" s="15">
        <f>L7+130</f>
        <v>130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>
        <v>24</v>
      </c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0.60185185185185175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233</v>
      </c>
      <c r="E8" s="53" t="s">
        <v>228</v>
      </c>
      <c r="F8" s="30" t="s">
        <v>146</v>
      </c>
      <c r="G8" s="33">
        <v>1</v>
      </c>
      <c r="H8" s="35">
        <v>24</v>
      </c>
      <c r="I8" s="7">
        <v>800</v>
      </c>
      <c r="J8" s="5">
        <v>800</v>
      </c>
      <c r="K8" s="15">
        <f>L8</f>
        <v>800</v>
      </c>
      <c r="L8" s="15">
        <v>800</v>
      </c>
      <c r="M8" s="15">
        <f t="shared" si="0"/>
        <v>800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0.60185185185185175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188</v>
      </c>
      <c r="D9" s="52" t="s">
        <v>225</v>
      </c>
      <c r="E9" s="53" t="s">
        <v>234</v>
      </c>
      <c r="F9" s="30" t="s">
        <v>197</v>
      </c>
      <c r="G9" s="33">
        <v>1</v>
      </c>
      <c r="H9" s="35">
        <v>24</v>
      </c>
      <c r="I9" s="7">
        <v>15000</v>
      </c>
      <c r="J9" s="5">
        <v>4197</v>
      </c>
      <c r="K9" s="15">
        <f>L9</f>
        <v>4197</v>
      </c>
      <c r="L9" s="15">
        <f>3217+980</f>
        <v>4197</v>
      </c>
      <c r="M9" s="15">
        <f t="shared" ref="M9" si="9">L9-N9</f>
        <v>4197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18</v>
      </c>
      <c r="Q9" s="40">
        <f t="shared" ref="Q9" si="12">SUM(R9:AA9)</f>
        <v>6</v>
      </c>
      <c r="R9" s="7"/>
      <c r="S9" s="6"/>
      <c r="T9" s="16">
        <v>6</v>
      </c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0.75</v>
      </c>
      <c r="AD9" s="10">
        <f t="shared" ref="AD9" si="15">AC9*AB9*(1-O9)</f>
        <v>0.75</v>
      </c>
      <c r="AE9" s="36">
        <f t="shared" si="7"/>
        <v>0.60185185185185175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140</v>
      </c>
      <c r="E10" s="53" t="s">
        <v>138</v>
      </c>
      <c r="F10" s="30" t="s">
        <v>135</v>
      </c>
      <c r="G10" s="12">
        <v>1</v>
      </c>
      <c r="H10" s="13">
        <v>24</v>
      </c>
      <c r="I10" s="7">
        <v>65000</v>
      </c>
      <c r="J10" s="14">
        <v>4162</v>
      </c>
      <c r="K10" s="15">
        <f>L10+1344+2695+2818+1363+3398+4807+5146+5399+5363+4916+4752+2389+5076+5367</f>
        <v>58995</v>
      </c>
      <c r="L10" s="15">
        <f>1494+2668</f>
        <v>4162</v>
      </c>
      <c r="M10" s="15">
        <f t="shared" si="0"/>
        <v>4162</v>
      </c>
      <c r="N10" s="15">
        <v>0</v>
      </c>
      <c r="O10" s="58">
        <f t="shared" si="1"/>
        <v>0</v>
      </c>
      <c r="P10" s="39">
        <f t="shared" si="2"/>
        <v>20</v>
      </c>
      <c r="Q10" s="40">
        <f t="shared" si="3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0.83333333333333337</v>
      </c>
      <c r="AD10" s="10">
        <f t="shared" si="6"/>
        <v>0.83333333333333337</v>
      </c>
      <c r="AE10" s="36">
        <f t="shared" si="7"/>
        <v>0.60185185185185175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188</v>
      </c>
      <c r="D11" s="52" t="s">
        <v>189</v>
      </c>
      <c r="E11" s="53" t="s">
        <v>186</v>
      </c>
      <c r="F11" s="30" t="s">
        <v>197</v>
      </c>
      <c r="G11" s="33">
        <v>2</v>
      </c>
      <c r="H11" s="35">
        <v>24</v>
      </c>
      <c r="I11" s="7">
        <v>30000</v>
      </c>
      <c r="J11" s="14">
        <v>7734</v>
      </c>
      <c r="K11" s="15">
        <f>L11+11988+12980</f>
        <v>32702</v>
      </c>
      <c r="L11" s="15">
        <f>611*2+3256*2</f>
        <v>7734</v>
      </c>
      <c r="M11" s="15">
        <f t="shared" si="0"/>
        <v>7734</v>
      </c>
      <c r="N11" s="15">
        <v>0</v>
      </c>
      <c r="O11" s="58">
        <f t="shared" si="1"/>
        <v>0</v>
      </c>
      <c r="P11" s="39">
        <f t="shared" si="2"/>
        <v>17</v>
      </c>
      <c r="Q11" s="40">
        <f t="shared" si="3"/>
        <v>7</v>
      </c>
      <c r="R11" s="7"/>
      <c r="S11" s="6"/>
      <c r="T11" s="16"/>
      <c r="U11" s="16"/>
      <c r="V11" s="17"/>
      <c r="W11" s="5">
        <v>7</v>
      </c>
      <c r="X11" s="16"/>
      <c r="Y11" s="16"/>
      <c r="Z11" s="16"/>
      <c r="AA11" s="18"/>
      <c r="AB11" s="8">
        <f t="shared" si="4"/>
        <v>1</v>
      </c>
      <c r="AC11" s="9">
        <f t="shared" si="5"/>
        <v>0.70833333333333337</v>
      </c>
      <c r="AD11" s="10">
        <f t="shared" si="6"/>
        <v>0.70833333333333337</v>
      </c>
      <c r="AE11" s="36">
        <f t="shared" si="7"/>
        <v>0.60185185185185175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140</v>
      </c>
      <c r="E12" s="53" t="s">
        <v>145</v>
      </c>
      <c r="F12" s="30" t="s">
        <v>146</v>
      </c>
      <c r="G12" s="33">
        <v>1</v>
      </c>
      <c r="H12" s="35">
        <v>24</v>
      </c>
      <c r="I12" s="7">
        <v>54000</v>
      </c>
      <c r="J12" s="14">
        <v>5793</v>
      </c>
      <c r="K12" s="15">
        <f>L12+5150+4152+4675+5715+2598+5455+5797</f>
        <v>39335</v>
      </c>
      <c r="L12" s="15">
        <f>2886+2907</f>
        <v>5793</v>
      </c>
      <c r="M12" s="15">
        <f t="shared" si="0"/>
        <v>5793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0.60185185185185175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136</v>
      </c>
      <c r="F13" s="30" t="s">
        <v>130</v>
      </c>
      <c r="G13" s="12">
        <v>1</v>
      </c>
      <c r="H13" s="13">
        <v>22</v>
      </c>
      <c r="I13" s="31">
        <v>76000</v>
      </c>
      <c r="J13" s="5">
        <v>2504</v>
      </c>
      <c r="K13" s="15">
        <f>L13+5135+5549+5689+5232+5555+942+4639+4634+2453+5366+5303</f>
        <v>53001</v>
      </c>
      <c r="L13" s="15">
        <f>1020+1484</f>
        <v>2504</v>
      </c>
      <c r="M13" s="15">
        <f t="shared" si="0"/>
        <v>2504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6">
        <f t="shared" si="7"/>
        <v>0.60185185185185175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118</v>
      </c>
      <c r="D14" s="52" t="s">
        <v>140</v>
      </c>
      <c r="E14" s="53" t="s">
        <v>163</v>
      </c>
      <c r="F14" s="30" t="s">
        <v>146</v>
      </c>
      <c r="G14" s="33">
        <v>1</v>
      </c>
      <c r="H14" s="35">
        <v>24</v>
      </c>
      <c r="I14" s="7">
        <v>15000</v>
      </c>
      <c r="J14" s="14">
        <v>1500</v>
      </c>
      <c r="K14" s="15">
        <f>L14+2321+4109+1908+5229+4984</f>
        <v>20051</v>
      </c>
      <c r="L14" s="15">
        <v>1500</v>
      </c>
      <c r="M14" s="15">
        <f t="shared" si="0"/>
        <v>1500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>
        <v>18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0.60185185185185175</v>
      </c>
      <c r="AF14" s="84">
        <f t="shared" si="8"/>
        <v>8</v>
      </c>
    </row>
    <row r="15" spans="1:32" ht="27" customHeight="1">
      <c r="A15" s="96">
        <v>8</v>
      </c>
      <c r="B15" s="11" t="s">
        <v>57</v>
      </c>
      <c r="C15" s="11" t="s">
        <v>112</v>
      </c>
      <c r="D15" s="52" t="s">
        <v>132</v>
      </c>
      <c r="E15" s="53" t="s">
        <v>235</v>
      </c>
      <c r="F15" s="30" t="s">
        <v>133</v>
      </c>
      <c r="G15" s="33">
        <v>1</v>
      </c>
      <c r="H15" s="35">
        <v>24</v>
      </c>
      <c r="I15" s="7">
        <v>480</v>
      </c>
      <c r="J15" s="14">
        <v>480</v>
      </c>
      <c r="K15" s="15">
        <f>L15</f>
        <v>480</v>
      </c>
      <c r="L15" s="15">
        <v>480</v>
      </c>
      <c r="M15" s="15">
        <f t="shared" ref="M15" si="17">L15-N15</f>
        <v>480</v>
      </c>
      <c r="N15" s="15">
        <v>0</v>
      </c>
      <c r="O15" s="58">
        <f t="shared" ref="O15" si="18">IF(L15=0,"0",N15/L15)</f>
        <v>0</v>
      </c>
      <c r="P15" s="39">
        <f t="shared" ref="P15" si="19">IF(L15=0,"0",(24-Q15))</f>
        <v>3</v>
      </c>
      <c r="Q15" s="40">
        <f t="shared" ref="Q15" si="20">SUM(R15:AA15)</f>
        <v>21</v>
      </c>
      <c r="R15" s="7"/>
      <c r="S15" s="6">
        <v>2</v>
      </c>
      <c r="T15" s="16">
        <v>7</v>
      </c>
      <c r="U15" s="16"/>
      <c r="V15" s="17"/>
      <c r="W15" s="5"/>
      <c r="X15" s="16"/>
      <c r="Y15" s="16"/>
      <c r="Z15" s="16"/>
      <c r="AA15" s="18">
        <v>12</v>
      </c>
      <c r="AB15" s="8">
        <f t="shared" ref="AB15" si="21">IF(J15=0,"0",(L15/J15))</f>
        <v>1</v>
      </c>
      <c r="AC15" s="9">
        <f t="shared" ref="AC15" si="22">IF(P15=0,"0",(P15/24))</f>
        <v>0.125</v>
      </c>
      <c r="AD15" s="10">
        <f t="shared" ref="AD15" si="23">AC15*AB15*(1-O15)</f>
        <v>0.125</v>
      </c>
      <c r="AE15" s="36">
        <f t="shared" si="7"/>
        <v>0.60185185185185175</v>
      </c>
      <c r="AF15" s="84">
        <f t="shared" ref="AF15" si="24">A15</f>
        <v>8</v>
      </c>
    </row>
    <row r="16" spans="1:32" ht="27" customHeight="1">
      <c r="A16" s="105">
        <v>9</v>
      </c>
      <c r="B16" s="11" t="s">
        <v>57</v>
      </c>
      <c r="C16" s="34" t="s">
        <v>158</v>
      </c>
      <c r="D16" s="52" t="s">
        <v>115</v>
      </c>
      <c r="E16" s="53" t="s">
        <v>164</v>
      </c>
      <c r="F16" s="30" t="s">
        <v>159</v>
      </c>
      <c r="G16" s="33">
        <v>1</v>
      </c>
      <c r="H16" s="35">
        <v>50</v>
      </c>
      <c r="I16" s="7">
        <v>100</v>
      </c>
      <c r="J16" s="5">
        <v>926</v>
      </c>
      <c r="K16" s="15">
        <f>L16</f>
        <v>0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0.60185185185185175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120</v>
      </c>
      <c r="D17" s="52"/>
      <c r="E17" s="53" t="s">
        <v>160</v>
      </c>
      <c r="F17" s="12" t="s">
        <v>129</v>
      </c>
      <c r="G17" s="12">
        <v>1</v>
      </c>
      <c r="H17" s="13">
        <v>24</v>
      </c>
      <c r="I17" s="31">
        <v>3900</v>
      </c>
      <c r="J17" s="14">
        <v>4438</v>
      </c>
      <c r="K17" s="15">
        <f>L17</f>
        <v>4438</v>
      </c>
      <c r="L17" s="15">
        <f>1457+2981</f>
        <v>4438</v>
      </c>
      <c r="M17" s="15">
        <f t="shared" si="0"/>
        <v>4438</v>
      </c>
      <c r="N17" s="15">
        <v>0</v>
      </c>
      <c r="O17" s="58">
        <f t="shared" si="1"/>
        <v>0</v>
      </c>
      <c r="P17" s="39">
        <f t="shared" si="2"/>
        <v>21</v>
      </c>
      <c r="Q17" s="40">
        <f t="shared" si="3"/>
        <v>3</v>
      </c>
      <c r="R17" s="7"/>
      <c r="S17" s="6"/>
      <c r="T17" s="16">
        <v>3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0.875</v>
      </c>
      <c r="AD17" s="10">
        <f t="shared" si="6"/>
        <v>0.875</v>
      </c>
      <c r="AE17" s="36">
        <f t="shared" si="7"/>
        <v>0.60185185185185175</v>
      </c>
      <c r="AF17" s="84">
        <f t="shared" si="8"/>
        <v>10</v>
      </c>
    </row>
    <row r="18" spans="1:32" ht="30" customHeight="1">
      <c r="A18" s="112">
        <v>11</v>
      </c>
      <c r="B18" s="11" t="s">
        <v>57</v>
      </c>
      <c r="C18" s="34" t="s">
        <v>118</v>
      </c>
      <c r="D18" s="52" t="s">
        <v>219</v>
      </c>
      <c r="E18" s="53" t="s">
        <v>220</v>
      </c>
      <c r="F18" s="30" t="s">
        <v>133</v>
      </c>
      <c r="G18" s="12">
        <v>1</v>
      </c>
      <c r="H18" s="13">
        <v>24</v>
      </c>
      <c r="I18" s="7">
        <v>95000</v>
      </c>
      <c r="J18" s="14">
        <v>5850</v>
      </c>
      <c r="K18" s="15">
        <f>L18+4303</f>
        <v>10153</v>
      </c>
      <c r="L18" s="15">
        <f>2901+2949</f>
        <v>5850</v>
      </c>
      <c r="M18" s="15">
        <f t="shared" si="0"/>
        <v>5850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0.60185185185185175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188</v>
      </c>
      <c r="D19" s="52" t="s">
        <v>201</v>
      </c>
      <c r="E19" s="53" t="s">
        <v>202</v>
      </c>
      <c r="F19" s="30" t="s">
        <v>144</v>
      </c>
      <c r="G19" s="12">
        <v>1</v>
      </c>
      <c r="H19" s="13">
        <v>24</v>
      </c>
      <c r="I19" s="7">
        <v>15000</v>
      </c>
      <c r="J19" s="14">
        <v>4083</v>
      </c>
      <c r="K19" s="15">
        <f>L19+3414+6022</f>
        <v>13519</v>
      </c>
      <c r="L19" s="15">
        <f>1525+2558</f>
        <v>4083</v>
      </c>
      <c r="M19" s="15">
        <f t="shared" si="0"/>
        <v>4083</v>
      </c>
      <c r="N19" s="15">
        <v>0</v>
      </c>
      <c r="O19" s="58">
        <f t="shared" si="1"/>
        <v>0</v>
      </c>
      <c r="P19" s="39">
        <f t="shared" si="2"/>
        <v>18</v>
      </c>
      <c r="Q19" s="40">
        <f t="shared" si="3"/>
        <v>6</v>
      </c>
      <c r="R19" s="7"/>
      <c r="S19" s="6">
        <v>6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0.75</v>
      </c>
      <c r="AD19" s="10">
        <f t="shared" si="6"/>
        <v>0.75</v>
      </c>
      <c r="AE19" s="36">
        <f t="shared" si="7"/>
        <v>0.60185185185185175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188</v>
      </c>
      <c r="D20" s="52" t="s">
        <v>115</v>
      </c>
      <c r="E20" s="53" t="s">
        <v>213</v>
      </c>
      <c r="F20" s="30" t="s">
        <v>197</v>
      </c>
      <c r="G20" s="33">
        <v>1</v>
      </c>
      <c r="H20" s="35">
        <v>24</v>
      </c>
      <c r="I20" s="7">
        <v>15000</v>
      </c>
      <c r="J20" s="14">
        <v>5686</v>
      </c>
      <c r="K20" s="15">
        <f>L20+5156</f>
        <v>10842</v>
      </c>
      <c r="L20" s="15">
        <f>2826+2860</f>
        <v>5686</v>
      </c>
      <c r="M20" s="15">
        <f t="shared" si="0"/>
        <v>5686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0.60185185185185175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118</v>
      </c>
      <c r="D21" s="52" t="s">
        <v>115</v>
      </c>
      <c r="E21" s="53" t="s">
        <v>162</v>
      </c>
      <c r="F21" s="30" t="s">
        <v>142</v>
      </c>
      <c r="G21" s="33">
        <v>1</v>
      </c>
      <c r="H21" s="35">
        <v>24</v>
      </c>
      <c r="I21" s="7">
        <v>15000</v>
      </c>
      <c r="J21" s="14">
        <v>3883</v>
      </c>
      <c r="K21" s="15">
        <f>L21</f>
        <v>3883</v>
      </c>
      <c r="L21" s="15">
        <f>1223+2660</f>
        <v>3883</v>
      </c>
      <c r="M21" s="15">
        <f t="shared" si="0"/>
        <v>3883</v>
      </c>
      <c r="N21" s="15">
        <v>0</v>
      </c>
      <c r="O21" s="58">
        <f t="shared" si="1"/>
        <v>0</v>
      </c>
      <c r="P21" s="39">
        <f t="shared" si="2"/>
        <v>18</v>
      </c>
      <c r="Q21" s="40">
        <f t="shared" si="3"/>
        <v>6</v>
      </c>
      <c r="R21" s="7"/>
      <c r="S21" s="6">
        <v>6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0.75</v>
      </c>
      <c r="AD21" s="10">
        <f t="shared" si="6"/>
        <v>0.75</v>
      </c>
      <c r="AE21" s="36">
        <f t="shared" si="7"/>
        <v>0.60185185185185175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115</v>
      </c>
      <c r="E22" s="53" t="s">
        <v>148</v>
      </c>
      <c r="F22" s="30" t="s">
        <v>130</v>
      </c>
      <c r="G22" s="12">
        <v>1</v>
      </c>
      <c r="H22" s="13">
        <v>24</v>
      </c>
      <c r="I22" s="7">
        <v>62000</v>
      </c>
      <c r="J22" s="14">
        <v>5680</v>
      </c>
      <c r="K22" s="15">
        <f>L22</f>
        <v>5680</v>
      </c>
      <c r="L22" s="15">
        <f>2823+2857</f>
        <v>5680</v>
      </c>
      <c r="M22" s="15">
        <f t="shared" si="0"/>
        <v>5680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0.60185185185185175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157</v>
      </c>
      <c r="F23" s="12" t="s">
        <v>114</v>
      </c>
      <c r="G23" s="12">
        <v>4</v>
      </c>
      <c r="H23" s="35">
        <v>20</v>
      </c>
      <c r="I23" s="7">
        <v>2000000</v>
      </c>
      <c r="J23" s="14">
        <v>69956</v>
      </c>
      <c r="K23" s="15">
        <f>L23+63388+69392+28968+33256+34460+34384+70208+69780+63952+70200+69756+69704+63720+69508</f>
        <v>880632</v>
      </c>
      <c r="L23" s="15">
        <f>8696*4+8793*4</f>
        <v>69956</v>
      </c>
      <c r="M23" s="15">
        <f t="shared" si="0"/>
        <v>69956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0.60185185185185175</v>
      </c>
      <c r="AF23" s="84">
        <f t="shared" si="8"/>
        <v>16</v>
      </c>
    </row>
    <row r="24" spans="1:32" ht="31.5" customHeight="1" thickBot="1">
      <c r="A24" s="444" t="s">
        <v>34</v>
      </c>
      <c r="B24" s="445"/>
      <c r="C24" s="445"/>
      <c r="D24" s="445"/>
      <c r="E24" s="445"/>
      <c r="F24" s="445"/>
      <c r="G24" s="445"/>
      <c r="H24" s="446"/>
      <c r="I24" s="22">
        <f t="shared" ref="I24:N24" si="25">SUM(I6:I23)</f>
        <v>2475410</v>
      </c>
      <c r="J24" s="19">
        <f t="shared" si="25"/>
        <v>131203</v>
      </c>
      <c r="K24" s="20">
        <f t="shared" si="25"/>
        <v>1145431</v>
      </c>
      <c r="L24" s="21">
        <f t="shared" si="25"/>
        <v>126746</v>
      </c>
      <c r="M24" s="20">
        <f t="shared" si="25"/>
        <v>126746</v>
      </c>
      <c r="N24" s="21">
        <f t="shared" si="25"/>
        <v>0</v>
      </c>
      <c r="O24" s="41">
        <f t="shared" si="1"/>
        <v>0</v>
      </c>
      <c r="P24" s="42">
        <f t="shared" ref="P24:AA24" si="26">SUM(P6:P23)</f>
        <v>260</v>
      </c>
      <c r="Q24" s="43">
        <f t="shared" si="26"/>
        <v>172</v>
      </c>
      <c r="R24" s="23">
        <f t="shared" si="26"/>
        <v>0</v>
      </c>
      <c r="S24" s="24">
        <f t="shared" si="26"/>
        <v>70</v>
      </c>
      <c r="T24" s="24">
        <f t="shared" si="26"/>
        <v>16</v>
      </c>
      <c r="U24" s="24">
        <f t="shared" si="26"/>
        <v>0</v>
      </c>
      <c r="V24" s="25">
        <f t="shared" si="26"/>
        <v>24</v>
      </c>
      <c r="W24" s="26">
        <f t="shared" si="26"/>
        <v>50</v>
      </c>
      <c r="X24" s="27">
        <f t="shared" si="26"/>
        <v>0</v>
      </c>
      <c r="Y24" s="27">
        <f t="shared" si="26"/>
        <v>0</v>
      </c>
      <c r="Z24" s="27">
        <f t="shared" si="26"/>
        <v>0</v>
      </c>
      <c r="AA24" s="27">
        <f t="shared" si="26"/>
        <v>12</v>
      </c>
      <c r="AB24" s="28">
        <f>AVERAGE(AB6:AB23)</f>
        <v>0.83333333333333337</v>
      </c>
      <c r="AC24" s="4">
        <f>AVERAGE(AC6:AC23)</f>
        <v>0.60185185185185175</v>
      </c>
      <c r="AD24" s="4">
        <f>AVERAGE(AD6:AD23)</f>
        <v>0.60185185185185175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7" t="s">
        <v>45</v>
      </c>
      <c r="B51" s="447"/>
      <c r="C51" s="447"/>
      <c r="D51" s="447"/>
      <c r="E51" s="44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8" t="s">
        <v>236</v>
      </c>
      <c r="B52" s="449"/>
      <c r="C52" s="449"/>
      <c r="D52" s="449"/>
      <c r="E52" s="449"/>
      <c r="F52" s="449"/>
      <c r="G52" s="449"/>
      <c r="H52" s="449"/>
      <c r="I52" s="449"/>
      <c r="J52" s="449"/>
      <c r="K52" s="449"/>
      <c r="L52" s="449"/>
      <c r="M52" s="450"/>
      <c r="N52" s="451" t="s">
        <v>240</v>
      </c>
      <c r="O52" s="452"/>
      <c r="P52" s="452"/>
      <c r="Q52" s="452"/>
      <c r="R52" s="452"/>
      <c r="S52" s="452"/>
      <c r="T52" s="452"/>
      <c r="U52" s="452"/>
      <c r="V52" s="452"/>
      <c r="W52" s="452"/>
      <c r="X52" s="452"/>
      <c r="Y52" s="452"/>
      <c r="Z52" s="452"/>
      <c r="AA52" s="452"/>
      <c r="AB52" s="452"/>
      <c r="AC52" s="452"/>
      <c r="AD52" s="453"/>
    </row>
    <row r="53" spans="1:32" ht="27" customHeight="1">
      <c r="A53" s="454" t="s">
        <v>2</v>
      </c>
      <c r="B53" s="455"/>
      <c r="C53" s="185" t="s">
        <v>46</v>
      </c>
      <c r="D53" s="185" t="s">
        <v>47</v>
      </c>
      <c r="E53" s="185" t="s">
        <v>107</v>
      </c>
      <c r="F53" s="456" t="s">
        <v>106</v>
      </c>
      <c r="G53" s="457"/>
      <c r="H53" s="457"/>
      <c r="I53" s="457"/>
      <c r="J53" s="457"/>
      <c r="K53" s="457"/>
      <c r="L53" s="457"/>
      <c r="M53" s="458"/>
      <c r="N53" s="67" t="s">
        <v>110</v>
      </c>
      <c r="O53" s="185" t="s">
        <v>46</v>
      </c>
      <c r="P53" s="456" t="s">
        <v>47</v>
      </c>
      <c r="Q53" s="459"/>
      <c r="R53" s="456" t="s">
        <v>38</v>
      </c>
      <c r="S53" s="457"/>
      <c r="T53" s="457"/>
      <c r="U53" s="459"/>
      <c r="V53" s="456" t="s">
        <v>48</v>
      </c>
      <c r="W53" s="457"/>
      <c r="X53" s="457"/>
      <c r="Y53" s="457"/>
      <c r="Z53" s="457"/>
      <c r="AA53" s="457"/>
      <c r="AB53" s="457"/>
      <c r="AC53" s="457"/>
      <c r="AD53" s="458"/>
    </row>
    <row r="54" spans="1:32" ht="27" customHeight="1">
      <c r="A54" s="470" t="s">
        <v>118</v>
      </c>
      <c r="B54" s="471"/>
      <c r="C54" s="180" t="s">
        <v>209</v>
      </c>
      <c r="D54" s="180" t="s">
        <v>115</v>
      </c>
      <c r="E54" s="181" t="s">
        <v>162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184" t="s">
        <v>118</v>
      </c>
      <c r="O54" s="178" t="s">
        <v>149</v>
      </c>
      <c r="P54" s="475" t="s">
        <v>115</v>
      </c>
      <c r="Q54" s="476"/>
      <c r="R54" s="475" t="s">
        <v>136</v>
      </c>
      <c r="S54" s="477"/>
      <c r="T54" s="477"/>
      <c r="U54" s="476"/>
      <c r="V54" s="478" t="s">
        <v>124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118</v>
      </c>
      <c r="B55" s="481"/>
      <c r="C55" s="181" t="s">
        <v>128</v>
      </c>
      <c r="D55" s="181" t="s">
        <v>143</v>
      </c>
      <c r="E55" s="181" t="s">
        <v>163</v>
      </c>
      <c r="F55" s="472" t="s">
        <v>204</v>
      </c>
      <c r="G55" s="473"/>
      <c r="H55" s="473"/>
      <c r="I55" s="473"/>
      <c r="J55" s="473"/>
      <c r="K55" s="473"/>
      <c r="L55" s="473"/>
      <c r="M55" s="474"/>
      <c r="N55" s="184" t="s">
        <v>120</v>
      </c>
      <c r="O55" s="178" t="s">
        <v>205</v>
      </c>
      <c r="P55" s="475"/>
      <c r="Q55" s="476"/>
      <c r="R55" s="475" t="s">
        <v>241</v>
      </c>
      <c r="S55" s="477"/>
      <c r="T55" s="477"/>
      <c r="U55" s="476"/>
      <c r="V55" s="478" t="s">
        <v>187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188</v>
      </c>
      <c r="B56" s="481"/>
      <c r="C56" s="181" t="s">
        <v>131</v>
      </c>
      <c r="D56" s="181" t="s">
        <v>225</v>
      </c>
      <c r="E56" s="181" t="s">
        <v>234</v>
      </c>
      <c r="F56" s="472" t="s">
        <v>187</v>
      </c>
      <c r="G56" s="473"/>
      <c r="H56" s="473"/>
      <c r="I56" s="473"/>
      <c r="J56" s="473"/>
      <c r="K56" s="473"/>
      <c r="L56" s="473"/>
      <c r="M56" s="474"/>
      <c r="N56" s="184" t="s">
        <v>120</v>
      </c>
      <c r="O56" s="178" t="s">
        <v>171</v>
      </c>
      <c r="P56" s="475"/>
      <c r="Q56" s="476"/>
      <c r="R56" s="475" t="s">
        <v>242</v>
      </c>
      <c r="S56" s="477"/>
      <c r="T56" s="477"/>
      <c r="U56" s="476"/>
      <c r="V56" s="478" t="s">
        <v>187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188</v>
      </c>
      <c r="B57" s="481"/>
      <c r="C57" s="181" t="s">
        <v>184</v>
      </c>
      <c r="D57" s="181" t="s">
        <v>237</v>
      </c>
      <c r="E57" s="181" t="s">
        <v>202</v>
      </c>
      <c r="F57" s="472" t="s">
        <v>207</v>
      </c>
      <c r="G57" s="473"/>
      <c r="H57" s="473"/>
      <c r="I57" s="473"/>
      <c r="J57" s="473"/>
      <c r="K57" s="473"/>
      <c r="L57" s="473"/>
      <c r="M57" s="474"/>
      <c r="N57" s="184" t="s">
        <v>158</v>
      </c>
      <c r="O57" s="178" t="s">
        <v>243</v>
      </c>
      <c r="P57" s="475"/>
      <c r="Q57" s="476"/>
      <c r="R57" s="475" t="s">
        <v>164</v>
      </c>
      <c r="S57" s="477"/>
      <c r="T57" s="477"/>
      <c r="U57" s="476"/>
      <c r="V57" s="478" t="s">
        <v>124</v>
      </c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 t="s">
        <v>112</v>
      </c>
      <c r="B58" s="471"/>
      <c r="C58" s="180" t="s">
        <v>131</v>
      </c>
      <c r="D58" s="180" t="s">
        <v>227</v>
      </c>
      <c r="E58" s="181" t="s">
        <v>228</v>
      </c>
      <c r="F58" s="472" t="s">
        <v>206</v>
      </c>
      <c r="G58" s="473"/>
      <c r="H58" s="473"/>
      <c r="I58" s="473"/>
      <c r="J58" s="473"/>
      <c r="K58" s="473"/>
      <c r="L58" s="473"/>
      <c r="M58" s="474"/>
      <c r="N58" s="184" t="s">
        <v>188</v>
      </c>
      <c r="O58" s="178" t="s">
        <v>184</v>
      </c>
      <c r="P58" s="475"/>
      <c r="Q58" s="476"/>
      <c r="R58" s="475" t="s">
        <v>202</v>
      </c>
      <c r="S58" s="477"/>
      <c r="T58" s="477"/>
      <c r="U58" s="476"/>
      <c r="V58" s="478" t="s">
        <v>124</v>
      </c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 t="s">
        <v>118</v>
      </c>
      <c r="B59" s="471"/>
      <c r="C59" s="180" t="s">
        <v>147</v>
      </c>
      <c r="D59" s="180" t="s">
        <v>143</v>
      </c>
      <c r="E59" s="181" t="s">
        <v>138</v>
      </c>
      <c r="F59" s="472" t="s">
        <v>222</v>
      </c>
      <c r="G59" s="473"/>
      <c r="H59" s="473"/>
      <c r="I59" s="473"/>
      <c r="J59" s="473"/>
      <c r="K59" s="473"/>
      <c r="L59" s="473"/>
      <c r="M59" s="474"/>
      <c r="N59" s="184"/>
      <c r="O59" s="178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 t="s">
        <v>118</v>
      </c>
      <c r="B60" s="471"/>
      <c r="C60" s="180" t="s">
        <v>149</v>
      </c>
      <c r="D60" s="180" t="s">
        <v>115</v>
      </c>
      <c r="E60" s="181" t="s">
        <v>136</v>
      </c>
      <c r="F60" s="472" t="s">
        <v>238</v>
      </c>
      <c r="G60" s="473"/>
      <c r="H60" s="473"/>
      <c r="I60" s="473"/>
      <c r="J60" s="473"/>
      <c r="K60" s="473"/>
      <c r="L60" s="473"/>
      <c r="M60" s="474"/>
      <c r="N60" s="184"/>
      <c r="O60" s="178"/>
      <c r="P60" s="475"/>
      <c r="Q60" s="476"/>
      <c r="R60" s="475"/>
      <c r="S60" s="477"/>
      <c r="T60" s="477"/>
      <c r="U60" s="476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80" t="s">
        <v>112</v>
      </c>
      <c r="B61" s="481"/>
      <c r="C61" s="181" t="s">
        <v>128</v>
      </c>
      <c r="D61" s="181" t="s">
        <v>132</v>
      </c>
      <c r="E61" s="181" t="s">
        <v>235</v>
      </c>
      <c r="F61" s="472" t="s">
        <v>239</v>
      </c>
      <c r="G61" s="473"/>
      <c r="H61" s="473"/>
      <c r="I61" s="473"/>
      <c r="J61" s="473"/>
      <c r="K61" s="473"/>
      <c r="L61" s="473"/>
      <c r="M61" s="474"/>
      <c r="N61" s="184"/>
      <c r="O61" s="178"/>
      <c r="P61" s="475"/>
      <c r="Q61" s="476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</row>
    <row r="62" spans="1:32" ht="27" customHeight="1">
      <c r="A62" s="470"/>
      <c r="B62" s="471"/>
      <c r="C62" s="180"/>
      <c r="D62" s="180"/>
      <c r="E62" s="181"/>
      <c r="F62" s="472"/>
      <c r="G62" s="473"/>
      <c r="H62" s="473"/>
      <c r="I62" s="473"/>
      <c r="J62" s="473"/>
      <c r="K62" s="473"/>
      <c r="L62" s="473"/>
      <c r="M62" s="474"/>
      <c r="N62" s="184"/>
      <c r="O62" s="178"/>
      <c r="P62" s="481"/>
      <c r="Q62" s="481"/>
      <c r="R62" s="481"/>
      <c r="S62" s="481"/>
      <c r="T62" s="481"/>
      <c r="U62" s="481"/>
      <c r="V62" s="478"/>
      <c r="W62" s="478"/>
      <c r="X62" s="478"/>
      <c r="Y62" s="478"/>
      <c r="Z62" s="478"/>
      <c r="AA62" s="478"/>
      <c r="AB62" s="478"/>
      <c r="AC62" s="478"/>
      <c r="AD62" s="479"/>
      <c r="AF62" s="84">
        <f>8*3000</f>
        <v>24000</v>
      </c>
    </row>
    <row r="63" spans="1:32" ht="27" customHeight="1" thickBot="1">
      <c r="A63" s="482"/>
      <c r="B63" s="483"/>
      <c r="C63" s="182"/>
      <c r="D63" s="183"/>
      <c r="E63" s="183"/>
      <c r="F63" s="484"/>
      <c r="G63" s="485"/>
      <c r="H63" s="485"/>
      <c r="I63" s="485"/>
      <c r="J63" s="485"/>
      <c r="K63" s="485"/>
      <c r="L63" s="485"/>
      <c r="M63" s="486"/>
      <c r="N63" s="111"/>
      <c r="O63" s="103"/>
      <c r="P63" s="487"/>
      <c r="Q63" s="487"/>
      <c r="R63" s="487"/>
      <c r="S63" s="487"/>
      <c r="T63" s="487"/>
      <c r="U63" s="487"/>
      <c r="V63" s="488"/>
      <c r="W63" s="488"/>
      <c r="X63" s="488"/>
      <c r="Y63" s="488"/>
      <c r="Z63" s="488"/>
      <c r="AA63" s="488"/>
      <c r="AB63" s="488"/>
      <c r="AC63" s="488"/>
      <c r="AD63" s="489"/>
      <c r="AF63" s="84">
        <f>16*3000</f>
        <v>48000</v>
      </c>
    </row>
    <row r="64" spans="1:32" ht="27.75" thickBot="1">
      <c r="A64" s="490" t="s">
        <v>244</v>
      </c>
      <c r="B64" s="490"/>
      <c r="C64" s="490"/>
      <c r="D64" s="490"/>
      <c r="E64" s="490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91" t="s">
        <v>111</v>
      </c>
      <c r="B65" s="492"/>
      <c r="C65" s="179" t="s">
        <v>2</v>
      </c>
      <c r="D65" s="179" t="s">
        <v>37</v>
      </c>
      <c r="E65" s="179" t="s">
        <v>3</v>
      </c>
      <c r="F65" s="492" t="s">
        <v>109</v>
      </c>
      <c r="G65" s="492"/>
      <c r="H65" s="492"/>
      <c r="I65" s="492"/>
      <c r="J65" s="492"/>
      <c r="K65" s="492" t="s">
        <v>39</v>
      </c>
      <c r="L65" s="492"/>
      <c r="M65" s="179" t="s">
        <v>40</v>
      </c>
      <c r="N65" s="492" t="s">
        <v>41</v>
      </c>
      <c r="O65" s="492"/>
      <c r="P65" s="493" t="s">
        <v>42</v>
      </c>
      <c r="Q65" s="494"/>
      <c r="R65" s="493" t="s">
        <v>43</v>
      </c>
      <c r="S65" s="495"/>
      <c r="T65" s="495"/>
      <c r="U65" s="495"/>
      <c r="V65" s="495"/>
      <c r="W65" s="495"/>
      <c r="X65" s="495"/>
      <c r="Y65" s="495"/>
      <c r="Z65" s="495"/>
      <c r="AA65" s="494"/>
      <c r="AB65" s="492" t="s">
        <v>44</v>
      </c>
      <c r="AC65" s="492"/>
      <c r="AD65" s="496"/>
      <c r="AF65" s="84">
        <f>SUM(AF62:AF64)</f>
        <v>96000</v>
      </c>
    </row>
    <row r="66" spans="1:32" ht="25.5" customHeight="1">
      <c r="A66" s="497">
        <v>1</v>
      </c>
      <c r="B66" s="498"/>
      <c r="C66" s="104" t="s">
        <v>118</v>
      </c>
      <c r="D66" s="174"/>
      <c r="E66" s="177" t="s">
        <v>132</v>
      </c>
      <c r="F66" s="499" t="s">
        <v>245</v>
      </c>
      <c r="G66" s="500"/>
      <c r="H66" s="500"/>
      <c r="I66" s="500"/>
      <c r="J66" s="501"/>
      <c r="K66" s="502" t="s">
        <v>125</v>
      </c>
      <c r="L66" s="502"/>
      <c r="M66" s="51" t="s">
        <v>248</v>
      </c>
      <c r="N66" s="503" t="s">
        <v>128</v>
      </c>
      <c r="O66" s="503"/>
      <c r="P66" s="504"/>
      <c r="Q66" s="504"/>
      <c r="R66" s="478" t="s">
        <v>250</v>
      </c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2</v>
      </c>
      <c r="B67" s="498"/>
      <c r="C67" s="104" t="s">
        <v>118</v>
      </c>
      <c r="D67" s="174"/>
      <c r="E67" s="177" t="s">
        <v>143</v>
      </c>
      <c r="F67" s="499" t="s">
        <v>247</v>
      </c>
      <c r="G67" s="500"/>
      <c r="H67" s="500"/>
      <c r="I67" s="500"/>
      <c r="J67" s="501"/>
      <c r="K67" s="502" t="s">
        <v>125</v>
      </c>
      <c r="L67" s="502"/>
      <c r="M67" s="51" t="s">
        <v>248</v>
      </c>
      <c r="N67" s="503" t="s">
        <v>128</v>
      </c>
      <c r="O67" s="503"/>
      <c r="P67" s="504">
        <v>50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3</v>
      </c>
      <c r="B68" s="498"/>
      <c r="C68" s="104" t="s">
        <v>118</v>
      </c>
      <c r="D68" s="174"/>
      <c r="E68" s="177" t="s">
        <v>219</v>
      </c>
      <c r="F68" s="499" t="s">
        <v>246</v>
      </c>
      <c r="G68" s="500"/>
      <c r="H68" s="500"/>
      <c r="I68" s="500"/>
      <c r="J68" s="501"/>
      <c r="K68" s="502" t="s">
        <v>125</v>
      </c>
      <c r="L68" s="502"/>
      <c r="M68" s="51" t="s">
        <v>248</v>
      </c>
      <c r="N68" s="503" t="s">
        <v>128</v>
      </c>
      <c r="O68" s="503"/>
      <c r="P68" s="504">
        <v>50</v>
      </c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4</v>
      </c>
      <c r="B69" s="498"/>
      <c r="C69" s="104" t="s">
        <v>112</v>
      </c>
      <c r="D69" s="174"/>
      <c r="E69" s="177" t="s">
        <v>132</v>
      </c>
      <c r="F69" s="499" t="s">
        <v>235</v>
      </c>
      <c r="G69" s="500"/>
      <c r="H69" s="500"/>
      <c r="I69" s="500"/>
      <c r="J69" s="501"/>
      <c r="K69" s="502" t="s">
        <v>133</v>
      </c>
      <c r="L69" s="502"/>
      <c r="M69" s="51" t="s">
        <v>249</v>
      </c>
      <c r="N69" s="503" t="s">
        <v>128</v>
      </c>
      <c r="O69" s="503"/>
      <c r="P69" s="504">
        <v>50</v>
      </c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5</v>
      </c>
      <c r="B70" s="498"/>
      <c r="C70" s="104" t="s">
        <v>112</v>
      </c>
      <c r="D70" s="174"/>
      <c r="E70" s="177" t="s">
        <v>253</v>
      </c>
      <c r="F70" s="499" t="s">
        <v>228</v>
      </c>
      <c r="G70" s="500"/>
      <c r="H70" s="500"/>
      <c r="I70" s="500"/>
      <c r="J70" s="501"/>
      <c r="K70" s="502" t="s">
        <v>146</v>
      </c>
      <c r="L70" s="502"/>
      <c r="M70" s="51" t="s">
        <v>191</v>
      </c>
      <c r="N70" s="503" t="s">
        <v>131</v>
      </c>
      <c r="O70" s="503"/>
      <c r="P70" s="504">
        <v>50</v>
      </c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6</v>
      </c>
      <c r="B71" s="498"/>
      <c r="C71" s="104"/>
      <c r="D71" s="174"/>
      <c r="E71" s="177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7</v>
      </c>
      <c r="B72" s="498"/>
      <c r="C72" s="104"/>
      <c r="D72" s="174"/>
      <c r="E72" s="177"/>
      <c r="F72" s="499"/>
      <c r="G72" s="500"/>
      <c r="H72" s="500"/>
      <c r="I72" s="500"/>
      <c r="J72" s="501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8</v>
      </c>
      <c r="B73" s="498"/>
      <c r="C73" s="104"/>
      <c r="D73" s="174"/>
      <c r="E73" s="177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9</v>
      </c>
      <c r="B74" s="498"/>
      <c r="C74" s="104"/>
      <c r="D74" s="174"/>
      <c r="E74" s="177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5.5" customHeight="1">
      <c r="A75" s="497">
        <v>10</v>
      </c>
      <c r="B75" s="498"/>
      <c r="C75" s="104"/>
      <c r="D75" s="174"/>
      <c r="E75" s="177"/>
      <c r="F75" s="506"/>
      <c r="G75" s="502"/>
      <c r="H75" s="502"/>
      <c r="I75" s="502"/>
      <c r="J75" s="502"/>
      <c r="K75" s="502"/>
      <c r="L75" s="502"/>
      <c r="M75" s="51"/>
      <c r="N75" s="503"/>
      <c r="O75" s="503"/>
      <c r="P75" s="504"/>
      <c r="Q75" s="504"/>
      <c r="R75" s="478"/>
      <c r="S75" s="478"/>
      <c r="T75" s="478"/>
      <c r="U75" s="478"/>
      <c r="V75" s="478"/>
      <c r="W75" s="478"/>
      <c r="X75" s="478"/>
      <c r="Y75" s="478"/>
      <c r="Z75" s="478"/>
      <c r="AA75" s="478"/>
      <c r="AB75" s="502"/>
      <c r="AC75" s="502"/>
      <c r="AD75" s="505"/>
      <c r="AF75" s="50"/>
    </row>
    <row r="76" spans="1:32" ht="26.25" customHeight="1" thickBot="1">
      <c r="A76" s="507" t="s">
        <v>251</v>
      </c>
      <c r="B76" s="507"/>
      <c r="C76" s="507"/>
      <c r="D76" s="507"/>
      <c r="E76" s="50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508" t="s">
        <v>127</v>
      </c>
      <c r="B77" s="509"/>
      <c r="C77" s="176" t="s">
        <v>2</v>
      </c>
      <c r="D77" s="176" t="s">
        <v>37</v>
      </c>
      <c r="E77" s="176" t="s">
        <v>126</v>
      </c>
      <c r="F77" s="509" t="s">
        <v>38</v>
      </c>
      <c r="G77" s="509"/>
      <c r="H77" s="509"/>
      <c r="I77" s="509"/>
      <c r="J77" s="509"/>
      <c r="K77" s="510" t="s">
        <v>58</v>
      </c>
      <c r="L77" s="511"/>
      <c r="M77" s="511"/>
      <c r="N77" s="511"/>
      <c r="O77" s="511"/>
      <c r="P77" s="511"/>
      <c r="Q77" s="511"/>
      <c r="R77" s="511"/>
      <c r="S77" s="512"/>
      <c r="T77" s="509" t="s">
        <v>49</v>
      </c>
      <c r="U77" s="509"/>
      <c r="V77" s="510" t="s">
        <v>50</v>
      </c>
      <c r="W77" s="512"/>
      <c r="X77" s="511" t="s">
        <v>51</v>
      </c>
      <c r="Y77" s="511"/>
      <c r="Z77" s="511"/>
      <c r="AA77" s="511"/>
      <c r="AB77" s="511"/>
      <c r="AC77" s="511"/>
      <c r="AD77" s="513"/>
      <c r="AF77" s="50"/>
    </row>
    <row r="78" spans="1:32" ht="33.75" customHeight="1">
      <c r="A78" s="522">
        <v>1</v>
      </c>
      <c r="B78" s="523"/>
      <c r="C78" s="175" t="s">
        <v>112</v>
      </c>
      <c r="D78" s="175"/>
      <c r="E78" s="65" t="s">
        <v>117</v>
      </c>
      <c r="F78" s="524" t="s">
        <v>116</v>
      </c>
      <c r="G78" s="525"/>
      <c r="H78" s="525"/>
      <c r="I78" s="525"/>
      <c r="J78" s="526"/>
      <c r="K78" s="527" t="s">
        <v>119</v>
      </c>
      <c r="L78" s="528"/>
      <c r="M78" s="528"/>
      <c r="N78" s="528"/>
      <c r="O78" s="528"/>
      <c r="P78" s="528"/>
      <c r="Q78" s="528"/>
      <c r="R78" s="528"/>
      <c r="S78" s="529"/>
      <c r="T78" s="530">
        <v>44118</v>
      </c>
      <c r="U78" s="531"/>
      <c r="V78" s="532"/>
      <c r="W78" s="532"/>
      <c r="X78" s="533"/>
      <c r="Y78" s="533"/>
      <c r="Z78" s="533"/>
      <c r="AA78" s="533"/>
      <c r="AB78" s="533"/>
      <c r="AC78" s="533"/>
      <c r="AD78" s="534"/>
      <c r="AF78" s="50"/>
    </row>
    <row r="79" spans="1:32" ht="30" customHeight="1">
      <c r="A79" s="514">
        <f>A78+1</f>
        <v>2</v>
      </c>
      <c r="B79" s="515"/>
      <c r="C79" s="174"/>
      <c r="D79" s="174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ref="A80:A84" si="27">A79+1</f>
        <v>3</v>
      </c>
      <c r="B80" s="515"/>
      <c r="C80" s="174"/>
      <c r="D80" s="174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27"/>
        <v>4</v>
      </c>
      <c r="B81" s="515"/>
      <c r="C81" s="174"/>
      <c r="D81" s="174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27"/>
        <v>5</v>
      </c>
      <c r="B82" s="515"/>
      <c r="C82" s="174"/>
      <c r="D82" s="174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27"/>
        <v>6</v>
      </c>
      <c r="B83" s="515"/>
      <c r="C83" s="174"/>
      <c r="D83" s="174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0" customHeight="1">
      <c r="A84" s="514">
        <f t="shared" si="27"/>
        <v>7</v>
      </c>
      <c r="B84" s="515"/>
      <c r="C84" s="174"/>
      <c r="D84" s="174"/>
      <c r="E84" s="32"/>
      <c r="F84" s="515"/>
      <c r="G84" s="515"/>
      <c r="H84" s="515"/>
      <c r="I84" s="515"/>
      <c r="J84" s="515"/>
      <c r="K84" s="516"/>
      <c r="L84" s="517"/>
      <c r="M84" s="517"/>
      <c r="N84" s="517"/>
      <c r="O84" s="517"/>
      <c r="P84" s="517"/>
      <c r="Q84" s="517"/>
      <c r="R84" s="517"/>
      <c r="S84" s="518"/>
      <c r="T84" s="519"/>
      <c r="U84" s="519"/>
      <c r="V84" s="519"/>
      <c r="W84" s="519"/>
      <c r="X84" s="520"/>
      <c r="Y84" s="520"/>
      <c r="Z84" s="520"/>
      <c r="AA84" s="520"/>
      <c r="AB84" s="520"/>
      <c r="AC84" s="520"/>
      <c r="AD84" s="521"/>
      <c r="AF84" s="50"/>
    </row>
    <row r="85" spans="1:32" ht="36" thickBot="1">
      <c r="A85" s="507" t="s">
        <v>252</v>
      </c>
      <c r="B85" s="507"/>
      <c r="C85" s="507"/>
      <c r="D85" s="507"/>
      <c r="E85" s="50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508" t="s">
        <v>111</v>
      </c>
      <c r="B86" s="509"/>
      <c r="C86" s="535" t="s">
        <v>52</v>
      </c>
      <c r="D86" s="535"/>
      <c r="E86" s="535" t="s">
        <v>53</v>
      </c>
      <c r="F86" s="535"/>
      <c r="G86" s="535"/>
      <c r="H86" s="535"/>
      <c r="I86" s="535"/>
      <c r="J86" s="535"/>
      <c r="K86" s="535" t="s">
        <v>54</v>
      </c>
      <c r="L86" s="535"/>
      <c r="M86" s="535"/>
      <c r="N86" s="535"/>
      <c r="O86" s="535"/>
      <c r="P86" s="535"/>
      <c r="Q86" s="535"/>
      <c r="R86" s="535"/>
      <c r="S86" s="535"/>
      <c r="T86" s="535" t="s">
        <v>55</v>
      </c>
      <c r="U86" s="535"/>
      <c r="V86" s="535" t="s">
        <v>56</v>
      </c>
      <c r="W86" s="535"/>
      <c r="X86" s="535"/>
      <c r="Y86" s="535" t="s">
        <v>51</v>
      </c>
      <c r="Z86" s="535"/>
      <c r="AA86" s="535"/>
      <c r="AB86" s="535"/>
      <c r="AC86" s="535"/>
      <c r="AD86" s="536"/>
      <c r="AF86" s="50"/>
    </row>
    <row r="87" spans="1:32" ht="30.75" customHeight="1">
      <c r="A87" s="522">
        <v>1</v>
      </c>
      <c r="B87" s="523"/>
      <c r="C87" s="537"/>
      <c r="D87" s="537"/>
      <c r="E87" s="537"/>
      <c r="F87" s="537"/>
      <c r="G87" s="537"/>
      <c r="H87" s="537"/>
      <c r="I87" s="537"/>
      <c r="J87" s="537"/>
      <c r="K87" s="537"/>
      <c r="L87" s="537"/>
      <c r="M87" s="537"/>
      <c r="N87" s="537"/>
      <c r="O87" s="537"/>
      <c r="P87" s="537"/>
      <c r="Q87" s="537"/>
      <c r="R87" s="537"/>
      <c r="S87" s="537"/>
      <c r="T87" s="537"/>
      <c r="U87" s="537"/>
      <c r="V87" s="538"/>
      <c r="W87" s="538"/>
      <c r="X87" s="538"/>
      <c r="Y87" s="539"/>
      <c r="Z87" s="539"/>
      <c r="AA87" s="539"/>
      <c r="AB87" s="539"/>
      <c r="AC87" s="539"/>
      <c r="AD87" s="540"/>
      <c r="AF87" s="50"/>
    </row>
    <row r="88" spans="1:32" ht="30.75" customHeight="1">
      <c r="A88" s="514">
        <v>2</v>
      </c>
      <c r="B88" s="515"/>
      <c r="C88" s="548"/>
      <c r="D88" s="548"/>
      <c r="E88" s="548"/>
      <c r="F88" s="548"/>
      <c r="G88" s="548"/>
      <c r="H88" s="548"/>
      <c r="I88" s="548"/>
      <c r="J88" s="548"/>
      <c r="K88" s="548"/>
      <c r="L88" s="548"/>
      <c r="M88" s="548"/>
      <c r="N88" s="548"/>
      <c r="O88" s="548"/>
      <c r="P88" s="548"/>
      <c r="Q88" s="548"/>
      <c r="R88" s="548"/>
      <c r="S88" s="548"/>
      <c r="T88" s="549"/>
      <c r="U88" s="549"/>
      <c r="V88" s="550"/>
      <c r="W88" s="550"/>
      <c r="X88" s="550"/>
      <c r="Y88" s="541"/>
      <c r="Z88" s="541"/>
      <c r="AA88" s="541"/>
      <c r="AB88" s="541"/>
      <c r="AC88" s="541"/>
      <c r="AD88" s="542"/>
      <c r="AF88" s="50"/>
    </row>
    <row r="89" spans="1:32" ht="30.75" customHeight="1" thickBot="1">
      <c r="A89" s="543">
        <v>3</v>
      </c>
      <c r="B89" s="544"/>
      <c r="C89" s="545"/>
      <c r="D89" s="545"/>
      <c r="E89" s="545"/>
      <c r="F89" s="545"/>
      <c r="G89" s="545"/>
      <c r="H89" s="545"/>
      <c r="I89" s="545"/>
      <c r="J89" s="545"/>
      <c r="K89" s="545"/>
      <c r="L89" s="545"/>
      <c r="M89" s="545"/>
      <c r="N89" s="545"/>
      <c r="O89" s="545"/>
      <c r="P89" s="545"/>
      <c r="Q89" s="545"/>
      <c r="R89" s="545"/>
      <c r="S89" s="545"/>
      <c r="T89" s="545"/>
      <c r="U89" s="545"/>
      <c r="V89" s="545"/>
      <c r="W89" s="545"/>
      <c r="X89" s="545"/>
      <c r="Y89" s="546"/>
      <c r="Z89" s="546"/>
      <c r="AA89" s="546"/>
      <c r="AB89" s="546"/>
      <c r="AC89" s="546"/>
      <c r="AD89" s="547"/>
      <c r="AF89" s="50"/>
    </row>
  </sheetData>
  <mergeCells count="232"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B89F-583A-4E41-A4F8-31626C1EF4AA}">
  <dimension ref="A1:AF90"/>
  <sheetViews>
    <sheetView view="pageBreakPreview" zoomScale="70" zoomScaleNormal="72" zoomScaleSheetLayoutView="70" workbookViewId="0">
      <selection activeCell="L7" sqref="L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254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187" t="s">
        <v>17</v>
      </c>
      <c r="L5" s="187" t="s">
        <v>18</v>
      </c>
      <c r="M5" s="187" t="s">
        <v>19</v>
      </c>
      <c r="N5" s="18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4" si="0">L6-N6</f>
        <v>0</v>
      </c>
      <c r="N6" s="15">
        <v>0</v>
      </c>
      <c r="O6" s="58" t="str">
        <f t="shared" ref="O6:O25" si="1">IF(L6=0,"0",N6/L6)</f>
        <v>0</v>
      </c>
      <c r="P6" s="39" t="str">
        <f t="shared" ref="P6:P24" si="2">IF(L6=0,"0",(24-Q6))</f>
        <v>0</v>
      </c>
      <c r="Q6" s="40">
        <f t="shared" ref="Q6:Q24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4" si="4">IF(J6=0,"0",(L6/J6))</f>
        <v>0</v>
      </c>
      <c r="AC6" s="9">
        <f t="shared" ref="AC6:AC24" si="5">IF(P6=0,"0",(P6/24))</f>
        <v>0</v>
      </c>
      <c r="AD6" s="10">
        <f t="shared" ref="AD6:AD24" si="6">AC6*AB6*(1-O6)</f>
        <v>0</v>
      </c>
      <c r="AE6" s="36">
        <f t="shared" ref="AE6:AE24" si="7">$AD$25</f>
        <v>0.57543859649122808</v>
      </c>
      <c r="AF6" s="84">
        <f t="shared" ref="AF6:AF24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97000</v>
      </c>
      <c r="J7" s="14">
        <v>130</v>
      </c>
      <c r="K7" s="15">
        <f>L7</f>
        <v>0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>
        <v>24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0.57543859649122808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188</v>
      </c>
      <c r="D8" s="52" t="s">
        <v>225</v>
      </c>
      <c r="E8" s="53" t="s">
        <v>234</v>
      </c>
      <c r="F8" s="30" t="s">
        <v>197</v>
      </c>
      <c r="G8" s="33">
        <v>1</v>
      </c>
      <c r="H8" s="35">
        <v>24</v>
      </c>
      <c r="I8" s="7">
        <v>15000</v>
      </c>
      <c r="J8" s="5">
        <v>6377</v>
      </c>
      <c r="K8" s="15">
        <f>L8+4197</f>
        <v>10574</v>
      </c>
      <c r="L8" s="15">
        <f>3187+3190</f>
        <v>6377</v>
      </c>
      <c r="M8" s="15">
        <f t="shared" si="0"/>
        <v>6377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0.57543859649122808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3442</v>
      </c>
      <c r="K9" s="15">
        <f>L9+1344+2695+2818+1363+3398+4807+5146+5399+5363+4916+4752+2389+5076+5367+4162</f>
        <v>62437</v>
      </c>
      <c r="L9" s="15">
        <f>2685+757</f>
        <v>3442</v>
      </c>
      <c r="M9" s="15">
        <f t="shared" si="0"/>
        <v>3442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0.57543859649122808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120</v>
      </c>
      <c r="D10" s="52"/>
      <c r="E10" s="53" t="s">
        <v>242</v>
      </c>
      <c r="F10" s="30" t="s">
        <v>197</v>
      </c>
      <c r="G10" s="33">
        <v>2</v>
      </c>
      <c r="H10" s="35">
        <v>24</v>
      </c>
      <c r="I10" s="7">
        <v>97000</v>
      </c>
      <c r="J10" s="14">
        <v>11152</v>
      </c>
      <c r="K10" s="15">
        <f>L10</f>
        <v>11152</v>
      </c>
      <c r="L10" s="15">
        <f>2650*2+2926*2</f>
        <v>11152</v>
      </c>
      <c r="M10" s="15">
        <f t="shared" si="0"/>
        <v>11152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0.57543859649122808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145</v>
      </c>
      <c r="F11" s="30" t="s">
        <v>146</v>
      </c>
      <c r="G11" s="33">
        <v>1</v>
      </c>
      <c r="H11" s="35">
        <v>24</v>
      </c>
      <c r="I11" s="7">
        <v>54000</v>
      </c>
      <c r="J11" s="14">
        <v>5814</v>
      </c>
      <c r="K11" s="15">
        <f>L11+5150+4152+4675+5715+2598+5455+5797+5793</f>
        <v>45149</v>
      </c>
      <c r="L11" s="15">
        <f>2920+2894</f>
        <v>5814</v>
      </c>
      <c r="M11" s="15">
        <f t="shared" si="0"/>
        <v>5814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0.57543859649122808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136</v>
      </c>
      <c r="F12" s="30" t="s">
        <v>130</v>
      </c>
      <c r="G12" s="12">
        <v>1</v>
      </c>
      <c r="H12" s="13">
        <v>22</v>
      </c>
      <c r="I12" s="31">
        <v>76000</v>
      </c>
      <c r="J12" s="5">
        <v>4845</v>
      </c>
      <c r="K12" s="15">
        <f>L12+5135+5549+5689+5232+5555+942+4639+4634+2453+5366+5303+2504</f>
        <v>57846</v>
      </c>
      <c r="L12" s="15">
        <f>2085+2760</f>
        <v>4845</v>
      </c>
      <c r="M12" s="15">
        <f t="shared" si="0"/>
        <v>4845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6">
        <f t="shared" si="7"/>
        <v>0.57543859649122808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199</v>
      </c>
      <c r="E13" s="53" t="s">
        <v>255</v>
      </c>
      <c r="F13" s="30" t="s">
        <v>133</v>
      </c>
      <c r="G13" s="33">
        <v>2</v>
      </c>
      <c r="H13" s="35">
        <v>24</v>
      </c>
      <c r="I13" s="7">
        <v>30000</v>
      </c>
      <c r="J13" s="14">
        <v>2000</v>
      </c>
      <c r="K13" s="15">
        <f>L13</f>
        <v>2000</v>
      </c>
      <c r="L13" s="15">
        <f>2000</f>
        <v>2000</v>
      </c>
      <c r="M13" s="15">
        <f t="shared" si="0"/>
        <v>2000</v>
      </c>
      <c r="N13" s="15">
        <v>0</v>
      </c>
      <c r="O13" s="58">
        <f t="shared" si="1"/>
        <v>0</v>
      </c>
      <c r="P13" s="39">
        <f t="shared" si="2"/>
        <v>5</v>
      </c>
      <c r="Q13" s="40">
        <f t="shared" si="3"/>
        <v>19</v>
      </c>
      <c r="R13" s="7"/>
      <c r="S13" s="6"/>
      <c r="T13" s="16"/>
      <c r="U13" s="16"/>
      <c r="V13" s="17">
        <v>19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0.20833333333333334</v>
      </c>
      <c r="AD13" s="10">
        <f t="shared" si="6"/>
        <v>0.20833333333333334</v>
      </c>
      <c r="AE13" s="36">
        <f t="shared" si="7"/>
        <v>0.57543859649122808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118</v>
      </c>
      <c r="D14" s="52" t="s">
        <v>256</v>
      </c>
      <c r="E14" s="53" t="s">
        <v>257</v>
      </c>
      <c r="F14" s="30" t="s">
        <v>142</v>
      </c>
      <c r="G14" s="33">
        <v>1</v>
      </c>
      <c r="H14" s="35">
        <v>24</v>
      </c>
      <c r="I14" s="7">
        <v>1000</v>
      </c>
      <c r="J14" s="14">
        <v>1000</v>
      </c>
      <c r="K14" s="15">
        <f>L14</f>
        <v>1000</v>
      </c>
      <c r="L14" s="15">
        <v>1000</v>
      </c>
      <c r="M14" s="15">
        <f t="shared" ref="M14:M15" si="9">L14-N14</f>
        <v>1000</v>
      </c>
      <c r="N14" s="15">
        <v>0</v>
      </c>
      <c r="O14" s="58">
        <f t="shared" ref="O14:O15" si="10">IF(L14=0,"0",N14/L14)</f>
        <v>0</v>
      </c>
      <c r="P14" s="39">
        <f t="shared" ref="P14:P15" si="11">IF(L14=0,"0",(24-Q14))</f>
        <v>5</v>
      </c>
      <c r="Q14" s="40">
        <f t="shared" ref="Q14:Q15" si="12">SUM(R14:AA14)</f>
        <v>19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19</v>
      </c>
      <c r="AB14" s="8">
        <f t="shared" ref="AB14:AB15" si="13">IF(J14=0,"0",(L14/J14))</f>
        <v>1</v>
      </c>
      <c r="AC14" s="9">
        <f t="shared" ref="AC14:AC15" si="14">IF(P14=0,"0",(P14/24))</f>
        <v>0.20833333333333334</v>
      </c>
      <c r="AD14" s="10">
        <f t="shared" ref="AD14:AD15" si="15">AC14*AB14*(1-O14)</f>
        <v>0.20833333333333334</v>
      </c>
      <c r="AE14" s="36">
        <f t="shared" si="7"/>
        <v>0.57543859649122808</v>
      </c>
      <c r="AF14" s="84">
        <f t="shared" ref="AF14:AF15" si="16">A14</f>
        <v>8</v>
      </c>
    </row>
    <row r="15" spans="1:32" ht="27" customHeight="1">
      <c r="A15" s="96">
        <v>8</v>
      </c>
      <c r="B15" s="11" t="s">
        <v>57</v>
      </c>
      <c r="C15" s="11" t="s">
        <v>118</v>
      </c>
      <c r="D15" s="52" t="s">
        <v>258</v>
      </c>
      <c r="E15" s="53" t="s">
        <v>259</v>
      </c>
      <c r="F15" s="30" t="s">
        <v>142</v>
      </c>
      <c r="G15" s="33">
        <v>1</v>
      </c>
      <c r="H15" s="35">
        <v>24</v>
      </c>
      <c r="I15" s="7">
        <v>600</v>
      </c>
      <c r="J15" s="14">
        <v>1000</v>
      </c>
      <c r="K15" s="15">
        <f>L15</f>
        <v>600</v>
      </c>
      <c r="L15" s="15">
        <v>600</v>
      </c>
      <c r="M15" s="15">
        <f t="shared" si="9"/>
        <v>600</v>
      </c>
      <c r="N15" s="15">
        <v>0</v>
      </c>
      <c r="O15" s="58">
        <f t="shared" si="10"/>
        <v>0</v>
      </c>
      <c r="P15" s="39">
        <f t="shared" si="11"/>
        <v>4</v>
      </c>
      <c r="Q15" s="40">
        <f t="shared" si="12"/>
        <v>20</v>
      </c>
      <c r="R15" s="7"/>
      <c r="S15" s="6"/>
      <c r="T15" s="16"/>
      <c r="U15" s="16"/>
      <c r="V15" s="17"/>
      <c r="W15" s="5"/>
      <c r="X15" s="16"/>
      <c r="Y15" s="16"/>
      <c r="Z15" s="16"/>
      <c r="AA15" s="18">
        <v>20</v>
      </c>
      <c r="AB15" s="8">
        <f t="shared" si="13"/>
        <v>0.6</v>
      </c>
      <c r="AC15" s="9">
        <f t="shared" si="14"/>
        <v>0.16666666666666666</v>
      </c>
      <c r="AD15" s="10">
        <f t="shared" si="15"/>
        <v>9.9999999999999992E-2</v>
      </c>
      <c r="AE15" s="36">
        <f t="shared" si="7"/>
        <v>0.57543859649122808</v>
      </c>
      <c r="AF15" s="84">
        <f t="shared" si="16"/>
        <v>8</v>
      </c>
    </row>
    <row r="16" spans="1:32" ht="27" customHeight="1">
      <c r="A16" s="96">
        <v>8</v>
      </c>
      <c r="B16" s="11" t="s">
        <v>57</v>
      </c>
      <c r="C16" s="11" t="s">
        <v>112</v>
      </c>
      <c r="D16" s="52" t="s">
        <v>199</v>
      </c>
      <c r="E16" s="53" t="s">
        <v>200</v>
      </c>
      <c r="F16" s="30" t="s">
        <v>133</v>
      </c>
      <c r="G16" s="33">
        <v>1</v>
      </c>
      <c r="H16" s="35">
        <v>24</v>
      </c>
      <c r="I16" s="7">
        <v>260</v>
      </c>
      <c r="J16" s="14">
        <v>260</v>
      </c>
      <c r="K16" s="15">
        <f>L16</f>
        <v>260</v>
      </c>
      <c r="L16" s="15">
        <v>260</v>
      </c>
      <c r="M16" s="15">
        <f t="shared" si="0"/>
        <v>260</v>
      </c>
      <c r="N16" s="15">
        <v>0</v>
      </c>
      <c r="O16" s="58">
        <f t="shared" si="1"/>
        <v>0</v>
      </c>
      <c r="P16" s="39">
        <f t="shared" si="2"/>
        <v>3</v>
      </c>
      <c r="Q16" s="40">
        <f t="shared" si="3"/>
        <v>21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21</v>
      </c>
      <c r="AB16" s="8">
        <f t="shared" si="4"/>
        <v>1</v>
      </c>
      <c r="AC16" s="9">
        <f t="shared" si="5"/>
        <v>0.125</v>
      </c>
      <c r="AD16" s="10">
        <f t="shared" si="6"/>
        <v>0.125</v>
      </c>
      <c r="AE16" s="36">
        <f t="shared" si="7"/>
        <v>0.57543859649122808</v>
      </c>
      <c r="AF16" s="84">
        <f t="shared" si="8"/>
        <v>8</v>
      </c>
    </row>
    <row r="17" spans="1:32" ht="27" customHeight="1">
      <c r="A17" s="105">
        <v>9</v>
      </c>
      <c r="B17" s="11" t="s">
        <v>57</v>
      </c>
      <c r="C17" s="34" t="s">
        <v>158</v>
      </c>
      <c r="D17" s="52" t="s">
        <v>115</v>
      </c>
      <c r="E17" s="53" t="s">
        <v>164</v>
      </c>
      <c r="F17" s="30" t="s">
        <v>159</v>
      </c>
      <c r="G17" s="33">
        <v>1</v>
      </c>
      <c r="H17" s="35">
        <v>50</v>
      </c>
      <c r="I17" s="7">
        <v>100</v>
      </c>
      <c r="J17" s="5">
        <v>279</v>
      </c>
      <c r="K17" s="15">
        <f>L17</f>
        <v>279</v>
      </c>
      <c r="L17" s="15">
        <v>279</v>
      </c>
      <c r="M17" s="15">
        <f t="shared" si="0"/>
        <v>279</v>
      </c>
      <c r="N17" s="15">
        <v>0</v>
      </c>
      <c r="O17" s="58">
        <f t="shared" si="1"/>
        <v>0</v>
      </c>
      <c r="P17" s="39">
        <f t="shared" si="2"/>
        <v>5</v>
      </c>
      <c r="Q17" s="40">
        <f t="shared" si="3"/>
        <v>19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19</v>
      </c>
      <c r="AB17" s="8">
        <f t="shared" si="4"/>
        <v>1</v>
      </c>
      <c r="AC17" s="9">
        <f t="shared" si="5"/>
        <v>0.20833333333333334</v>
      </c>
      <c r="AD17" s="10">
        <f t="shared" si="6"/>
        <v>0.20833333333333334</v>
      </c>
      <c r="AE17" s="36">
        <f t="shared" si="7"/>
        <v>0.57543859649122808</v>
      </c>
      <c r="AF17" s="84">
        <f t="shared" si="8"/>
        <v>9</v>
      </c>
    </row>
    <row r="18" spans="1:32" ht="27" customHeight="1">
      <c r="A18" s="95">
        <v>10</v>
      </c>
      <c r="B18" s="11" t="s">
        <v>57</v>
      </c>
      <c r="C18" s="34" t="s">
        <v>120</v>
      </c>
      <c r="D18" s="52"/>
      <c r="E18" s="53" t="s">
        <v>160</v>
      </c>
      <c r="F18" s="12" t="s">
        <v>129</v>
      </c>
      <c r="G18" s="12">
        <v>1</v>
      </c>
      <c r="H18" s="13">
        <v>24</v>
      </c>
      <c r="I18" s="31">
        <v>3900</v>
      </c>
      <c r="J18" s="14">
        <v>1033</v>
      </c>
      <c r="K18" s="15">
        <f>L18+4438</f>
        <v>5471</v>
      </c>
      <c r="L18" s="15">
        <v>1033</v>
      </c>
      <c r="M18" s="15">
        <f t="shared" si="0"/>
        <v>1033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/>
      <c r="T18" s="16"/>
      <c r="U18" s="16"/>
      <c r="V18" s="17"/>
      <c r="W18" s="5">
        <v>19</v>
      </c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 t="shared" si="7"/>
        <v>0.57543859649122808</v>
      </c>
      <c r="AF18" s="84">
        <f t="shared" si="8"/>
        <v>10</v>
      </c>
    </row>
    <row r="19" spans="1:32" ht="30" customHeight="1">
      <c r="A19" s="112">
        <v>11</v>
      </c>
      <c r="B19" s="11" t="s">
        <v>57</v>
      </c>
      <c r="C19" s="34" t="s">
        <v>118</v>
      </c>
      <c r="D19" s="52" t="s">
        <v>219</v>
      </c>
      <c r="E19" s="53" t="s">
        <v>220</v>
      </c>
      <c r="F19" s="30" t="s">
        <v>133</v>
      </c>
      <c r="G19" s="12">
        <v>1</v>
      </c>
      <c r="H19" s="13">
        <v>24</v>
      </c>
      <c r="I19" s="7">
        <v>95000</v>
      </c>
      <c r="J19" s="14">
        <v>5280</v>
      </c>
      <c r="K19" s="15">
        <f>L19+4303+5850</f>
        <v>15433</v>
      </c>
      <c r="L19" s="15">
        <f>2322+2958</f>
        <v>5280</v>
      </c>
      <c r="M19" s="15">
        <f t="shared" si="0"/>
        <v>5280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 t="shared" si="7"/>
        <v>0.57543859649122808</v>
      </c>
      <c r="AF19" s="84">
        <f t="shared" si="8"/>
        <v>11</v>
      </c>
    </row>
    <row r="20" spans="1:32" ht="30" customHeight="1">
      <c r="A20" s="95">
        <v>12</v>
      </c>
      <c r="B20" s="11" t="s">
        <v>57</v>
      </c>
      <c r="C20" s="34" t="s">
        <v>188</v>
      </c>
      <c r="D20" s="52" t="s">
        <v>201</v>
      </c>
      <c r="E20" s="53" t="s">
        <v>202</v>
      </c>
      <c r="F20" s="30" t="s">
        <v>144</v>
      </c>
      <c r="G20" s="12">
        <v>1</v>
      </c>
      <c r="H20" s="13">
        <v>24</v>
      </c>
      <c r="I20" s="7">
        <v>15000</v>
      </c>
      <c r="J20" s="14">
        <v>2263</v>
      </c>
      <c r="K20" s="15">
        <f>L20+3414+6022+4083</f>
        <v>15782</v>
      </c>
      <c r="L20" s="15">
        <f>1650+613</f>
        <v>2263</v>
      </c>
      <c r="M20" s="15">
        <f t="shared" si="0"/>
        <v>2263</v>
      </c>
      <c r="N20" s="15">
        <v>0</v>
      </c>
      <c r="O20" s="58">
        <f t="shared" si="1"/>
        <v>0</v>
      </c>
      <c r="P20" s="39">
        <f t="shared" si="2"/>
        <v>10</v>
      </c>
      <c r="Q20" s="40">
        <f t="shared" si="3"/>
        <v>14</v>
      </c>
      <c r="R20" s="7"/>
      <c r="S20" s="6">
        <v>14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0.41666666666666669</v>
      </c>
      <c r="AD20" s="10">
        <f t="shared" si="6"/>
        <v>0.41666666666666669</v>
      </c>
      <c r="AE20" s="36">
        <f t="shared" si="7"/>
        <v>0.57543859649122808</v>
      </c>
      <c r="AF20" s="84">
        <f t="shared" si="8"/>
        <v>12</v>
      </c>
    </row>
    <row r="21" spans="1:32" ht="27" customHeight="1">
      <c r="A21" s="96">
        <v>13</v>
      </c>
      <c r="B21" s="11" t="s">
        <v>57</v>
      </c>
      <c r="C21" s="11" t="s">
        <v>188</v>
      </c>
      <c r="D21" s="52" t="s">
        <v>115</v>
      </c>
      <c r="E21" s="53" t="s">
        <v>213</v>
      </c>
      <c r="F21" s="30" t="s">
        <v>197</v>
      </c>
      <c r="G21" s="33">
        <v>1</v>
      </c>
      <c r="H21" s="35">
        <v>24</v>
      </c>
      <c r="I21" s="7">
        <v>15000</v>
      </c>
      <c r="J21" s="14">
        <v>4395</v>
      </c>
      <c r="K21" s="15">
        <f>L21+5156+5686</f>
        <v>15237</v>
      </c>
      <c r="L21" s="15">
        <f>2870+1525</f>
        <v>4395</v>
      </c>
      <c r="M21" s="15">
        <f t="shared" si="0"/>
        <v>4395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/>
      <c r="T21" s="16"/>
      <c r="U21" s="16"/>
      <c r="V21" s="17"/>
      <c r="W21" s="5">
        <v>3</v>
      </c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0.57543859649122808</v>
      </c>
      <c r="AF21" s="84">
        <f t="shared" si="8"/>
        <v>13</v>
      </c>
    </row>
    <row r="22" spans="1:32" ht="27" customHeight="1">
      <c r="A22" s="96">
        <v>14</v>
      </c>
      <c r="B22" s="11" t="s">
        <v>57</v>
      </c>
      <c r="C22" s="11" t="s">
        <v>118</v>
      </c>
      <c r="D22" s="52" t="s">
        <v>115</v>
      </c>
      <c r="E22" s="53" t="s">
        <v>162</v>
      </c>
      <c r="F22" s="30" t="s">
        <v>142</v>
      </c>
      <c r="G22" s="33">
        <v>1</v>
      </c>
      <c r="H22" s="35">
        <v>24</v>
      </c>
      <c r="I22" s="7">
        <v>15000</v>
      </c>
      <c r="J22" s="14">
        <v>5357</v>
      </c>
      <c r="K22" s="15">
        <f>L22+3883</f>
        <v>9240</v>
      </c>
      <c r="L22" s="15">
        <f>2699+2658</f>
        <v>5357</v>
      </c>
      <c r="M22" s="15">
        <f t="shared" si="0"/>
        <v>5357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0.57543859649122808</v>
      </c>
      <c r="AF22" s="84">
        <f t="shared" si="8"/>
        <v>14</v>
      </c>
    </row>
    <row r="23" spans="1:32" ht="30" customHeight="1">
      <c r="A23" s="112">
        <v>15</v>
      </c>
      <c r="B23" s="11" t="s">
        <v>57</v>
      </c>
      <c r="C23" s="34" t="s">
        <v>112</v>
      </c>
      <c r="D23" s="52" t="s">
        <v>115</v>
      </c>
      <c r="E23" s="53" t="s">
        <v>148</v>
      </c>
      <c r="F23" s="30" t="s">
        <v>130</v>
      </c>
      <c r="G23" s="12">
        <v>1</v>
      </c>
      <c r="H23" s="13">
        <v>24</v>
      </c>
      <c r="I23" s="7">
        <v>62000</v>
      </c>
      <c r="J23" s="14">
        <v>5650</v>
      </c>
      <c r="K23" s="15">
        <f>L23+5680</f>
        <v>11330</v>
      </c>
      <c r="L23" s="15">
        <f>2840+2810</f>
        <v>5650</v>
      </c>
      <c r="M23" s="15">
        <f t="shared" si="0"/>
        <v>5650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0.57543859649122808</v>
      </c>
      <c r="AF23" s="84">
        <f t="shared" si="8"/>
        <v>15</v>
      </c>
    </row>
    <row r="24" spans="1:32" ht="27" customHeight="1" thickBot="1">
      <c r="A24" s="96">
        <v>16</v>
      </c>
      <c r="B24" s="11" t="s">
        <v>57</v>
      </c>
      <c r="C24" s="11" t="s">
        <v>113</v>
      </c>
      <c r="D24" s="52"/>
      <c r="E24" s="53" t="s">
        <v>157</v>
      </c>
      <c r="F24" s="12" t="s">
        <v>114</v>
      </c>
      <c r="G24" s="12">
        <v>4</v>
      </c>
      <c r="H24" s="35">
        <v>20</v>
      </c>
      <c r="I24" s="7">
        <v>2000000</v>
      </c>
      <c r="J24" s="14">
        <v>66216</v>
      </c>
      <c r="K24" s="15">
        <f>L24+63388+69392+28968+33256+34460+34384+70208+69780+63952+70200+69756+69704+63720+69508+69956</f>
        <v>946848</v>
      </c>
      <c r="L24" s="15">
        <f>7830*4+8724*4</f>
        <v>66216</v>
      </c>
      <c r="M24" s="15">
        <f t="shared" si="0"/>
        <v>66216</v>
      </c>
      <c r="N24" s="15">
        <v>0</v>
      </c>
      <c r="O24" s="58">
        <f t="shared" si="1"/>
        <v>0</v>
      </c>
      <c r="P24" s="39">
        <f t="shared" si="2"/>
        <v>24</v>
      </c>
      <c r="Q24" s="40">
        <f t="shared" si="3"/>
        <v>0</v>
      </c>
      <c r="R24" s="7"/>
      <c r="S24" s="6"/>
      <c r="T24" s="16"/>
      <c r="U24" s="16"/>
      <c r="V24" s="17"/>
      <c r="W24" s="5"/>
      <c r="X24" s="16"/>
      <c r="Y24" s="16"/>
      <c r="Z24" s="16"/>
      <c r="AA24" s="18"/>
      <c r="AB24" s="8">
        <f t="shared" si="4"/>
        <v>1</v>
      </c>
      <c r="AC24" s="9">
        <f t="shared" si="5"/>
        <v>1</v>
      </c>
      <c r="AD24" s="10">
        <f t="shared" si="6"/>
        <v>1</v>
      </c>
      <c r="AE24" s="36">
        <f t="shared" si="7"/>
        <v>0.57543859649122808</v>
      </c>
      <c r="AF24" s="84">
        <f t="shared" si="8"/>
        <v>16</v>
      </c>
    </row>
    <row r="25" spans="1:32" ht="31.5" customHeight="1" thickBot="1">
      <c r="A25" s="444" t="s">
        <v>34</v>
      </c>
      <c r="B25" s="445"/>
      <c r="C25" s="445"/>
      <c r="D25" s="445"/>
      <c r="E25" s="445"/>
      <c r="F25" s="445"/>
      <c r="G25" s="445"/>
      <c r="H25" s="446"/>
      <c r="I25" s="22">
        <f t="shared" ref="I25:N25" si="17">SUM(I6:I24)</f>
        <v>2654860</v>
      </c>
      <c r="J25" s="19">
        <f t="shared" si="17"/>
        <v>129894</v>
      </c>
      <c r="K25" s="20">
        <f t="shared" si="17"/>
        <v>1217231</v>
      </c>
      <c r="L25" s="21">
        <f t="shared" si="17"/>
        <v>125963</v>
      </c>
      <c r="M25" s="20">
        <f t="shared" si="17"/>
        <v>125963</v>
      </c>
      <c r="N25" s="21">
        <f t="shared" si="17"/>
        <v>0</v>
      </c>
      <c r="O25" s="41">
        <f t="shared" si="1"/>
        <v>0</v>
      </c>
      <c r="P25" s="42">
        <f t="shared" ref="P25:AA25" si="18">SUM(P6:P24)</f>
        <v>264</v>
      </c>
      <c r="Q25" s="43">
        <f t="shared" si="18"/>
        <v>192</v>
      </c>
      <c r="R25" s="23">
        <f t="shared" si="18"/>
        <v>0</v>
      </c>
      <c r="S25" s="24">
        <f t="shared" si="18"/>
        <v>48</v>
      </c>
      <c r="T25" s="24">
        <f t="shared" si="18"/>
        <v>0</v>
      </c>
      <c r="U25" s="24">
        <f t="shared" si="18"/>
        <v>0</v>
      </c>
      <c r="V25" s="25">
        <f t="shared" si="18"/>
        <v>43</v>
      </c>
      <c r="W25" s="26">
        <f t="shared" si="18"/>
        <v>22</v>
      </c>
      <c r="X25" s="27">
        <f t="shared" si="18"/>
        <v>0</v>
      </c>
      <c r="Y25" s="27">
        <f t="shared" si="18"/>
        <v>0</v>
      </c>
      <c r="Z25" s="27">
        <f t="shared" si="18"/>
        <v>0</v>
      </c>
      <c r="AA25" s="27">
        <f t="shared" si="18"/>
        <v>79</v>
      </c>
      <c r="AB25" s="28">
        <f>AVERAGE(AB6:AB24)</f>
        <v>0.87368421052631584</v>
      </c>
      <c r="AC25" s="4">
        <f>AVERAGE(AC6:AC24)</f>
        <v>0.57894736842105265</v>
      </c>
      <c r="AD25" s="4">
        <f>AVERAGE(AD6:AD24)</f>
        <v>0.57543859649122808</v>
      </c>
      <c r="AE25" s="29"/>
    </row>
    <row r="27" spans="1:32" ht="18.75">
      <c r="A27" s="2"/>
      <c r="B27" s="2" t="s">
        <v>35</v>
      </c>
      <c r="C27" s="2"/>
      <c r="D27" s="2"/>
      <c r="E27" s="2"/>
      <c r="F27" s="2"/>
      <c r="G27" s="2"/>
      <c r="H27" s="3"/>
      <c r="I27" s="3"/>
      <c r="J27" s="2"/>
      <c r="K27" s="2"/>
      <c r="L27" s="2"/>
      <c r="M27" s="2"/>
      <c r="N27" s="2" t="s">
        <v>36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1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85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F41" s="50"/>
    </row>
    <row r="42" spans="1:32" ht="27">
      <c r="A42" s="59"/>
      <c r="B42" s="59"/>
      <c r="C42" s="59"/>
      <c r="D42" s="59"/>
      <c r="E42" s="59"/>
      <c r="F42" s="37"/>
      <c r="G42" s="37"/>
      <c r="H42" s="38"/>
      <c r="I42" s="38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F42" s="50"/>
    </row>
    <row r="43" spans="1:32" ht="29.25" customHeight="1">
      <c r="A43" s="60"/>
      <c r="B43" s="60"/>
      <c r="C43" s="61"/>
      <c r="D43" s="61"/>
      <c r="E43" s="61"/>
      <c r="F43" s="60"/>
      <c r="G43" s="60"/>
      <c r="H43" s="60"/>
      <c r="I43" s="60"/>
      <c r="J43" s="60"/>
      <c r="K43" s="60"/>
      <c r="L43" s="60"/>
      <c r="M43" s="61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29.25" customHeight="1">
      <c r="A50" s="60"/>
      <c r="B50" s="60"/>
      <c r="C50" s="62"/>
      <c r="D50" s="61"/>
      <c r="E50" s="61"/>
      <c r="F50" s="60"/>
      <c r="G50" s="60"/>
      <c r="H50" s="60"/>
      <c r="I50" s="60"/>
      <c r="J50" s="60"/>
      <c r="K50" s="60"/>
      <c r="L50" s="60"/>
      <c r="M50" s="62"/>
      <c r="N50" s="60"/>
      <c r="O50" s="60"/>
      <c r="P50" s="63"/>
      <c r="Q50" s="63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0"/>
      <c r="AC50" s="60"/>
      <c r="AD50" s="60"/>
      <c r="AF50" s="50"/>
    </row>
    <row r="51" spans="1:32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36" thickBot="1">
      <c r="A52" s="447" t="s">
        <v>45</v>
      </c>
      <c r="B52" s="447"/>
      <c r="C52" s="447"/>
      <c r="D52" s="447"/>
      <c r="E52" s="447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F52" s="50"/>
    </row>
    <row r="53" spans="1:32" ht="26.25" thickBot="1">
      <c r="A53" s="448" t="s">
        <v>260</v>
      </c>
      <c r="B53" s="449"/>
      <c r="C53" s="449"/>
      <c r="D53" s="449"/>
      <c r="E53" s="449"/>
      <c r="F53" s="449"/>
      <c r="G53" s="449"/>
      <c r="H53" s="449"/>
      <c r="I53" s="449"/>
      <c r="J53" s="449"/>
      <c r="K53" s="449"/>
      <c r="L53" s="449"/>
      <c r="M53" s="450"/>
      <c r="N53" s="451" t="s">
        <v>265</v>
      </c>
      <c r="O53" s="452"/>
      <c r="P53" s="452"/>
      <c r="Q53" s="452"/>
      <c r="R53" s="452"/>
      <c r="S53" s="452"/>
      <c r="T53" s="452"/>
      <c r="U53" s="452"/>
      <c r="V53" s="452"/>
      <c r="W53" s="452"/>
      <c r="X53" s="452"/>
      <c r="Y53" s="452"/>
      <c r="Z53" s="452"/>
      <c r="AA53" s="452"/>
      <c r="AB53" s="452"/>
      <c r="AC53" s="452"/>
      <c r="AD53" s="453"/>
    </row>
    <row r="54" spans="1:32" ht="27" customHeight="1">
      <c r="A54" s="454" t="s">
        <v>2</v>
      </c>
      <c r="B54" s="455"/>
      <c r="C54" s="188" t="s">
        <v>46</v>
      </c>
      <c r="D54" s="188" t="s">
        <v>47</v>
      </c>
      <c r="E54" s="188" t="s">
        <v>107</v>
      </c>
      <c r="F54" s="456" t="s">
        <v>106</v>
      </c>
      <c r="G54" s="457"/>
      <c r="H54" s="457"/>
      <c r="I54" s="457"/>
      <c r="J54" s="457"/>
      <c r="K54" s="457"/>
      <c r="L54" s="457"/>
      <c r="M54" s="458"/>
      <c r="N54" s="67" t="s">
        <v>110</v>
      </c>
      <c r="O54" s="188" t="s">
        <v>46</v>
      </c>
      <c r="P54" s="456" t="s">
        <v>47</v>
      </c>
      <c r="Q54" s="459"/>
      <c r="R54" s="456" t="s">
        <v>38</v>
      </c>
      <c r="S54" s="457"/>
      <c r="T54" s="457"/>
      <c r="U54" s="459"/>
      <c r="V54" s="456" t="s">
        <v>48</v>
      </c>
      <c r="W54" s="457"/>
      <c r="X54" s="457"/>
      <c r="Y54" s="457"/>
      <c r="Z54" s="457"/>
      <c r="AA54" s="457"/>
      <c r="AB54" s="457"/>
      <c r="AC54" s="457"/>
      <c r="AD54" s="458"/>
    </row>
    <row r="55" spans="1:32" ht="27" customHeight="1">
      <c r="A55" s="470" t="s">
        <v>112</v>
      </c>
      <c r="B55" s="471"/>
      <c r="C55" s="189" t="s">
        <v>128</v>
      </c>
      <c r="D55" s="189" t="s">
        <v>199</v>
      </c>
      <c r="E55" s="191" t="s">
        <v>255</v>
      </c>
      <c r="F55" s="472" t="s">
        <v>261</v>
      </c>
      <c r="G55" s="473"/>
      <c r="H55" s="473"/>
      <c r="I55" s="473"/>
      <c r="J55" s="473"/>
      <c r="K55" s="473"/>
      <c r="L55" s="473"/>
      <c r="M55" s="474"/>
      <c r="N55" s="190" t="s">
        <v>118</v>
      </c>
      <c r="O55" s="196" t="s">
        <v>147</v>
      </c>
      <c r="P55" s="475" t="s">
        <v>143</v>
      </c>
      <c r="Q55" s="476"/>
      <c r="R55" s="475" t="s">
        <v>138</v>
      </c>
      <c r="S55" s="477"/>
      <c r="T55" s="477"/>
      <c r="U55" s="476"/>
      <c r="V55" s="478" t="s">
        <v>124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112</v>
      </c>
      <c r="B56" s="481"/>
      <c r="C56" s="191" t="s">
        <v>128</v>
      </c>
      <c r="D56" s="189" t="s">
        <v>199</v>
      </c>
      <c r="E56" s="191" t="s">
        <v>200</v>
      </c>
      <c r="F56" s="472" t="s">
        <v>261</v>
      </c>
      <c r="G56" s="473"/>
      <c r="H56" s="473"/>
      <c r="I56" s="473"/>
      <c r="J56" s="473"/>
      <c r="K56" s="473"/>
      <c r="L56" s="473"/>
      <c r="M56" s="474"/>
      <c r="N56" s="190" t="s">
        <v>120</v>
      </c>
      <c r="O56" s="196" t="s">
        <v>205</v>
      </c>
      <c r="P56" s="475"/>
      <c r="Q56" s="476"/>
      <c r="R56" s="475" t="s">
        <v>241</v>
      </c>
      <c r="S56" s="477"/>
      <c r="T56" s="477"/>
      <c r="U56" s="476"/>
      <c r="V56" s="478" t="s">
        <v>124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118</v>
      </c>
      <c r="B57" s="481"/>
      <c r="C57" s="191" t="s">
        <v>128</v>
      </c>
      <c r="D57" s="191" t="s">
        <v>258</v>
      </c>
      <c r="E57" s="191" t="s">
        <v>259</v>
      </c>
      <c r="F57" s="472" t="s">
        <v>206</v>
      </c>
      <c r="G57" s="473"/>
      <c r="H57" s="473"/>
      <c r="I57" s="473"/>
      <c r="J57" s="473"/>
      <c r="K57" s="473"/>
      <c r="L57" s="473"/>
      <c r="M57" s="474"/>
      <c r="N57" s="190" t="s">
        <v>120</v>
      </c>
      <c r="O57" s="196" t="s">
        <v>214</v>
      </c>
      <c r="P57" s="475"/>
      <c r="Q57" s="476"/>
      <c r="R57" s="475" t="s">
        <v>266</v>
      </c>
      <c r="S57" s="477"/>
      <c r="T57" s="477"/>
      <c r="U57" s="476"/>
      <c r="V57" s="478" t="s">
        <v>187</v>
      </c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188</v>
      </c>
      <c r="B58" s="481"/>
      <c r="C58" s="191" t="s">
        <v>184</v>
      </c>
      <c r="D58" s="191" t="s">
        <v>237</v>
      </c>
      <c r="E58" s="191" t="s">
        <v>202</v>
      </c>
      <c r="F58" s="472" t="s">
        <v>165</v>
      </c>
      <c r="G58" s="473"/>
      <c r="H58" s="473"/>
      <c r="I58" s="473"/>
      <c r="J58" s="473"/>
      <c r="K58" s="473"/>
      <c r="L58" s="473"/>
      <c r="M58" s="474"/>
      <c r="N58" s="190" t="s">
        <v>120</v>
      </c>
      <c r="O58" s="196" t="s">
        <v>268</v>
      </c>
      <c r="P58" s="475"/>
      <c r="Q58" s="476"/>
      <c r="R58" s="475" t="s">
        <v>267</v>
      </c>
      <c r="S58" s="477"/>
      <c r="T58" s="477"/>
      <c r="U58" s="476"/>
      <c r="V58" s="478" t="s">
        <v>187</v>
      </c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 t="s">
        <v>118</v>
      </c>
      <c r="B59" s="471"/>
      <c r="C59" s="189" t="s">
        <v>128</v>
      </c>
      <c r="D59" s="189" t="s">
        <v>256</v>
      </c>
      <c r="E59" s="191" t="s">
        <v>257</v>
      </c>
      <c r="F59" s="472" t="s">
        <v>206</v>
      </c>
      <c r="G59" s="473"/>
      <c r="H59" s="473"/>
      <c r="I59" s="473"/>
      <c r="J59" s="473"/>
      <c r="K59" s="473"/>
      <c r="L59" s="473"/>
      <c r="M59" s="474"/>
      <c r="N59" s="190" t="s">
        <v>188</v>
      </c>
      <c r="O59" s="196" t="s">
        <v>184</v>
      </c>
      <c r="P59" s="475"/>
      <c r="Q59" s="476"/>
      <c r="R59" s="475" t="s">
        <v>202</v>
      </c>
      <c r="S59" s="477"/>
      <c r="T59" s="477"/>
      <c r="U59" s="476"/>
      <c r="V59" s="478" t="s">
        <v>124</v>
      </c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 t="s">
        <v>118</v>
      </c>
      <c r="B60" s="471"/>
      <c r="C60" s="189" t="s">
        <v>147</v>
      </c>
      <c r="D60" s="189" t="s">
        <v>143</v>
      </c>
      <c r="E60" s="191" t="s">
        <v>138</v>
      </c>
      <c r="F60" s="472" t="s">
        <v>262</v>
      </c>
      <c r="G60" s="473"/>
      <c r="H60" s="473"/>
      <c r="I60" s="473"/>
      <c r="J60" s="473"/>
      <c r="K60" s="473"/>
      <c r="L60" s="473"/>
      <c r="M60" s="474"/>
      <c r="N60" s="190"/>
      <c r="O60" s="196"/>
      <c r="P60" s="475"/>
      <c r="Q60" s="476"/>
      <c r="R60" s="475"/>
      <c r="S60" s="477"/>
      <c r="T60" s="477"/>
      <c r="U60" s="476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 t="s">
        <v>118</v>
      </c>
      <c r="B61" s="471"/>
      <c r="C61" s="189" t="s">
        <v>149</v>
      </c>
      <c r="D61" s="189" t="s">
        <v>115</v>
      </c>
      <c r="E61" s="191" t="s">
        <v>136</v>
      </c>
      <c r="F61" s="472" t="s">
        <v>124</v>
      </c>
      <c r="G61" s="473"/>
      <c r="H61" s="473"/>
      <c r="I61" s="473"/>
      <c r="J61" s="473"/>
      <c r="K61" s="473"/>
      <c r="L61" s="473"/>
      <c r="M61" s="474"/>
      <c r="N61" s="190"/>
      <c r="O61" s="196"/>
      <c r="P61" s="475"/>
      <c r="Q61" s="476"/>
      <c r="R61" s="475"/>
      <c r="S61" s="477"/>
      <c r="T61" s="477"/>
      <c r="U61" s="476"/>
      <c r="V61" s="478"/>
      <c r="W61" s="478"/>
      <c r="X61" s="478"/>
      <c r="Y61" s="478"/>
      <c r="Z61" s="478"/>
      <c r="AA61" s="478"/>
      <c r="AB61" s="478"/>
      <c r="AC61" s="478"/>
      <c r="AD61" s="479"/>
    </row>
    <row r="62" spans="1:32" ht="27" customHeight="1">
      <c r="A62" s="480" t="s">
        <v>158</v>
      </c>
      <c r="B62" s="481"/>
      <c r="C62" s="191" t="s">
        <v>243</v>
      </c>
      <c r="D62" s="191" t="s">
        <v>115</v>
      </c>
      <c r="E62" s="191" t="s">
        <v>164</v>
      </c>
      <c r="F62" s="472" t="s">
        <v>124</v>
      </c>
      <c r="G62" s="473"/>
      <c r="H62" s="473"/>
      <c r="I62" s="473"/>
      <c r="J62" s="473"/>
      <c r="K62" s="473"/>
      <c r="L62" s="473"/>
      <c r="M62" s="474"/>
      <c r="N62" s="190"/>
      <c r="O62" s="196"/>
      <c r="P62" s="475"/>
      <c r="Q62" s="476"/>
      <c r="R62" s="481"/>
      <c r="S62" s="481"/>
      <c r="T62" s="481"/>
      <c r="U62" s="481"/>
      <c r="V62" s="478"/>
      <c r="W62" s="478"/>
      <c r="X62" s="478"/>
      <c r="Y62" s="478"/>
      <c r="Z62" s="478"/>
      <c r="AA62" s="478"/>
      <c r="AB62" s="478"/>
      <c r="AC62" s="478"/>
      <c r="AD62" s="479"/>
    </row>
    <row r="63" spans="1:32" ht="27" customHeight="1">
      <c r="A63" s="470" t="s">
        <v>120</v>
      </c>
      <c r="B63" s="471"/>
      <c r="C63" s="189" t="s">
        <v>171</v>
      </c>
      <c r="D63" s="189"/>
      <c r="E63" s="191" t="s">
        <v>242</v>
      </c>
      <c r="F63" s="472" t="s">
        <v>187</v>
      </c>
      <c r="G63" s="473"/>
      <c r="H63" s="473"/>
      <c r="I63" s="473"/>
      <c r="J63" s="473"/>
      <c r="K63" s="473"/>
      <c r="L63" s="473"/>
      <c r="M63" s="474"/>
      <c r="N63" s="190"/>
      <c r="O63" s="196"/>
      <c r="P63" s="481"/>
      <c r="Q63" s="481"/>
      <c r="R63" s="481"/>
      <c r="S63" s="481"/>
      <c r="T63" s="481"/>
      <c r="U63" s="481"/>
      <c r="V63" s="478"/>
      <c r="W63" s="478"/>
      <c r="X63" s="478"/>
      <c r="Y63" s="478"/>
      <c r="Z63" s="478"/>
      <c r="AA63" s="478"/>
      <c r="AB63" s="478"/>
      <c r="AC63" s="478"/>
      <c r="AD63" s="479"/>
      <c r="AF63" s="84">
        <f>8*3000</f>
        <v>24000</v>
      </c>
    </row>
    <row r="64" spans="1:32" ht="27" customHeight="1" thickBot="1">
      <c r="A64" s="482" t="s">
        <v>120</v>
      </c>
      <c r="B64" s="483"/>
      <c r="C64" s="192" t="s">
        <v>205</v>
      </c>
      <c r="D64" s="193"/>
      <c r="E64" s="191" t="s">
        <v>264</v>
      </c>
      <c r="F64" s="484" t="s">
        <v>263</v>
      </c>
      <c r="G64" s="485"/>
      <c r="H64" s="485"/>
      <c r="I64" s="485"/>
      <c r="J64" s="485"/>
      <c r="K64" s="485"/>
      <c r="L64" s="485"/>
      <c r="M64" s="486"/>
      <c r="N64" s="111"/>
      <c r="O64" s="103"/>
      <c r="P64" s="487"/>
      <c r="Q64" s="487"/>
      <c r="R64" s="487"/>
      <c r="S64" s="487"/>
      <c r="T64" s="487"/>
      <c r="U64" s="487"/>
      <c r="V64" s="488"/>
      <c r="W64" s="488"/>
      <c r="X64" s="488"/>
      <c r="Y64" s="488"/>
      <c r="Z64" s="488"/>
      <c r="AA64" s="488"/>
      <c r="AB64" s="488"/>
      <c r="AC64" s="488"/>
      <c r="AD64" s="489"/>
      <c r="AF64" s="84">
        <f>16*3000</f>
        <v>48000</v>
      </c>
    </row>
    <row r="65" spans="1:32" ht="27.75" thickBot="1">
      <c r="A65" s="490" t="s">
        <v>269</v>
      </c>
      <c r="B65" s="490"/>
      <c r="C65" s="490"/>
      <c r="D65" s="490"/>
      <c r="E65" s="490"/>
      <c r="F65" s="37"/>
      <c r="G65" s="37"/>
      <c r="H65" s="38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F65" s="84">
        <v>24000</v>
      </c>
    </row>
    <row r="66" spans="1:32" ht="29.25" customHeight="1" thickBot="1">
      <c r="A66" s="491" t="s">
        <v>111</v>
      </c>
      <c r="B66" s="492"/>
      <c r="C66" s="194" t="s">
        <v>2</v>
      </c>
      <c r="D66" s="194" t="s">
        <v>37</v>
      </c>
      <c r="E66" s="194" t="s">
        <v>3</v>
      </c>
      <c r="F66" s="492" t="s">
        <v>109</v>
      </c>
      <c r="G66" s="492"/>
      <c r="H66" s="492"/>
      <c r="I66" s="492"/>
      <c r="J66" s="492"/>
      <c r="K66" s="492" t="s">
        <v>39</v>
      </c>
      <c r="L66" s="492"/>
      <c r="M66" s="194" t="s">
        <v>40</v>
      </c>
      <c r="N66" s="492" t="s">
        <v>41</v>
      </c>
      <c r="O66" s="492"/>
      <c r="P66" s="493" t="s">
        <v>42</v>
      </c>
      <c r="Q66" s="494"/>
      <c r="R66" s="493" t="s">
        <v>43</v>
      </c>
      <c r="S66" s="495"/>
      <c r="T66" s="495"/>
      <c r="U66" s="495"/>
      <c r="V66" s="495"/>
      <c r="W66" s="495"/>
      <c r="X66" s="495"/>
      <c r="Y66" s="495"/>
      <c r="Z66" s="495"/>
      <c r="AA66" s="494"/>
      <c r="AB66" s="492" t="s">
        <v>44</v>
      </c>
      <c r="AC66" s="492"/>
      <c r="AD66" s="496"/>
      <c r="AF66" s="84">
        <f>SUM(AF63:AF65)</f>
        <v>96000</v>
      </c>
    </row>
    <row r="67" spans="1:32" ht="25.5" customHeight="1">
      <c r="A67" s="497">
        <v>1</v>
      </c>
      <c r="B67" s="498"/>
      <c r="C67" s="104" t="s">
        <v>118</v>
      </c>
      <c r="D67" s="198"/>
      <c r="E67" s="195" t="s">
        <v>258</v>
      </c>
      <c r="F67" s="499" t="s">
        <v>259</v>
      </c>
      <c r="G67" s="500"/>
      <c r="H67" s="500"/>
      <c r="I67" s="500"/>
      <c r="J67" s="501"/>
      <c r="K67" s="502">
        <v>7301</v>
      </c>
      <c r="L67" s="502"/>
      <c r="M67" s="51" t="s">
        <v>248</v>
      </c>
      <c r="N67" s="503" t="s">
        <v>128</v>
      </c>
      <c r="O67" s="503"/>
      <c r="P67" s="504">
        <v>50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2</v>
      </c>
      <c r="B68" s="498"/>
      <c r="C68" s="104" t="s">
        <v>118</v>
      </c>
      <c r="D68" s="198"/>
      <c r="E68" s="195" t="s">
        <v>271</v>
      </c>
      <c r="F68" s="499" t="s">
        <v>270</v>
      </c>
      <c r="G68" s="500"/>
      <c r="H68" s="500"/>
      <c r="I68" s="500"/>
      <c r="J68" s="501"/>
      <c r="K68" s="502" t="s">
        <v>133</v>
      </c>
      <c r="L68" s="502"/>
      <c r="M68" s="51" t="s">
        <v>248</v>
      </c>
      <c r="N68" s="503" t="s">
        <v>128</v>
      </c>
      <c r="O68" s="503"/>
      <c r="P68" s="504">
        <v>100</v>
      </c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3</v>
      </c>
      <c r="B69" s="498"/>
      <c r="C69" s="104" t="s">
        <v>118</v>
      </c>
      <c r="D69" s="198"/>
      <c r="E69" s="195" t="s">
        <v>256</v>
      </c>
      <c r="F69" s="499" t="s">
        <v>257</v>
      </c>
      <c r="G69" s="500"/>
      <c r="H69" s="500"/>
      <c r="I69" s="500"/>
      <c r="J69" s="501"/>
      <c r="K69" s="502">
        <v>7301</v>
      </c>
      <c r="L69" s="502"/>
      <c r="M69" s="51" t="s">
        <v>248</v>
      </c>
      <c r="N69" s="503" t="s">
        <v>128</v>
      </c>
      <c r="O69" s="503"/>
      <c r="P69" s="504">
        <v>50</v>
      </c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4</v>
      </c>
      <c r="B70" s="498"/>
      <c r="C70" s="104" t="s">
        <v>112</v>
      </c>
      <c r="D70" s="198"/>
      <c r="E70" s="195" t="s">
        <v>199</v>
      </c>
      <c r="F70" s="499" t="s">
        <v>255</v>
      </c>
      <c r="G70" s="500"/>
      <c r="H70" s="500"/>
      <c r="I70" s="500"/>
      <c r="J70" s="501"/>
      <c r="K70" s="502" t="s">
        <v>133</v>
      </c>
      <c r="L70" s="502"/>
      <c r="M70" s="51" t="s">
        <v>191</v>
      </c>
      <c r="N70" s="503" t="s">
        <v>128</v>
      </c>
      <c r="O70" s="503"/>
      <c r="P70" s="504">
        <v>100</v>
      </c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5</v>
      </c>
      <c r="B71" s="498"/>
      <c r="C71" s="104" t="s">
        <v>112</v>
      </c>
      <c r="D71" s="198"/>
      <c r="E71" s="195" t="s">
        <v>199</v>
      </c>
      <c r="F71" s="499" t="s">
        <v>200</v>
      </c>
      <c r="G71" s="500"/>
      <c r="H71" s="500"/>
      <c r="I71" s="500"/>
      <c r="J71" s="501"/>
      <c r="K71" s="502" t="s">
        <v>133</v>
      </c>
      <c r="L71" s="502"/>
      <c r="M71" s="51" t="s">
        <v>191</v>
      </c>
      <c r="N71" s="503" t="s">
        <v>128</v>
      </c>
      <c r="O71" s="503"/>
      <c r="P71" s="504">
        <v>100</v>
      </c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6</v>
      </c>
      <c r="B72" s="498"/>
      <c r="C72" s="104"/>
      <c r="D72" s="198"/>
      <c r="E72" s="195"/>
      <c r="F72" s="499"/>
      <c r="G72" s="500"/>
      <c r="H72" s="500"/>
      <c r="I72" s="500"/>
      <c r="J72" s="501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7</v>
      </c>
      <c r="B73" s="498"/>
      <c r="C73" s="104"/>
      <c r="D73" s="198"/>
      <c r="E73" s="195"/>
      <c r="F73" s="499"/>
      <c r="G73" s="500"/>
      <c r="H73" s="500"/>
      <c r="I73" s="500"/>
      <c r="J73" s="501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8</v>
      </c>
      <c r="B74" s="498"/>
      <c r="C74" s="104"/>
      <c r="D74" s="198"/>
      <c r="E74" s="195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5.5" customHeight="1">
      <c r="A75" s="497">
        <v>9</v>
      </c>
      <c r="B75" s="498"/>
      <c r="C75" s="104"/>
      <c r="D75" s="198"/>
      <c r="E75" s="195"/>
      <c r="F75" s="506"/>
      <c r="G75" s="502"/>
      <c r="H75" s="502"/>
      <c r="I75" s="502"/>
      <c r="J75" s="502"/>
      <c r="K75" s="502"/>
      <c r="L75" s="502"/>
      <c r="M75" s="51"/>
      <c r="N75" s="503"/>
      <c r="O75" s="503"/>
      <c r="P75" s="504"/>
      <c r="Q75" s="504"/>
      <c r="R75" s="478"/>
      <c r="S75" s="478"/>
      <c r="T75" s="478"/>
      <c r="U75" s="478"/>
      <c r="V75" s="478"/>
      <c r="W75" s="478"/>
      <c r="X75" s="478"/>
      <c r="Y75" s="478"/>
      <c r="Z75" s="478"/>
      <c r="AA75" s="478"/>
      <c r="AB75" s="502"/>
      <c r="AC75" s="502"/>
      <c r="AD75" s="505"/>
      <c r="AF75" s="50"/>
    </row>
    <row r="76" spans="1:32" ht="25.5" customHeight="1">
      <c r="A76" s="497">
        <v>10</v>
      </c>
      <c r="B76" s="498"/>
      <c r="C76" s="104"/>
      <c r="D76" s="198"/>
      <c r="E76" s="195"/>
      <c r="F76" s="506"/>
      <c r="G76" s="502"/>
      <c r="H76" s="502"/>
      <c r="I76" s="502"/>
      <c r="J76" s="502"/>
      <c r="K76" s="502"/>
      <c r="L76" s="502"/>
      <c r="M76" s="51"/>
      <c r="N76" s="503"/>
      <c r="O76" s="503"/>
      <c r="P76" s="504"/>
      <c r="Q76" s="504"/>
      <c r="R76" s="478"/>
      <c r="S76" s="478"/>
      <c r="T76" s="478"/>
      <c r="U76" s="478"/>
      <c r="V76" s="478"/>
      <c r="W76" s="478"/>
      <c r="X76" s="478"/>
      <c r="Y76" s="478"/>
      <c r="Z76" s="478"/>
      <c r="AA76" s="478"/>
      <c r="AB76" s="502"/>
      <c r="AC76" s="502"/>
      <c r="AD76" s="505"/>
      <c r="AF76" s="50"/>
    </row>
    <row r="77" spans="1:32" ht="26.25" customHeight="1" thickBot="1">
      <c r="A77" s="507" t="s">
        <v>272</v>
      </c>
      <c r="B77" s="507"/>
      <c r="C77" s="507"/>
      <c r="D77" s="507"/>
      <c r="E77" s="507"/>
      <c r="F77" s="37"/>
      <c r="G77" s="37"/>
      <c r="H77" s="38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F77" s="50"/>
    </row>
    <row r="78" spans="1:32" ht="23.25" thickBot="1">
      <c r="A78" s="508" t="s">
        <v>127</v>
      </c>
      <c r="B78" s="509"/>
      <c r="C78" s="197" t="s">
        <v>2</v>
      </c>
      <c r="D78" s="197" t="s">
        <v>37</v>
      </c>
      <c r="E78" s="197" t="s">
        <v>126</v>
      </c>
      <c r="F78" s="509" t="s">
        <v>38</v>
      </c>
      <c r="G78" s="509"/>
      <c r="H78" s="509"/>
      <c r="I78" s="509"/>
      <c r="J78" s="509"/>
      <c r="K78" s="510" t="s">
        <v>58</v>
      </c>
      <c r="L78" s="511"/>
      <c r="M78" s="511"/>
      <c r="N78" s="511"/>
      <c r="O78" s="511"/>
      <c r="P78" s="511"/>
      <c r="Q78" s="511"/>
      <c r="R78" s="511"/>
      <c r="S78" s="512"/>
      <c r="T78" s="509" t="s">
        <v>49</v>
      </c>
      <c r="U78" s="509"/>
      <c r="V78" s="510" t="s">
        <v>50</v>
      </c>
      <c r="W78" s="512"/>
      <c r="X78" s="511" t="s">
        <v>51</v>
      </c>
      <c r="Y78" s="511"/>
      <c r="Z78" s="511"/>
      <c r="AA78" s="511"/>
      <c r="AB78" s="511"/>
      <c r="AC78" s="511"/>
      <c r="AD78" s="513"/>
      <c r="AF78" s="50"/>
    </row>
    <row r="79" spans="1:32" ht="33.75" customHeight="1">
      <c r="A79" s="522">
        <v>1</v>
      </c>
      <c r="B79" s="523"/>
      <c r="C79" s="199" t="s">
        <v>112</v>
      </c>
      <c r="D79" s="199"/>
      <c r="E79" s="65" t="s">
        <v>117</v>
      </c>
      <c r="F79" s="524" t="s">
        <v>116</v>
      </c>
      <c r="G79" s="525"/>
      <c r="H79" s="525"/>
      <c r="I79" s="525"/>
      <c r="J79" s="526"/>
      <c r="K79" s="527" t="s">
        <v>119</v>
      </c>
      <c r="L79" s="528"/>
      <c r="M79" s="528"/>
      <c r="N79" s="528"/>
      <c r="O79" s="528"/>
      <c r="P79" s="528"/>
      <c r="Q79" s="528"/>
      <c r="R79" s="528"/>
      <c r="S79" s="529"/>
      <c r="T79" s="530">
        <v>44118</v>
      </c>
      <c r="U79" s="531"/>
      <c r="V79" s="532"/>
      <c r="W79" s="532"/>
      <c r="X79" s="533"/>
      <c r="Y79" s="533"/>
      <c r="Z79" s="533"/>
      <c r="AA79" s="533"/>
      <c r="AB79" s="533"/>
      <c r="AC79" s="533"/>
      <c r="AD79" s="534"/>
      <c r="AF79" s="50"/>
    </row>
    <row r="80" spans="1:32" ht="30" customHeight="1">
      <c r="A80" s="514">
        <f>A79+1</f>
        <v>2</v>
      </c>
      <c r="B80" s="515"/>
      <c r="C80" s="198"/>
      <c r="D80" s="198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ref="A81:A85" si="19">A80+1</f>
        <v>3</v>
      </c>
      <c r="B81" s="515"/>
      <c r="C81" s="198"/>
      <c r="D81" s="198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4</v>
      </c>
      <c r="B82" s="515"/>
      <c r="C82" s="198"/>
      <c r="D82" s="198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5</v>
      </c>
      <c r="B83" s="515"/>
      <c r="C83" s="198"/>
      <c r="D83" s="198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0" customHeight="1">
      <c r="A84" s="514">
        <f t="shared" si="19"/>
        <v>6</v>
      </c>
      <c r="B84" s="515"/>
      <c r="C84" s="198"/>
      <c r="D84" s="198"/>
      <c r="E84" s="32"/>
      <c r="F84" s="515"/>
      <c r="G84" s="515"/>
      <c r="H84" s="515"/>
      <c r="I84" s="515"/>
      <c r="J84" s="515"/>
      <c r="K84" s="516"/>
      <c r="L84" s="517"/>
      <c r="M84" s="517"/>
      <c r="N84" s="517"/>
      <c r="O84" s="517"/>
      <c r="P84" s="517"/>
      <c r="Q84" s="517"/>
      <c r="R84" s="517"/>
      <c r="S84" s="518"/>
      <c r="T84" s="519"/>
      <c r="U84" s="519"/>
      <c r="V84" s="519"/>
      <c r="W84" s="519"/>
      <c r="X84" s="520"/>
      <c r="Y84" s="520"/>
      <c r="Z84" s="520"/>
      <c r="AA84" s="520"/>
      <c r="AB84" s="520"/>
      <c r="AC84" s="520"/>
      <c r="AD84" s="521"/>
      <c r="AF84" s="50"/>
    </row>
    <row r="85" spans="1:32" ht="30" customHeight="1">
      <c r="A85" s="514">
        <f t="shared" si="19"/>
        <v>7</v>
      </c>
      <c r="B85" s="515"/>
      <c r="C85" s="198"/>
      <c r="D85" s="198"/>
      <c r="E85" s="32"/>
      <c r="F85" s="515"/>
      <c r="G85" s="515"/>
      <c r="H85" s="515"/>
      <c r="I85" s="515"/>
      <c r="J85" s="515"/>
      <c r="K85" s="516"/>
      <c r="L85" s="517"/>
      <c r="M85" s="517"/>
      <c r="N85" s="517"/>
      <c r="O85" s="517"/>
      <c r="P85" s="517"/>
      <c r="Q85" s="517"/>
      <c r="R85" s="517"/>
      <c r="S85" s="518"/>
      <c r="T85" s="519"/>
      <c r="U85" s="519"/>
      <c r="V85" s="519"/>
      <c r="W85" s="519"/>
      <c r="X85" s="520"/>
      <c r="Y85" s="520"/>
      <c r="Z85" s="520"/>
      <c r="AA85" s="520"/>
      <c r="AB85" s="520"/>
      <c r="AC85" s="520"/>
      <c r="AD85" s="521"/>
      <c r="AF85" s="50"/>
    </row>
    <row r="86" spans="1:32" ht="36" thickBot="1">
      <c r="A86" s="507" t="s">
        <v>273</v>
      </c>
      <c r="B86" s="507"/>
      <c r="C86" s="507"/>
      <c r="D86" s="507"/>
      <c r="E86" s="507"/>
      <c r="F86" s="37"/>
      <c r="G86" s="37"/>
      <c r="H86" s="38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F86" s="50"/>
    </row>
    <row r="87" spans="1:32" ht="30.75" customHeight="1" thickBot="1">
      <c r="A87" s="508" t="s">
        <v>111</v>
      </c>
      <c r="B87" s="509"/>
      <c r="C87" s="535" t="s">
        <v>52</v>
      </c>
      <c r="D87" s="535"/>
      <c r="E87" s="535" t="s">
        <v>53</v>
      </c>
      <c r="F87" s="535"/>
      <c r="G87" s="535"/>
      <c r="H87" s="535"/>
      <c r="I87" s="535"/>
      <c r="J87" s="535"/>
      <c r="K87" s="535" t="s">
        <v>54</v>
      </c>
      <c r="L87" s="535"/>
      <c r="M87" s="535"/>
      <c r="N87" s="535"/>
      <c r="O87" s="535"/>
      <c r="P87" s="535"/>
      <c r="Q87" s="535"/>
      <c r="R87" s="535"/>
      <c r="S87" s="535"/>
      <c r="T87" s="535" t="s">
        <v>55</v>
      </c>
      <c r="U87" s="535"/>
      <c r="V87" s="535" t="s">
        <v>56</v>
      </c>
      <c r="W87" s="535"/>
      <c r="X87" s="535"/>
      <c r="Y87" s="535" t="s">
        <v>51</v>
      </c>
      <c r="Z87" s="535"/>
      <c r="AA87" s="535"/>
      <c r="AB87" s="535"/>
      <c r="AC87" s="535"/>
      <c r="AD87" s="536"/>
      <c r="AF87" s="50"/>
    </row>
    <row r="88" spans="1:32" ht="30.75" customHeight="1">
      <c r="A88" s="522">
        <v>1</v>
      </c>
      <c r="B88" s="523"/>
      <c r="C88" s="537"/>
      <c r="D88" s="537"/>
      <c r="E88" s="537"/>
      <c r="F88" s="537"/>
      <c r="G88" s="537"/>
      <c r="H88" s="537"/>
      <c r="I88" s="537"/>
      <c r="J88" s="537"/>
      <c r="K88" s="537"/>
      <c r="L88" s="537"/>
      <c r="M88" s="537"/>
      <c r="N88" s="537"/>
      <c r="O88" s="537"/>
      <c r="P88" s="537"/>
      <c r="Q88" s="537"/>
      <c r="R88" s="537"/>
      <c r="S88" s="537"/>
      <c r="T88" s="537"/>
      <c r="U88" s="537"/>
      <c r="V88" s="538"/>
      <c r="W88" s="538"/>
      <c r="X88" s="538"/>
      <c r="Y88" s="539"/>
      <c r="Z88" s="539"/>
      <c r="AA88" s="539"/>
      <c r="AB88" s="539"/>
      <c r="AC88" s="539"/>
      <c r="AD88" s="540"/>
      <c r="AF88" s="50"/>
    </row>
    <row r="89" spans="1:32" ht="30.75" customHeight="1">
      <c r="A89" s="514">
        <v>2</v>
      </c>
      <c r="B89" s="515"/>
      <c r="C89" s="548"/>
      <c r="D89" s="548"/>
      <c r="E89" s="548"/>
      <c r="F89" s="548"/>
      <c r="G89" s="548"/>
      <c r="H89" s="548"/>
      <c r="I89" s="548"/>
      <c r="J89" s="548"/>
      <c r="K89" s="548"/>
      <c r="L89" s="548"/>
      <c r="M89" s="548"/>
      <c r="N89" s="548"/>
      <c r="O89" s="548"/>
      <c r="P89" s="548"/>
      <c r="Q89" s="548"/>
      <c r="R89" s="548"/>
      <c r="S89" s="548"/>
      <c r="T89" s="549"/>
      <c r="U89" s="549"/>
      <c r="V89" s="550"/>
      <c r="W89" s="550"/>
      <c r="X89" s="550"/>
      <c r="Y89" s="541"/>
      <c r="Z89" s="541"/>
      <c r="AA89" s="541"/>
      <c r="AB89" s="541"/>
      <c r="AC89" s="541"/>
      <c r="AD89" s="542"/>
      <c r="AF89" s="50"/>
    </row>
    <row r="90" spans="1:32" ht="30.75" customHeight="1" thickBot="1">
      <c r="A90" s="543">
        <v>3</v>
      </c>
      <c r="B90" s="544"/>
      <c r="C90" s="545"/>
      <c r="D90" s="545"/>
      <c r="E90" s="545"/>
      <c r="F90" s="545"/>
      <c r="G90" s="545"/>
      <c r="H90" s="545"/>
      <c r="I90" s="545"/>
      <c r="J90" s="545"/>
      <c r="K90" s="545"/>
      <c r="L90" s="545"/>
      <c r="M90" s="545"/>
      <c r="N90" s="545"/>
      <c r="O90" s="545"/>
      <c r="P90" s="545"/>
      <c r="Q90" s="545"/>
      <c r="R90" s="545"/>
      <c r="S90" s="545"/>
      <c r="T90" s="545"/>
      <c r="U90" s="545"/>
      <c r="V90" s="545"/>
      <c r="W90" s="545"/>
      <c r="X90" s="545"/>
      <c r="Y90" s="546"/>
      <c r="Z90" s="546"/>
      <c r="AA90" s="546"/>
      <c r="AB90" s="546"/>
      <c r="AC90" s="546"/>
      <c r="AD90" s="547"/>
      <c r="AF90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5:H25"/>
    <mergeCell ref="A52:E52"/>
    <mergeCell ref="A53:M53"/>
    <mergeCell ref="N53:AD53"/>
    <mergeCell ref="A54:B54"/>
    <mergeCell ref="F54:M54"/>
    <mergeCell ref="P54:Q54"/>
    <mergeCell ref="R54:U54"/>
    <mergeCell ref="V54:AD54"/>
    <mergeCell ref="I4:O4"/>
    <mergeCell ref="P4:Q4"/>
    <mergeCell ref="R4:V4"/>
    <mergeCell ref="W4:AA4"/>
    <mergeCell ref="AB4:AB5"/>
    <mergeCell ref="AC4:AC5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R63:U63"/>
    <mergeCell ref="V63:AD63"/>
    <mergeCell ref="A64:B64"/>
    <mergeCell ref="F64:M64"/>
    <mergeCell ref="P64:Q64"/>
    <mergeCell ref="R64:U64"/>
    <mergeCell ref="V64:AD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65:E65"/>
    <mergeCell ref="A66:B66"/>
    <mergeCell ref="F66:J66"/>
    <mergeCell ref="K66:L66"/>
    <mergeCell ref="N66:O66"/>
    <mergeCell ref="P66:Q66"/>
    <mergeCell ref="A63:B63"/>
    <mergeCell ref="F63:M63"/>
    <mergeCell ref="P63:Q63"/>
    <mergeCell ref="R66:AA66"/>
    <mergeCell ref="AB66:AD66"/>
    <mergeCell ref="A67:B67"/>
    <mergeCell ref="F67:J67"/>
    <mergeCell ref="K67:L67"/>
    <mergeCell ref="N67:O67"/>
    <mergeCell ref="P67:Q67"/>
    <mergeCell ref="R67:AA67"/>
    <mergeCell ref="AB67:AD67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B75"/>
    <mergeCell ref="F75:J75"/>
    <mergeCell ref="K75:L75"/>
    <mergeCell ref="N75:O75"/>
    <mergeCell ref="P75:Q75"/>
    <mergeCell ref="R75:AA75"/>
    <mergeCell ref="AB75:AD75"/>
    <mergeCell ref="A74:B74"/>
    <mergeCell ref="F74:J74"/>
    <mergeCell ref="K74:L74"/>
    <mergeCell ref="N74:O74"/>
    <mergeCell ref="P74:Q74"/>
    <mergeCell ref="R74:AA74"/>
    <mergeCell ref="AB76:AD76"/>
    <mergeCell ref="A77:E77"/>
    <mergeCell ref="A78:B78"/>
    <mergeCell ref="F78:J78"/>
    <mergeCell ref="K78:S78"/>
    <mergeCell ref="T78:U78"/>
    <mergeCell ref="V78:W78"/>
    <mergeCell ref="X78:AD78"/>
    <mergeCell ref="A76:B76"/>
    <mergeCell ref="F76:J76"/>
    <mergeCell ref="K76:L76"/>
    <mergeCell ref="N76:O76"/>
    <mergeCell ref="P76:Q76"/>
    <mergeCell ref="R76:AA76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V85:W85"/>
    <mergeCell ref="X85:AD85"/>
    <mergeCell ref="A84:B84"/>
    <mergeCell ref="F84:J84"/>
    <mergeCell ref="K84:S84"/>
    <mergeCell ref="T84:U84"/>
    <mergeCell ref="V84:W84"/>
    <mergeCell ref="X84:AD84"/>
    <mergeCell ref="A83:B83"/>
    <mergeCell ref="F83:J83"/>
    <mergeCell ref="K83:S83"/>
    <mergeCell ref="T83:U83"/>
    <mergeCell ref="V83:W83"/>
    <mergeCell ref="X83:AD83"/>
    <mergeCell ref="A86:E86"/>
    <mergeCell ref="A87:B87"/>
    <mergeCell ref="C87:D87"/>
    <mergeCell ref="E87:J87"/>
    <mergeCell ref="K87:S87"/>
    <mergeCell ref="T87:U87"/>
    <mergeCell ref="A85:B85"/>
    <mergeCell ref="F85:J85"/>
    <mergeCell ref="K85:S85"/>
    <mergeCell ref="T85:U85"/>
    <mergeCell ref="V87:X87"/>
    <mergeCell ref="Y87:AD87"/>
    <mergeCell ref="A88:B88"/>
    <mergeCell ref="C88:D88"/>
    <mergeCell ref="E88:J88"/>
    <mergeCell ref="K88:S88"/>
    <mergeCell ref="T88:U88"/>
    <mergeCell ref="V88:X88"/>
    <mergeCell ref="Y88:AD88"/>
    <mergeCell ref="Y89:AD89"/>
    <mergeCell ref="A90:B90"/>
    <mergeCell ref="C90:D90"/>
    <mergeCell ref="E90:J90"/>
    <mergeCell ref="K90:S90"/>
    <mergeCell ref="T90:U90"/>
    <mergeCell ref="V90:X90"/>
    <mergeCell ref="Y90:AD90"/>
    <mergeCell ref="A89:B89"/>
    <mergeCell ref="C89:D89"/>
    <mergeCell ref="E89:J89"/>
    <mergeCell ref="K89:S89"/>
    <mergeCell ref="T89:U89"/>
    <mergeCell ref="V89:X89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50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DB91-6261-4D54-88A8-B5BA4479B64B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274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213" t="s">
        <v>17</v>
      </c>
      <c r="L5" s="213" t="s">
        <v>18</v>
      </c>
      <c r="M5" s="213" t="s">
        <v>19</v>
      </c>
      <c r="N5" s="21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0.57291666666666663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97000</v>
      </c>
      <c r="J7" s="14">
        <v>6460</v>
      </c>
      <c r="K7" s="15">
        <f>L7</f>
        <v>6460</v>
      </c>
      <c r="L7" s="15">
        <f>3230*2</f>
        <v>6460</v>
      </c>
      <c r="M7" s="15">
        <f t="shared" si="0"/>
        <v>6460</v>
      </c>
      <c r="N7" s="15">
        <v>0</v>
      </c>
      <c r="O7" s="58">
        <f t="shared" si="1"/>
        <v>0</v>
      </c>
      <c r="P7" s="39">
        <f t="shared" si="2"/>
        <v>14</v>
      </c>
      <c r="Q7" s="40">
        <f t="shared" si="3"/>
        <v>10</v>
      </c>
      <c r="R7" s="7"/>
      <c r="S7" s="6">
        <v>10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0.58333333333333337</v>
      </c>
      <c r="AD7" s="10">
        <f t="shared" si="6"/>
        <v>0.58333333333333337</v>
      </c>
      <c r="AE7" s="36">
        <f t="shared" si="7"/>
        <v>0.57291666666666663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188</v>
      </c>
      <c r="D8" s="52" t="s">
        <v>225</v>
      </c>
      <c r="E8" s="53" t="s">
        <v>234</v>
      </c>
      <c r="F8" s="30" t="s">
        <v>197</v>
      </c>
      <c r="G8" s="33">
        <v>1</v>
      </c>
      <c r="H8" s="35">
        <v>24</v>
      </c>
      <c r="I8" s="7">
        <v>15000</v>
      </c>
      <c r="J8" s="5">
        <v>4829</v>
      </c>
      <c r="K8" s="15">
        <f>L8+4197+6377</f>
        <v>15403</v>
      </c>
      <c r="L8" s="15">
        <f>1647+3182</f>
        <v>4829</v>
      </c>
      <c r="M8" s="15">
        <f t="shared" si="0"/>
        <v>4829</v>
      </c>
      <c r="N8" s="15">
        <v>0</v>
      </c>
      <c r="O8" s="58">
        <f t="shared" si="1"/>
        <v>0</v>
      </c>
      <c r="P8" s="39">
        <f t="shared" si="2"/>
        <v>21</v>
      </c>
      <c r="Q8" s="40">
        <f t="shared" si="3"/>
        <v>3</v>
      </c>
      <c r="R8" s="7"/>
      <c r="S8" s="6"/>
      <c r="T8" s="16"/>
      <c r="U8" s="16"/>
      <c r="V8" s="17"/>
      <c r="W8" s="5">
        <v>3</v>
      </c>
      <c r="X8" s="16"/>
      <c r="Y8" s="16"/>
      <c r="Z8" s="16"/>
      <c r="AA8" s="18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6">
        <f t="shared" si="7"/>
        <v>0.57291666666666663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4709</v>
      </c>
      <c r="K9" s="15">
        <f>L9+1344+2695+2818+1363+3398+4807+5146+5399+5363+4916+4752+2389+5076+5367+4162+3442</f>
        <v>67146</v>
      </c>
      <c r="L9" s="15">
        <f>2667+2042</f>
        <v>4709</v>
      </c>
      <c r="M9" s="15">
        <f t="shared" si="0"/>
        <v>4709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0.57291666666666663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120</v>
      </c>
      <c r="D10" s="52"/>
      <c r="E10" s="53" t="s">
        <v>242</v>
      </c>
      <c r="F10" s="30" t="s">
        <v>197</v>
      </c>
      <c r="G10" s="33">
        <v>2</v>
      </c>
      <c r="H10" s="35">
        <v>24</v>
      </c>
      <c r="I10" s="7">
        <v>97000</v>
      </c>
      <c r="J10" s="14">
        <v>11550</v>
      </c>
      <c r="K10" s="15">
        <f>L10+11152</f>
        <v>22702</v>
      </c>
      <c r="L10" s="15">
        <f>2893*2+2882*2</f>
        <v>11550</v>
      </c>
      <c r="M10" s="15">
        <f t="shared" si="0"/>
        <v>11550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0.57291666666666663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145</v>
      </c>
      <c r="F11" s="30" t="s">
        <v>146</v>
      </c>
      <c r="G11" s="33">
        <v>1</v>
      </c>
      <c r="H11" s="35">
        <v>24</v>
      </c>
      <c r="I11" s="7">
        <v>54000</v>
      </c>
      <c r="J11" s="14">
        <v>5796</v>
      </c>
      <c r="K11" s="15">
        <f>L11+5150+4152+4675+5715+2598+5455+5797+5793+5814</f>
        <v>50945</v>
      </c>
      <c r="L11" s="15">
        <f>2884+2912</f>
        <v>5796</v>
      </c>
      <c r="M11" s="15">
        <f t="shared" si="0"/>
        <v>5796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0.57291666666666663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136</v>
      </c>
      <c r="F12" s="30" t="s">
        <v>130</v>
      </c>
      <c r="G12" s="12">
        <v>1</v>
      </c>
      <c r="H12" s="13">
        <v>22</v>
      </c>
      <c r="I12" s="31">
        <v>76000</v>
      </c>
      <c r="J12" s="5">
        <v>4381</v>
      </c>
      <c r="K12" s="15">
        <f>L12+5135+5549+5689+5232+5555+942+4639+4634+2453+5366+5303+2504+4845</f>
        <v>62227</v>
      </c>
      <c r="L12" s="15">
        <f>2667+1714</f>
        <v>4381</v>
      </c>
      <c r="M12" s="15">
        <f t="shared" si="0"/>
        <v>4381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0.57291666666666663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137</v>
      </c>
      <c r="E13" s="53" t="s">
        <v>275</v>
      </c>
      <c r="F13" s="30" t="s">
        <v>133</v>
      </c>
      <c r="G13" s="33">
        <v>2</v>
      </c>
      <c r="H13" s="35">
        <v>24</v>
      </c>
      <c r="I13" s="7">
        <v>4000</v>
      </c>
      <c r="J13" s="14">
        <v>1232</v>
      </c>
      <c r="K13" s="15">
        <f>L13</f>
        <v>1232</v>
      </c>
      <c r="L13" s="15">
        <f>616*2</f>
        <v>1232</v>
      </c>
      <c r="M13" s="15">
        <f t="shared" si="0"/>
        <v>1232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>
        <v>12</v>
      </c>
      <c r="T13" s="16"/>
      <c r="U13" s="16"/>
      <c r="V13" s="17"/>
      <c r="W13" s="5"/>
      <c r="X13" s="16"/>
      <c r="Y13" s="16"/>
      <c r="Z13" s="16"/>
      <c r="AA13" s="18">
        <v>8</v>
      </c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6">
        <f t="shared" si="7"/>
        <v>0.57291666666666663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164</v>
      </c>
      <c r="F14" s="30" t="s">
        <v>159</v>
      </c>
      <c r="G14" s="33">
        <v>1</v>
      </c>
      <c r="H14" s="35">
        <v>50</v>
      </c>
      <c r="I14" s="7">
        <v>100</v>
      </c>
      <c r="J14" s="5">
        <v>279</v>
      </c>
      <c r="K14" s="15">
        <f>L14+279</f>
        <v>279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0.57291666666666663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267</v>
      </c>
      <c r="F15" s="12" t="s">
        <v>129</v>
      </c>
      <c r="G15" s="12">
        <v>1</v>
      </c>
      <c r="H15" s="13">
        <v>24</v>
      </c>
      <c r="I15" s="31">
        <v>13000</v>
      </c>
      <c r="J15" s="14">
        <v>5209</v>
      </c>
      <c r="K15" s="15">
        <f>L15</f>
        <v>5209</v>
      </c>
      <c r="L15" s="15">
        <f>2559+2650</f>
        <v>5209</v>
      </c>
      <c r="M15" s="15">
        <f t="shared" si="0"/>
        <v>5209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0.57291666666666663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5280</v>
      </c>
      <c r="K16" s="15">
        <f>L16+4303+5850+5280</f>
        <v>15433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0.57291666666666663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201</v>
      </c>
      <c r="E17" s="53" t="s">
        <v>202</v>
      </c>
      <c r="F17" s="30" t="s">
        <v>144</v>
      </c>
      <c r="G17" s="12">
        <v>1</v>
      </c>
      <c r="H17" s="13">
        <v>24</v>
      </c>
      <c r="I17" s="7">
        <v>15000</v>
      </c>
      <c r="J17" s="14">
        <v>294</v>
      </c>
      <c r="K17" s="15">
        <f>L17+3414+6022+4083+2263</f>
        <v>16076</v>
      </c>
      <c r="L17" s="15">
        <v>294</v>
      </c>
      <c r="M17" s="15">
        <f t="shared" si="0"/>
        <v>294</v>
      </c>
      <c r="N17" s="15">
        <v>0</v>
      </c>
      <c r="O17" s="58">
        <f t="shared" si="1"/>
        <v>0</v>
      </c>
      <c r="P17" s="39">
        <f t="shared" si="2"/>
        <v>2</v>
      </c>
      <c r="Q17" s="40">
        <f t="shared" si="3"/>
        <v>22</v>
      </c>
      <c r="R17" s="7"/>
      <c r="S17" s="6">
        <v>22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8.3333333333333329E-2</v>
      </c>
      <c r="AD17" s="10">
        <f t="shared" si="6"/>
        <v>8.3333333333333329E-2</v>
      </c>
      <c r="AE17" s="36">
        <f t="shared" si="7"/>
        <v>0.57291666666666663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/>
      <c r="E18" s="53" t="s">
        <v>266</v>
      </c>
      <c r="F18" s="30" t="s">
        <v>276</v>
      </c>
      <c r="G18" s="33">
        <v>2</v>
      </c>
      <c r="H18" s="35">
        <v>24</v>
      </c>
      <c r="I18" s="7">
        <v>97000</v>
      </c>
      <c r="J18" s="14">
        <v>3494</v>
      </c>
      <c r="K18" s="15">
        <f>L18</f>
        <v>3494</v>
      </c>
      <c r="L18" s="15">
        <f>1083*2+664*2</f>
        <v>3494</v>
      </c>
      <c r="M18" s="15">
        <f t="shared" si="0"/>
        <v>3494</v>
      </c>
      <c r="N18" s="15">
        <v>0</v>
      </c>
      <c r="O18" s="58">
        <f t="shared" si="1"/>
        <v>0</v>
      </c>
      <c r="P18" s="39">
        <f t="shared" si="2"/>
        <v>8</v>
      </c>
      <c r="Q18" s="40">
        <f t="shared" si="3"/>
        <v>16</v>
      </c>
      <c r="R18" s="7"/>
      <c r="S18" s="6">
        <v>16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0.33333333333333331</v>
      </c>
      <c r="AD18" s="10">
        <f t="shared" si="6"/>
        <v>0.33333333333333331</v>
      </c>
      <c r="AE18" s="36">
        <f t="shared" si="7"/>
        <v>0.57291666666666663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115</v>
      </c>
      <c r="E19" s="53" t="s">
        <v>162</v>
      </c>
      <c r="F19" s="30" t="s">
        <v>142</v>
      </c>
      <c r="G19" s="33">
        <v>1</v>
      </c>
      <c r="H19" s="35">
        <v>24</v>
      </c>
      <c r="I19" s="7">
        <v>15000</v>
      </c>
      <c r="J19" s="14">
        <v>5335</v>
      </c>
      <c r="K19" s="15">
        <f>L19+3883+5357</f>
        <v>14575</v>
      </c>
      <c r="L19" s="15">
        <f>2681+2654</f>
        <v>5335</v>
      </c>
      <c r="M19" s="15">
        <f t="shared" si="0"/>
        <v>5335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0.57291666666666663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5595</v>
      </c>
      <c r="K20" s="15">
        <f>L20+5680+5650</f>
        <v>16925</v>
      </c>
      <c r="L20" s="15">
        <f>2821+2774</f>
        <v>5595</v>
      </c>
      <c r="M20" s="15">
        <f t="shared" si="0"/>
        <v>5595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0.57291666666666663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157</v>
      </c>
      <c r="F21" s="12" t="s">
        <v>114</v>
      </c>
      <c r="G21" s="12">
        <v>4</v>
      </c>
      <c r="H21" s="35">
        <v>20</v>
      </c>
      <c r="I21" s="7">
        <v>2000000</v>
      </c>
      <c r="J21" s="14">
        <v>20000</v>
      </c>
      <c r="K21" s="15">
        <f>L21+63388+69392+28968+33256+34460+34384+70208+69780+63952+70200+69756+69704+63720+69508+69956+66216</f>
        <v>966848</v>
      </c>
      <c r="L21" s="15">
        <f>5000*4</f>
        <v>20000</v>
      </c>
      <c r="M21" s="15">
        <f t="shared" si="0"/>
        <v>20000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>
        <v>14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0.57291666666666663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2718100</v>
      </c>
      <c r="J22" s="19">
        <f t="shared" si="9"/>
        <v>87844</v>
      </c>
      <c r="K22" s="20">
        <f t="shared" si="9"/>
        <v>1271547</v>
      </c>
      <c r="L22" s="21">
        <f t="shared" si="9"/>
        <v>78884</v>
      </c>
      <c r="M22" s="20">
        <f t="shared" si="9"/>
        <v>78884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220</v>
      </c>
      <c r="Q22" s="43">
        <f t="shared" si="10"/>
        <v>164</v>
      </c>
      <c r="R22" s="23">
        <f t="shared" si="10"/>
        <v>0</v>
      </c>
      <c r="S22" s="24">
        <f t="shared" si="10"/>
        <v>105</v>
      </c>
      <c r="T22" s="24">
        <f t="shared" si="10"/>
        <v>0</v>
      </c>
      <c r="U22" s="24">
        <f t="shared" si="10"/>
        <v>0</v>
      </c>
      <c r="V22" s="25">
        <f t="shared" si="10"/>
        <v>24</v>
      </c>
      <c r="W22" s="26">
        <f t="shared" si="10"/>
        <v>27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8</v>
      </c>
      <c r="AB22" s="28">
        <f>AVERAGE(AB6:AB21)</f>
        <v>0.8125</v>
      </c>
      <c r="AC22" s="4">
        <f>AVERAGE(AC6:AC21)</f>
        <v>0.57291666666666663</v>
      </c>
      <c r="AD22" s="4">
        <f>AVERAGE(AD6:AD21)</f>
        <v>0.57291666666666663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277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281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212" t="s">
        <v>46</v>
      </c>
      <c r="D51" s="212" t="s">
        <v>47</v>
      </c>
      <c r="E51" s="212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212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70" t="s">
        <v>118</v>
      </c>
      <c r="B52" s="471"/>
      <c r="C52" s="207" t="s">
        <v>128</v>
      </c>
      <c r="D52" s="207" t="s">
        <v>137</v>
      </c>
      <c r="E52" s="208" t="s">
        <v>275</v>
      </c>
      <c r="F52" s="472" t="s">
        <v>278</v>
      </c>
      <c r="G52" s="473"/>
      <c r="H52" s="473"/>
      <c r="I52" s="473"/>
      <c r="J52" s="473"/>
      <c r="K52" s="473"/>
      <c r="L52" s="473"/>
      <c r="M52" s="474"/>
      <c r="N52" s="211" t="s">
        <v>112</v>
      </c>
      <c r="O52" s="204" t="s">
        <v>131</v>
      </c>
      <c r="P52" s="475" t="s">
        <v>233</v>
      </c>
      <c r="Q52" s="476"/>
      <c r="R52" s="475" t="s">
        <v>228</v>
      </c>
      <c r="S52" s="477"/>
      <c r="T52" s="477"/>
      <c r="U52" s="476"/>
      <c r="V52" s="478" t="s">
        <v>187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80" t="s">
        <v>120</v>
      </c>
      <c r="B53" s="481"/>
      <c r="C53" s="208" t="s">
        <v>205</v>
      </c>
      <c r="D53" s="208"/>
      <c r="E53" s="208" t="s">
        <v>264</v>
      </c>
      <c r="F53" s="472" t="s">
        <v>124</v>
      </c>
      <c r="G53" s="473"/>
      <c r="H53" s="473"/>
      <c r="I53" s="473"/>
      <c r="J53" s="473"/>
      <c r="K53" s="473"/>
      <c r="L53" s="473"/>
      <c r="M53" s="474"/>
      <c r="N53" s="211" t="s">
        <v>188</v>
      </c>
      <c r="O53" s="204" t="s">
        <v>131</v>
      </c>
      <c r="P53" s="475" t="s">
        <v>115</v>
      </c>
      <c r="Q53" s="476"/>
      <c r="R53" s="475" t="s">
        <v>282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70" t="s">
        <v>118</v>
      </c>
      <c r="B54" s="471"/>
      <c r="C54" s="207" t="s">
        <v>147</v>
      </c>
      <c r="D54" s="207" t="s">
        <v>143</v>
      </c>
      <c r="E54" s="208" t="s">
        <v>138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206" t="s">
        <v>120</v>
      </c>
      <c r="O54" s="228" t="s">
        <v>214</v>
      </c>
      <c r="P54" s="475"/>
      <c r="Q54" s="476"/>
      <c r="R54" s="475" t="s">
        <v>266</v>
      </c>
      <c r="S54" s="477"/>
      <c r="T54" s="477"/>
      <c r="U54" s="476"/>
      <c r="V54" s="472" t="s">
        <v>124</v>
      </c>
      <c r="W54" s="473"/>
      <c r="X54" s="473"/>
      <c r="Y54" s="473"/>
      <c r="Z54" s="473"/>
      <c r="AA54" s="473"/>
      <c r="AB54" s="473"/>
      <c r="AC54" s="473"/>
      <c r="AD54" s="474"/>
    </row>
    <row r="55" spans="1:32" ht="27" customHeight="1">
      <c r="A55" s="480" t="s">
        <v>118</v>
      </c>
      <c r="B55" s="481"/>
      <c r="C55" s="208" t="s">
        <v>149</v>
      </c>
      <c r="D55" s="208" t="s">
        <v>115</v>
      </c>
      <c r="E55" s="208" t="s">
        <v>136</v>
      </c>
      <c r="F55" s="472" t="s">
        <v>279</v>
      </c>
      <c r="G55" s="473"/>
      <c r="H55" s="473"/>
      <c r="I55" s="473"/>
      <c r="J55" s="473"/>
      <c r="K55" s="473"/>
      <c r="L55" s="473"/>
      <c r="M55" s="474"/>
      <c r="N55" s="211" t="s">
        <v>118</v>
      </c>
      <c r="O55" s="204" t="s">
        <v>128</v>
      </c>
      <c r="P55" s="475" t="s">
        <v>137</v>
      </c>
      <c r="Q55" s="476"/>
      <c r="R55" s="475" t="s">
        <v>275</v>
      </c>
      <c r="S55" s="477"/>
      <c r="T55" s="477"/>
      <c r="U55" s="476"/>
      <c r="V55" s="472" t="s">
        <v>124</v>
      </c>
      <c r="W55" s="473"/>
      <c r="X55" s="473"/>
      <c r="Y55" s="473"/>
      <c r="Z55" s="473"/>
      <c r="AA55" s="473"/>
      <c r="AB55" s="473"/>
      <c r="AC55" s="473"/>
      <c r="AD55" s="474"/>
    </row>
    <row r="56" spans="1:32" ht="27" customHeight="1">
      <c r="A56" s="470" t="s">
        <v>120</v>
      </c>
      <c r="B56" s="471"/>
      <c r="C56" s="207" t="s">
        <v>268</v>
      </c>
      <c r="D56" s="207"/>
      <c r="E56" s="208" t="s">
        <v>267</v>
      </c>
      <c r="F56" s="472" t="s">
        <v>187</v>
      </c>
      <c r="G56" s="473"/>
      <c r="H56" s="473"/>
      <c r="I56" s="473"/>
      <c r="J56" s="473"/>
      <c r="K56" s="473"/>
      <c r="L56" s="473"/>
      <c r="M56" s="474"/>
      <c r="N56" s="211" t="s">
        <v>118</v>
      </c>
      <c r="O56" s="204" t="s">
        <v>211</v>
      </c>
      <c r="P56" s="475" t="s">
        <v>219</v>
      </c>
      <c r="Q56" s="476"/>
      <c r="R56" s="475" t="s">
        <v>220</v>
      </c>
      <c r="S56" s="477"/>
      <c r="T56" s="477"/>
      <c r="U56" s="476"/>
      <c r="V56" s="472" t="s">
        <v>124</v>
      </c>
      <c r="W56" s="473"/>
      <c r="X56" s="473"/>
      <c r="Y56" s="473"/>
      <c r="Z56" s="473"/>
      <c r="AA56" s="473"/>
      <c r="AB56" s="473"/>
      <c r="AC56" s="473"/>
      <c r="AD56" s="474"/>
    </row>
    <row r="57" spans="1:32" ht="27" customHeight="1">
      <c r="A57" s="470" t="s">
        <v>120</v>
      </c>
      <c r="B57" s="471"/>
      <c r="C57" s="207" t="s">
        <v>214</v>
      </c>
      <c r="D57" s="207"/>
      <c r="E57" s="208" t="s">
        <v>266</v>
      </c>
      <c r="F57" s="472" t="s">
        <v>280</v>
      </c>
      <c r="G57" s="473"/>
      <c r="H57" s="473"/>
      <c r="I57" s="473"/>
      <c r="J57" s="473"/>
      <c r="K57" s="473"/>
      <c r="L57" s="473"/>
      <c r="M57" s="474"/>
      <c r="N57" s="211"/>
      <c r="O57" s="204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/>
      <c r="B58" s="471"/>
      <c r="C58" s="207"/>
      <c r="D58" s="207"/>
      <c r="E58" s="208"/>
      <c r="F58" s="472"/>
      <c r="G58" s="473"/>
      <c r="H58" s="473"/>
      <c r="I58" s="473"/>
      <c r="J58" s="473"/>
      <c r="K58" s="473"/>
      <c r="L58" s="473"/>
      <c r="M58" s="474"/>
      <c r="N58" s="211"/>
      <c r="O58" s="204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208"/>
      <c r="D59" s="208"/>
      <c r="E59" s="208"/>
      <c r="F59" s="472"/>
      <c r="G59" s="473"/>
      <c r="H59" s="473"/>
      <c r="I59" s="473"/>
      <c r="J59" s="473"/>
      <c r="K59" s="473"/>
      <c r="L59" s="473"/>
      <c r="M59" s="474"/>
      <c r="N59" s="211"/>
      <c r="O59" s="204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207"/>
      <c r="D60" s="207"/>
      <c r="E60" s="208"/>
      <c r="F60" s="472"/>
      <c r="G60" s="473"/>
      <c r="H60" s="473"/>
      <c r="I60" s="473"/>
      <c r="J60" s="473"/>
      <c r="K60" s="473"/>
      <c r="L60" s="473"/>
      <c r="M60" s="474"/>
      <c r="N60" s="211"/>
      <c r="O60" s="204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209"/>
      <c r="D61" s="210"/>
      <c r="E61" s="209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283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205" t="s">
        <v>2</v>
      </c>
      <c r="D63" s="205" t="s">
        <v>37</v>
      </c>
      <c r="E63" s="205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205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200"/>
      <c r="E64" s="203" t="s">
        <v>154</v>
      </c>
      <c r="F64" s="499" t="s">
        <v>153</v>
      </c>
      <c r="G64" s="500"/>
      <c r="H64" s="500"/>
      <c r="I64" s="500"/>
      <c r="J64" s="501"/>
      <c r="K64" s="502" t="s">
        <v>134</v>
      </c>
      <c r="L64" s="502"/>
      <c r="M64" s="51" t="s">
        <v>191</v>
      </c>
      <c r="N64" s="503" t="s">
        <v>192</v>
      </c>
      <c r="O64" s="503"/>
      <c r="P64" s="504">
        <v>200</v>
      </c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 t="s">
        <v>118</v>
      </c>
      <c r="D65" s="200"/>
      <c r="E65" s="203" t="s">
        <v>132</v>
      </c>
      <c r="F65" s="499" t="s">
        <v>245</v>
      </c>
      <c r="G65" s="500"/>
      <c r="H65" s="500"/>
      <c r="I65" s="500"/>
      <c r="J65" s="501"/>
      <c r="K65" s="502" t="s">
        <v>125</v>
      </c>
      <c r="L65" s="502"/>
      <c r="M65" s="51" t="s">
        <v>248</v>
      </c>
      <c r="N65" s="503" t="s">
        <v>128</v>
      </c>
      <c r="O65" s="503"/>
      <c r="P65" s="504">
        <v>50</v>
      </c>
      <c r="Q65" s="504"/>
      <c r="R65" s="478" t="s">
        <v>284</v>
      </c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 t="s">
        <v>112</v>
      </c>
      <c r="D66" s="200"/>
      <c r="E66" s="203" t="s">
        <v>115</v>
      </c>
      <c r="F66" s="499" t="s">
        <v>285</v>
      </c>
      <c r="G66" s="500"/>
      <c r="H66" s="500"/>
      <c r="I66" s="500"/>
      <c r="J66" s="501"/>
      <c r="K66" s="502">
        <v>7301</v>
      </c>
      <c r="L66" s="502"/>
      <c r="M66" s="51" t="s">
        <v>248</v>
      </c>
      <c r="N66" s="503" t="s">
        <v>128</v>
      </c>
      <c r="O66" s="503"/>
      <c r="P66" s="504">
        <v>50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/>
      <c r="D67" s="200"/>
      <c r="E67" s="203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/>
      <c r="D68" s="200"/>
      <c r="E68" s="203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/>
      <c r="D69" s="200"/>
      <c r="E69" s="203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200"/>
      <c r="E70" s="203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200"/>
      <c r="E71" s="203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200"/>
      <c r="E72" s="203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200"/>
      <c r="E73" s="203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286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202" t="s">
        <v>2</v>
      </c>
      <c r="D75" s="202" t="s">
        <v>37</v>
      </c>
      <c r="E75" s="202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201" t="s">
        <v>112</v>
      </c>
      <c r="D76" s="201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200"/>
      <c r="D77" s="200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200"/>
      <c r="D78" s="200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200"/>
      <c r="D79" s="200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200"/>
      <c r="D80" s="200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200"/>
      <c r="D81" s="200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200"/>
      <c r="D82" s="200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287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7E30-0DC7-426C-B03D-2FAF83789A74}">
  <dimension ref="A1:AF88"/>
  <sheetViews>
    <sheetView view="pageBreakPreview" zoomScale="70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288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214" t="s">
        <v>17</v>
      </c>
      <c r="L5" s="214" t="s">
        <v>18</v>
      </c>
      <c r="M5" s="214" t="s">
        <v>19</v>
      </c>
      <c r="N5" s="21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0.55637254901960775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97000</v>
      </c>
      <c r="J7" s="14">
        <v>12678</v>
      </c>
      <c r="K7" s="15">
        <f>L7+6460</f>
        <v>19138</v>
      </c>
      <c r="L7" s="15">
        <f>3215*2+3124*2</f>
        <v>12678</v>
      </c>
      <c r="M7" s="15">
        <f t="shared" si="0"/>
        <v>12678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0.55637254901960775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227</v>
      </c>
      <c r="E8" s="53" t="s">
        <v>228</v>
      </c>
      <c r="F8" s="30" t="s">
        <v>146</v>
      </c>
      <c r="G8" s="33">
        <v>1</v>
      </c>
      <c r="H8" s="35">
        <v>24</v>
      </c>
      <c r="I8" s="7">
        <v>700</v>
      </c>
      <c r="J8" s="5">
        <v>860</v>
      </c>
      <c r="K8" s="15">
        <f>L8</f>
        <v>860</v>
      </c>
      <c r="L8" s="15">
        <v>860</v>
      </c>
      <c r="M8" s="15">
        <f t="shared" si="0"/>
        <v>860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0.55637254901960775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188</v>
      </c>
      <c r="D9" s="52" t="s">
        <v>115</v>
      </c>
      <c r="E9" s="53" t="s">
        <v>289</v>
      </c>
      <c r="F9" s="30" t="s">
        <v>130</v>
      </c>
      <c r="G9" s="33">
        <v>1</v>
      </c>
      <c r="H9" s="35">
        <v>24</v>
      </c>
      <c r="I9" s="7">
        <v>10600</v>
      </c>
      <c r="J9" s="5">
        <v>584</v>
      </c>
      <c r="K9" s="15">
        <f>L9</f>
        <v>584</v>
      </c>
      <c r="L9" s="15">
        <v>584</v>
      </c>
      <c r="M9" s="15">
        <f t="shared" ref="M9" si="9">L9-N9</f>
        <v>584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4</v>
      </c>
      <c r="Q9" s="40">
        <f t="shared" ref="Q9" si="12">SUM(R9:AA9)</f>
        <v>20</v>
      </c>
      <c r="R9" s="7"/>
      <c r="S9" s="6">
        <v>14</v>
      </c>
      <c r="T9" s="16">
        <v>6</v>
      </c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0.16666666666666666</v>
      </c>
      <c r="AD9" s="10">
        <f t="shared" ref="AD9" si="15">AC9*AB9*(1-O9)</f>
        <v>0.16666666666666666</v>
      </c>
      <c r="AE9" s="36">
        <f t="shared" si="7"/>
        <v>0.55637254901960775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140</v>
      </c>
      <c r="E10" s="53" t="s">
        <v>138</v>
      </c>
      <c r="F10" s="30" t="s">
        <v>135</v>
      </c>
      <c r="G10" s="12">
        <v>1</v>
      </c>
      <c r="H10" s="13">
        <v>24</v>
      </c>
      <c r="I10" s="7">
        <v>65000</v>
      </c>
      <c r="J10" s="14">
        <v>5270</v>
      </c>
      <c r="K10" s="15">
        <f>L10+1344+2695+2818+1363+3398+4807+5146+5399+5363+4916+4752+2389+5076+5367+4162+3442+4709</f>
        <v>72416</v>
      </c>
      <c r="L10" s="15">
        <f>2638+2632</f>
        <v>5270</v>
      </c>
      <c r="M10" s="15">
        <f t="shared" si="0"/>
        <v>5270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0.55637254901960775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120</v>
      </c>
      <c r="D11" s="52"/>
      <c r="E11" s="53" t="s">
        <v>242</v>
      </c>
      <c r="F11" s="30" t="s">
        <v>197</v>
      </c>
      <c r="G11" s="33">
        <v>1</v>
      </c>
      <c r="H11" s="35">
        <v>24</v>
      </c>
      <c r="I11" s="7">
        <v>97000</v>
      </c>
      <c r="J11" s="14">
        <v>4936</v>
      </c>
      <c r="K11" s="15">
        <f>L11+11152+11550</f>
        <v>27638</v>
      </c>
      <c r="L11" s="15">
        <f>3117+1819</f>
        <v>4936</v>
      </c>
      <c r="M11" s="15">
        <f t="shared" si="0"/>
        <v>4936</v>
      </c>
      <c r="N11" s="15">
        <v>0</v>
      </c>
      <c r="O11" s="58">
        <f t="shared" si="1"/>
        <v>0</v>
      </c>
      <c r="P11" s="39">
        <f t="shared" si="2"/>
        <v>19</v>
      </c>
      <c r="Q11" s="40">
        <f t="shared" si="3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0.79166666666666663</v>
      </c>
      <c r="AD11" s="10">
        <f t="shared" si="6"/>
        <v>0.79166666666666663</v>
      </c>
      <c r="AE11" s="36">
        <f t="shared" si="7"/>
        <v>0.55637254901960775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112</v>
      </c>
      <c r="D12" s="52" t="s">
        <v>140</v>
      </c>
      <c r="E12" s="53" t="s">
        <v>145</v>
      </c>
      <c r="F12" s="30" t="s">
        <v>146</v>
      </c>
      <c r="G12" s="33">
        <v>1</v>
      </c>
      <c r="H12" s="35">
        <v>24</v>
      </c>
      <c r="I12" s="7">
        <v>54000</v>
      </c>
      <c r="J12" s="14">
        <v>5920</v>
      </c>
      <c r="K12" s="15">
        <f>L12+5150+4152+4675+5715+2598+5455+5797+5793+5814+5796</f>
        <v>56865</v>
      </c>
      <c r="L12" s="15">
        <f>3031+2889</f>
        <v>5920</v>
      </c>
      <c r="M12" s="15">
        <f t="shared" si="0"/>
        <v>5920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0.55637254901960775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136</v>
      </c>
      <c r="F13" s="30" t="s">
        <v>130</v>
      </c>
      <c r="G13" s="12">
        <v>1</v>
      </c>
      <c r="H13" s="13">
        <v>22</v>
      </c>
      <c r="I13" s="31">
        <v>76000</v>
      </c>
      <c r="J13" s="5">
        <v>3563</v>
      </c>
      <c r="K13" s="15">
        <f>L13+5135+5549+5689+5232+5555+942+4639+4634+2453+5366+5303+2504+4845+4381</f>
        <v>65790</v>
      </c>
      <c r="L13" s="15">
        <f>821+2742</f>
        <v>3563</v>
      </c>
      <c r="M13" s="15">
        <f t="shared" si="0"/>
        <v>3563</v>
      </c>
      <c r="N13" s="15">
        <v>0</v>
      </c>
      <c r="O13" s="58">
        <f t="shared" si="1"/>
        <v>0</v>
      </c>
      <c r="P13" s="39">
        <f t="shared" si="2"/>
        <v>16</v>
      </c>
      <c r="Q13" s="40">
        <f t="shared" si="3"/>
        <v>8</v>
      </c>
      <c r="R13" s="7"/>
      <c r="S13" s="6"/>
      <c r="T13" s="16"/>
      <c r="U13" s="16"/>
      <c r="V13" s="17"/>
      <c r="W13" s="5">
        <v>8</v>
      </c>
      <c r="X13" s="16"/>
      <c r="Y13" s="16"/>
      <c r="Z13" s="16"/>
      <c r="AA13" s="18"/>
      <c r="AB13" s="8">
        <f t="shared" si="4"/>
        <v>1</v>
      </c>
      <c r="AC13" s="9">
        <f t="shared" si="5"/>
        <v>0.66666666666666663</v>
      </c>
      <c r="AD13" s="10">
        <f t="shared" si="6"/>
        <v>0.66666666666666663</v>
      </c>
      <c r="AE13" s="36">
        <f t="shared" si="7"/>
        <v>0.55637254901960775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118</v>
      </c>
      <c r="D14" s="52" t="s">
        <v>137</v>
      </c>
      <c r="E14" s="53" t="s">
        <v>275</v>
      </c>
      <c r="F14" s="30" t="s">
        <v>133</v>
      </c>
      <c r="G14" s="33">
        <v>2</v>
      </c>
      <c r="H14" s="35">
        <v>24</v>
      </c>
      <c r="I14" s="7">
        <v>4000</v>
      </c>
      <c r="J14" s="14">
        <v>1232</v>
      </c>
      <c r="K14" s="15">
        <f>L14+1232</f>
        <v>1232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0.55637254901960775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158</v>
      </c>
      <c r="D15" s="52" t="s">
        <v>115</v>
      </c>
      <c r="E15" s="53" t="s">
        <v>164</v>
      </c>
      <c r="F15" s="30" t="s">
        <v>159</v>
      </c>
      <c r="G15" s="33">
        <v>1</v>
      </c>
      <c r="H15" s="35">
        <v>50</v>
      </c>
      <c r="I15" s="7">
        <v>100</v>
      </c>
      <c r="J15" s="5">
        <v>279</v>
      </c>
      <c r="K15" s="15">
        <f>L15+279</f>
        <v>279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0.55637254901960775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/>
      <c r="E16" s="53" t="s">
        <v>267</v>
      </c>
      <c r="F16" s="12" t="s">
        <v>129</v>
      </c>
      <c r="G16" s="12">
        <v>1</v>
      </c>
      <c r="H16" s="13">
        <v>24</v>
      </c>
      <c r="I16" s="31">
        <v>13000</v>
      </c>
      <c r="J16" s="14">
        <v>5544</v>
      </c>
      <c r="K16" s="15">
        <f>L16+5209</f>
        <v>10753</v>
      </c>
      <c r="L16" s="15">
        <f>2649+2895</f>
        <v>5544</v>
      </c>
      <c r="M16" s="15">
        <f t="shared" si="0"/>
        <v>5544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0.55637254901960775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219</v>
      </c>
      <c r="E17" s="53" t="s">
        <v>220</v>
      </c>
      <c r="F17" s="30" t="s">
        <v>133</v>
      </c>
      <c r="G17" s="12">
        <v>1</v>
      </c>
      <c r="H17" s="13">
        <v>24</v>
      </c>
      <c r="I17" s="7">
        <v>95000</v>
      </c>
      <c r="J17" s="14">
        <v>5606</v>
      </c>
      <c r="K17" s="15">
        <f>L17+4303+5850+5280</f>
        <v>21039</v>
      </c>
      <c r="L17" s="15">
        <f>3082+2524</f>
        <v>5606</v>
      </c>
      <c r="M17" s="15">
        <f t="shared" si="0"/>
        <v>5606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0.55637254901960775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188</v>
      </c>
      <c r="D18" s="52" t="s">
        <v>201</v>
      </c>
      <c r="E18" s="53" t="s">
        <v>202</v>
      </c>
      <c r="F18" s="30" t="s">
        <v>144</v>
      </c>
      <c r="G18" s="12">
        <v>1</v>
      </c>
      <c r="H18" s="13">
        <v>24</v>
      </c>
      <c r="I18" s="7">
        <v>15000</v>
      </c>
      <c r="J18" s="14">
        <v>294</v>
      </c>
      <c r="K18" s="15">
        <f>L18+3414+6022+4083+2263+294</f>
        <v>16076</v>
      </c>
      <c r="L18" s="15"/>
      <c r="M18" s="15">
        <f t="shared" si="0"/>
        <v>0</v>
      </c>
      <c r="N18" s="15">
        <v>0</v>
      </c>
      <c r="O18" s="58" t="str">
        <f t="shared" si="1"/>
        <v>0</v>
      </c>
      <c r="P18" s="39" t="str">
        <f t="shared" si="2"/>
        <v>0</v>
      </c>
      <c r="Q18" s="40">
        <f t="shared" si="3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4"/>
        <v>0</v>
      </c>
      <c r="AC18" s="9">
        <f t="shared" si="5"/>
        <v>0</v>
      </c>
      <c r="AD18" s="10">
        <f t="shared" si="6"/>
        <v>0</v>
      </c>
      <c r="AE18" s="36">
        <f t="shared" si="7"/>
        <v>0.55637254901960775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/>
      <c r="E19" s="53" t="s">
        <v>266</v>
      </c>
      <c r="F19" s="30" t="s">
        <v>276</v>
      </c>
      <c r="G19" s="33">
        <v>2</v>
      </c>
      <c r="H19" s="35">
        <v>24</v>
      </c>
      <c r="I19" s="7">
        <v>97000</v>
      </c>
      <c r="J19" s="14">
        <v>7048</v>
      </c>
      <c r="K19" s="15">
        <f>L19+3494</f>
        <v>10542</v>
      </c>
      <c r="L19" s="15">
        <f>3007*2+517*2</f>
        <v>7048</v>
      </c>
      <c r="M19" s="15">
        <f t="shared" si="0"/>
        <v>7048</v>
      </c>
      <c r="N19" s="15">
        <v>0</v>
      </c>
      <c r="O19" s="58">
        <f t="shared" si="1"/>
        <v>0</v>
      </c>
      <c r="P19" s="39">
        <f t="shared" si="2"/>
        <v>17</v>
      </c>
      <c r="Q19" s="40">
        <f t="shared" si="3"/>
        <v>7</v>
      </c>
      <c r="R19" s="7"/>
      <c r="S19" s="6">
        <v>7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0.70833333333333337</v>
      </c>
      <c r="AD19" s="10">
        <f t="shared" si="6"/>
        <v>0.70833333333333337</v>
      </c>
      <c r="AE19" s="36">
        <f t="shared" si="7"/>
        <v>0.55637254901960775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115</v>
      </c>
      <c r="E20" s="53" t="s">
        <v>162</v>
      </c>
      <c r="F20" s="30" t="s">
        <v>142</v>
      </c>
      <c r="G20" s="33">
        <v>1</v>
      </c>
      <c r="H20" s="35">
        <v>24</v>
      </c>
      <c r="I20" s="7">
        <v>15000</v>
      </c>
      <c r="J20" s="14">
        <v>5148</v>
      </c>
      <c r="K20" s="15">
        <f>L20+3883+5357+5335</f>
        <v>19723</v>
      </c>
      <c r="L20" s="15">
        <f>2498+2650</f>
        <v>5148</v>
      </c>
      <c r="M20" s="15">
        <f t="shared" si="0"/>
        <v>5148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0.55637254901960775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148</v>
      </c>
      <c r="F21" s="30" t="s">
        <v>130</v>
      </c>
      <c r="G21" s="12">
        <v>1</v>
      </c>
      <c r="H21" s="13">
        <v>24</v>
      </c>
      <c r="I21" s="7">
        <v>62000</v>
      </c>
      <c r="J21" s="14">
        <v>4980</v>
      </c>
      <c r="K21" s="15">
        <f>L21+5680+5650+5595</f>
        <v>21905</v>
      </c>
      <c r="L21" s="15">
        <f>2721+2259</f>
        <v>4980</v>
      </c>
      <c r="M21" s="15">
        <f t="shared" si="0"/>
        <v>4980</v>
      </c>
      <c r="N21" s="15">
        <v>0</v>
      </c>
      <c r="O21" s="58">
        <f t="shared" si="1"/>
        <v>0</v>
      </c>
      <c r="P21" s="39">
        <f t="shared" si="2"/>
        <v>22</v>
      </c>
      <c r="Q21" s="40">
        <f t="shared" si="3"/>
        <v>2</v>
      </c>
      <c r="R21" s="7"/>
      <c r="S21" s="6">
        <v>2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0.91666666666666663</v>
      </c>
      <c r="AD21" s="10">
        <f t="shared" si="6"/>
        <v>0.91666666666666663</v>
      </c>
      <c r="AE21" s="36">
        <f t="shared" si="7"/>
        <v>0.55637254901960775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157</v>
      </c>
      <c r="F22" s="12" t="s">
        <v>114</v>
      </c>
      <c r="G22" s="12">
        <v>4</v>
      </c>
      <c r="H22" s="35">
        <v>20</v>
      </c>
      <c r="I22" s="7">
        <v>2000000</v>
      </c>
      <c r="J22" s="14">
        <v>20000</v>
      </c>
      <c r="K22" s="15">
        <f>L22+63388+69392+28968+33256+34460+34384+70208+69780+63952+70200+69756+69704+63720+69508+69956+66216+20000</f>
        <v>966848</v>
      </c>
      <c r="L22" s="15"/>
      <c r="M22" s="15">
        <f t="shared" si="0"/>
        <v>0</v>
      </c>
      <c r="N22" s="15">
        <v>0</v>
      </c>
      <c r="O22" s="58" t="str">
        <f t="shared" si="1"/>
        <v>0</v>
      </c>
      <c r="P22" s="39" t="str">
        <f t="shared" si="2"/>
        <v>0</v>
      </c>
      <c r="Q22" s="40">
        <f t="shared" si="3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4"/>
        <v>0</v>
      </c>
      <c r="AC22" s="9">
        <f t="shared" si="5"/>
        <v>0</v>
      </c>
      <c r="AD22" s="10">
        <f t="shared" si="6"/>
        <v>0</v>
      </c>
      <c r="AE22" s="36">
        <f t="shared" si="7"/>
        <v>0.55637254901960775</v>
      </c>
      <c r="AF22" s="84">
        <f t="shared" si="8"/>
        <v>16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2">
        <f t="shared" ref="I23:N23" si="17">SUM(I6:I22)</f>
        <v>2714400</v>
      </c>
      <c r="J23" s="19">
        <f t="shared" si="17"/>
        <v>87343</v>
      </c>
      <c r="K23" s="20">
        <f t="shared" si="17"/>
        <v>1318281</v>
      </c>
      <c r="L23" s="21">
        <f t="shared" si="17"/>
        <v>62137</v>
      </c>
      <c r="M23" s="20">
        <f t="shared" si="17"/>
        <v>62137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227</v>
      </c>
      <c r="Q23" s="43">
        <f t="shared" si="18"/>
        <v>181</v>
      </c>
      <c r="R23" s="23">
        <f t="shared" si="18"/>
        <v>0</v>
      </c>
      <c r="S23" s="24">
        <f t="shared" si="18"/>
        <v>52</v>
      </c>
      <c r="T23" s="24">
        <f t="shared" si="18"/>
        <v>6</v>
      </c>
      <c r="U23" s="24">
        <f t="shared" si="18"/>
        <v>0</v>
      </c>
      <c r="V23" s="25">
        <f t="shared" si="18"/>
        <v>48</v>
      </c>
      <c r="W23" s="26">
        <f t="shared" si="18"/>
        <v>75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0.70588235294117652</v>
      </c>
      <c r="AC23" s="4">
        <f>AVERAGE(AC6:AC22)</f>
        <v>0.55637254901960775</v>
      </c>
      <c r="AD23" s="4">
        <f>AVERAGE(AD6:AD22)</f>
        <v>0.55637254901960775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7" t="s">
        <v>45</v>
      </c>
      <c r="B50" s="447"/>
      <c r="C50" s="447"/>
      <c r="D50" s="447"/>
      <c r="E50" s="4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8" t="s">
        <v>290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293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215" t="s">
        <v>46</v>
      </c>
      <c r="D52" s="215" t="s">
        <v>47</v>
      </c>
      <c r="E52" s="215" t="s">
        <v>107</v>
      </c>
      <c r="F52" s="456" t="s">
        <v>106</v>
      </c>
      <c r="G52" s="457"/>
      <c r="H52" s="457"/>
      <c r="I52" s="457"/>
      <c r="J52" s="457"/>
      <c r="K52" s="457"/>
      <c r="L52" s="457"/>
      <c r="M52" s="458"/>
      <c r="N52" s="67" t="s">
        <v>110</v>
      </c>
      <c r="O52" s="215" t="s">
        <v>46</v>
      </c>
      <c r="P52" s="456" t="s">
        <v>47</v>
      </c>
      <c r="Q52" s="459"/>
      <c r="R52" s="456" t="s">
        <v>38</v>
      </c>
      <c r="S52" s="457"/>
      <c r="T52" s="457"/>
      <c r="U52" s="459"/>
      <c r="V52" s="456" t="s">
        <v>48</v>
      </c>
      <c r="W52" s="457"/>
      <c r="X52" s="457"/>
      <c r="Y52" s="457"/>
      <c r="Z52" s="457"/>
      <c r="AA52" s="457"/>
      <c r="AB52" s="457"/>
      <c r="AC52" s="457"/>
      <c r="AD52" s="458"/>
    </row>
    <row r="53" spans="1:32" ht="27" customHeight="1">
      <c r="A53" s="470" t="s">
        <v>112</v>
      </c>
      <c r="B53" s="471"/>
      <c r="C53" s="217" t="s">
        <v>131</v>
      </c>
      <c r="D53" s="217" t="s">
        <v>227</v>
      </c>
      <c r="E53" s="219" t="s">
        <v>228</v>
      </c>
      <c r="F53" s="472" t="s">
        <v>187</v>
      </c>
      <c r="G53" s="473"/>
      <c r="H53" s="473"/>
      <c r="I53" s="473"/>
      <c r="J53" s="473"/>
      <c r="K53" s="473"/>
      <c r="L53" s="473"/>
      <c r="M53" s="474"/>
      <c r="N53" s="218" t="s">
        <v>188</v>
      </c>
      <c r="O53" s="224" t="s">
        <v>131</v>
      </c>
      <c r="P53" s="475" t="s">
        <v>115</v>
      </c>
      <c r="Q53" s="476"/>
      <c r="R53" s="475" t="s">
        <v>282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188</v>
      </c>
      <c r="B54" s="481"/>
      <c r="C54" s="219" t="s">
        <v>131</v>
      </c>
      <c r="D54" s="219" t="s">
        <v>115</v>
      </c>
      <c r="E54" s="219" t="s">
        <v>282</v>
      </c>
      <c r="F54" s="472" t="s">
        <v>278</v>
      </c>
      <c r="G54" s="473"/>
      <c r="H54" s="473"/>
      <c r="I54" s="473"/>
      <c r="J54" s="473"/>
      <c r="K54" s="473"/>
      <c r="L54" s="473"/>
      <c r="M54" s="474"/>
      <c r="N54" s="218" t="s">
        <v>118</v>
      </c>
      <c r="O54" s="224" t="s">
        <v>149</v>
      </c>
      <c r="P54" s="475" t="s">
        <v>115</v>
      </c>
      <c r="Q54" s="476"/>
      <c r="R54" s="475" t="s">
        <v>294</v>
      </c>
      <c r="S54" s="477"/>
      <c r="T54" s="477"/>
      <c r="U54" s="476"/>
      <c r="V54" s="478" t="s">
        <v>187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70" t="s">
        <v>120</v>
      </c>
      <c r="B55" s="471"/>
      <c r="C55" s="217" t="s">
        <v>171</v>
      </c>
      <c r="D55" s="217"/>
      <c r="E55" s="219" t="s">
        <v>242</v>
      </c>
      <c r="F55" s="472" t="s">
        <v>291</v>
      </c>
      <c r="G55" s="473"/>
      <c r="H55" s="473"/>
      <c r="I55" s="473"/>
      <c r="J55" s="473"/>
      <c r="K55" s="473"/>
      <c r="L55" s="473"/>
      <c r="M55" s="474"/>
      <c r="N55" s="216" t="s">
        <v>118</v>
      </c>
      <c r="O55" s="228" t="s">
        <v>128</v>
      </c>
      <c r="P55" s="475" t="s">
        <v>137</v>
      </c>
      <c r="Q55" s="476"/>
      <c r="R55" s="475" t="s">
        <v>275</v>
      </c>
      <c r="S55" s="477"/>
      <c r="T55" s="477"/>
      <c r="U55" s="476"/>
      <c r="V55" s="472" t="s">
        <v>124</v>
      </c>
      <c r="W55" s="473"/>
      <c r="X55" s="473"/>
      <c r="Y55" s="473"/>
      <c r="Z55" s="473"/>
      <c r="AA55" s="473"/>
      <c r="AB55" s="473"/>
      <c r="AC55" s="473"/>
      <c r="AD55" s="474"/>
    </row>
    <row r="56" spans="1:32" ht="27" customHeight="1">
      <c r="A56" s="470" t="s">
        <v>120</v>
      </c>
      <c r="B56" s="471"/>
      <c r="C56" s="217" t="s">
        <v>214</v>
      </c>
      <c r="D56" s="217"/>
      <c r="E56" s="219" t="s">
        <v>266</v>
      </c>
      <c r="F56" s="472" t="s">
        <v>292</v>
      </c>
      <c r="G56" s="473"/>
      <c r="H56" s="473"/>
      <c r="I56" s="473"/>
      <c r="J56" s="473"/>
      <c r="K56" s="473"/>
      <c r="L56" s="473"/>
      <c r="M56" s="474"/>
      <c r="N56" s="218" t="s">
        <v>188</v>
      </c>
      <c r="O56" s="224" t="s">
        <v>184</v>
      </c>
      <c r="P56" s="475" t="s">
        <v>296</v>
      </c>
      <c r="Q56" s="476"/>
      <c r="R56" s="475" t="s">
        <v>295</v>
      </c>
      <c r="S56" s="477"/>
      <c r="T56" s="477"/>
      <c r="U56" s="476"/>
      <c r="V56" s="478" t="s">
        <v>187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70"/>
      <c r="B57" s="471"/>
      <c r="C57" s="217"/>
      <c r="D57" s="217"/>
      <c r="E57" s="219"/>
      <c r="F57" s="472"/>
      <c r="G57" s="473"/>
      <c r="H57" s="473"/>
      <c r="I57" s="473"/>
      <c r="J57" s="473"/>
      <c r="K57" s="473"/>
      <c r="L57" s="473"/>
      <c r="M57" s="474"/>
      <c r="N57" s="218" t="s">
        <v>112</v>
      </c>
      <c r="O57" s="224" t="s">
        <v>209</v>
      </c>
      <c r="P57" s="475" t="s">
        <v>115</v>
      </c>
      <c r="Q57" s="476"/>
      <c r="R57" s="475" t="s">
        <v>297</v>
      </c>
      <c r="S57" s="477"/>
      <c r="T57" s="477"/>
      <c r="U57" s="476"/>
      <c r="V57" s="478" t="s">
        <v>187</v>
      </c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/>
      <c r="B58" s="471"/>
      <c r="C58" s="217"/>
      <c r="D58" s="217"/>
      <c r="E58" s="219"/>
      <c r="F58" s="472"/>
      <c r="G58" s="473"/>
      <c r="H58" s="473"/>
      <c r="I58" s="473"/>
      <c r="J58" s="473"/>
      <c r="K58" s="473"/>
      <c r="L58" s="473"/>
      <c r="M58" s="474"/>
      <c r="N58" s="218"/>
      <c r="O58" s="224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/>
      <c r="B59" s="471"/>
      <c r="C59" s="217"/>
      <c r="D59" s="217"/>
      <c r="E59" s="219"/>
      <c r="F59" s="472"/>
      <c r="G59" s="473"/>
      <c r="H59" s="473"/>
      <c r="I59" s="473"/>
      <c r="J59" s="473"/>
      <c r="K59" s="473"/>
      <c r="L59" s="473"/>
      <c r="M59" s="474"/>
      <c r="N59" s="218"/>
      <c r="O59" s="224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80"/>
      <c r="B60" s="481"/>
      <c r="C60" s="219"/>
      <c r="D60" s="219"/>
      <c r="E60" s="219"/>
      <c r="F60" s="472"/>
      <c r="G60" s="473"/>
      <c r="H60" s="473"/>
      <c r="I60" s="473"/>
      <c r="J60" s="473"/>
      <c r="K60" s="473"/>
      <c r="L60" s="473"/>
      <c r="M60" s="474"/>
      <c r="N60" s="218"/>
      <c r="O60" s="224"/>
      <c r="P60" s="475"/>
      <c r="Q60" s="476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/>
      <c r="B61" s="471"/>
      <c r="C61" s="217"/>
      <c r="D61" s="217"/>
      <c r="E61" s="219"/>
      <c r="F61" s="472"/>
      <c r="G61" s="473"/>
      <c r="H61" s="473"/>
      <c r="I61" s="473"/>
      <c r="J61" s="473"/>
      <c r="K61" s="473"/>
      <c r="L61" s="473"/>
      <c r="M61" s="474"/>
      <c r="N61" s="218"/>
      <c r="O61" s="224"/>
      <c r="P61" s="481"/>
      <c r="Q61" s="481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  <c r="AF61" s="84">
        <f>8*3000</f>
        <v>24000</v>
      </c>
    </row>
    <row r="62" spans="1:32" ht="27" customHeight="1" thickBot="1">
      <c r="A62" s="482"/>
      <c r="B62" s="483"/>
      <c r="C62" s="220"/>
      <c r="D62" s="221"/>
      <c r="E62" s="220"/>
      <c r="F62" s="484"/>
      <c r="G62" s="485"/>
      <c r="H62" s="485"/>
      <c r="I62" s="485"/>
      <c r="J62" s="485"/>
      <c r="K62" s="485"/>
      <c r="L62" s="485"/>
      <c r="M62" s="486"/>
      <c r="N62" s="111"/>
      <c r="O62" s="103"/>
      <c r="P62" s="487"/>
      <c r="Q62" s="487"/>
      <c r="R62" s="487"/>
      <c r="S62" s="487"/>
      <c r="T62" s="487"/>
      <c r="U62" s="487"/>
      <c r="V62" s="488"/>
      <c r="W62" s="488"/>
      <c r="X62" s="488"/>
      <c r="Y62" s="488"/>
      <c r="Z62" s="488"/>
      <c r="AA62" s="488"/>
      <c r="AB62" s="488"/>
      <c r="AC62" s="488"/>
      <c r="AD62" s="489"/>
      <c r="AF62" s="84">
        <f>16*3000</f>
        <v>48000</v>
      </c>
    </row>
    <row r="63" spans="1:32" ht="27.75" thickBot="1">
      <c r="A63" s="490" t="s">
        <v>298</v>
      </c>
      <c r="B63" s="490"/>
      <c r="C63" s="490"/>
      <c r="D63" s="490"/>
      <c r="E63" s="49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1" t="s">
        <v>111</v>
      </c>
      <c r="B64" s="492"/>
      <c r="C64" s="222" t="s">
        <v>2</v>
      </c>
      <c r="D64" s="222" t="s">
        <v>37</v>
      </c>
      <c r="E64" s="222" t="s">
        <v>3</v>
      </c>
      <c r="F64" s="492" t="s">
        <v>109</v>
      </c>
      <c r="G64" s="492"/>
      <c r="H64" s="492"/>
      <c r="I64" s="492"/>
      <c r="J64" s="492"/>
      <c r="K64" s="492" t="s">
        <v>39</v>
      </c>
      <c r="L64" s="492"/>
      <c r="M64" s="222" t="s">
        <v>40</v>
      </c>
      <c r="N64" s="492" t="s">
        <v>41</v>
      </c>
      <c r="O64" s="492"/>
      <c r="P64" s="493" t="s">
        <v>42</v>
      </c>
      <c r="Q64" s="494"/>
      <c r="R64" s="493" t="s">
        <v>43</v>
      </c>
      <c r="S64" s="495"/>
      <c r="T64" s="495"/>
      <c r="U64" s="495"/>
      <c r="V64" s="495"/>
      <c r="W64" s="495"/>
      <c r="X64" s="495"/>
      <c r="Y64" s="495"/>
      <c r="Z64" s="495"/>
      <c r="AA64" s="494"/>
      <c r="AB64" s="492" t="s">
        <v>44</v>
      </c>
      <c r="AC64" s="492"/>
      <c r="AD64" s="496"/>
      <c r="AF64" s="84">
        <f>SUM(AF61:AF63)</f>
        <v>96000</v>
      </c>
    </row>
    <row r="65" spans="1:32" ht="25.5" customHeight="1">
      <c r="A65" s="497">
        <v>1</v>
      </c>
      <c r="B65" s="498"/>
      <c r="C65" s="104"/>
      <c r="D65" s="226"/>
      <c r="E65" s="223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2</v>
      </c>
      <c r="B66" s="498"/>
      <c r="C66" s="104"/>
      <c r="D66" s="226"/>
      <c r="E66" s="223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3</v>
      </c>
      <c r="B67" s="498"/>
      <c r="C67" s="104"/>
      <c r="D67" s="226"/>
      <c r="E67" s="223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4</v>
      </c>
      <c r="B68" s="498"/>
      <c r="C68" s="104"/>
      <c r="D68" s="226"/>
      <c r="E68" s="223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5</v>
      </c>
      <c r="B69" s="498"/>
      <c r="C69" s="104"/>
      <c r="D69" s="226"/>
      <c r="E69" s="223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6</v>
      </c>
      <c r="B70" s="498"/>
      <c r="C70" s="104"/>
      <c r="D70" s="226"/>
      <c r="E70" s="223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7</v>
      </c>
      <c r="B71" s="498"/>
      <c r="C71" s="104"/>
      <c r="D71" s="226"/>
      <c r="E71" s="223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8</v>
      </c>
      <c r="B72" s="498"/>
      <c r="C72" s="104"/>
      <c r="D72" s="226"/>
      <c r="E72" s="223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9</v>
      </c>
      <c r="B73" s="498"/>
      <c r="C73" s="104"/>
      <c r="D73" s="226"/>
      <c r="E73" s="223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10</v>
      </c>
      <c r="B74" s="498"/>
      <c r="C74" s="104"/>
      <c r="D74" s="226"/>
      <c r="E74" s="223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6.25" customHeight="1" thickBot="1">
      <c r="A75" s="507" t="s">
        <v>299</v>
      </c>
      <c r="B75" s="507"/>
      <c r="C75" s="507"/>
      <c r="D75" s="507"/>
      <c r="E75" s="50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8" t="s">
        <v>127</v>
      </c>
      <c r="B76" s="509"/>
      <c r="C76" s="225" t="s">
        <v>2</v>
      </c>
      <c r="D76" s="225" t="s">
        <v>37</v>
      </c>
      <c r="E76" s="225" t="s">
        <v>126</v>
      </c>
      <c r="F76" s="509" t="s">
        <v>38</v>
      </c>
      <c r="G76" s="509"/>
      <c r="H76" s="509"/>
      <c r="I76" s="509"/>
      <c r="J76" s="509"/>
      <c r="K76" s="510" t="s">
        <v>58</v>
      </c>
      <c r="L76" s="511"/>
      <c r="M76" s="511"/>
      <c r="N76" s="511"/>
      <c r="O76" s="511"/>
      <c r="P76" s="511"/>
      <c r="Q76" s="511"/>
      <c r="R76" s="511"/>
      <c r="S76" s="512"/>
      <c r="T76" s="509" t="s">
        <v>49</v>
      </c>
      <c r="U76" s="509"/>
      <c r="V76" s="510" t="s">
        <v>50</v>
      </c>
      <c r="W76" s="512"/>
      <c r="X76" s="511" t="s">
        <v>51</v>
      </c>
      <c r="Y76" s="511"/>
      <c r="Z76" s="511"/>
      <c r="AA76" s="511"/>
      <c r="AB76" s="511"/>
      <c r="AC76" s="511"/>
      <c r="AD76" s="513"/>
      <c r="AF76" s="50"/>
    </row>
    <row r="77" spans="1:32" ht="33.75" customHeight="1">
      <c r="A77" s="522">
        <v>1</v>
      </c>
      <c r="B77" s="523"/>
      <c r="C77" s="227" t="s">
        <v>112</v>
      </c>
      <c r="D77" s="227"/>
      <c r="E77" s="65" t="s">
        <v>117</v>
      </c>
      <c r="F77" s="524" t="s">
        <v>116</v>
      </c>
      <c r="G77" s="525"/>
      <c r="H77" s="525"/>
      <c r="I77" s="525"/>
      <c r="J77" s="526"/>
      <c r="K77" s="527" t="s">
        <v>119</v>
      </c>
      <c r="L77" s="528"/>
      <c r="M77" s="528"/>
      <c r="N77" s="528"/>
      <c r="O77" s="528"/>
      <c r="P77" s="528"/>
      <c r="Q77" s="528"/>
      <c r="R77" s="528"/>
      <c r="S77" s="529"/>
      <c r="T77" s="530">
        <v>44118</v>
      </c>
      <c r="U77" s="531"/>
      <c r="V77" s="532"/>
      <c r="W77" s="532"/>
      <c r="X77" s="533"/>
      <c r="Y77" s="533"/>
      <c r="Z77" s="533"/>
      <c r="AA77" s="533"/>
      <c r="AB77" s="533"/>
      <c r="AC77" s="533"/>
      <c r="AD77" s="534"/>
      <c r="AF77" s="50"/>
    </row>
    <row r="78" spans="1:32" ht="30" customHeight="1">
      <c r="A78" s="514">
        <f>A77+1</f>
        <v>2</v>
      </c>
      <c r="B78" s="515"/>
      <c r="C78" s="226"/>
      <c r="D78" s="226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ref="A79:A83" si="19">A78+1</f>
        <v>3</v>
      </c>
      <c r="B79" s="515"/>
      <c r="C79" s="226"/>
      <c r="D79" s="226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9"/>
        <v>4</v>
      </c>
      <c r="B80" s="515"/>
      <c r="C80" s="226"/>
      <c r="D80" s="226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9"/>
        <v>5</v>
      </c>
      <c r="B81" s="515"/>
      <c r="C81" s="226"/>
      <c r="D81" s="226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6</v>
      </c>
      <c r="B82" s="515"/>
      <c r="C82" s="226"/>
      <c r="D82" s="226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7</v>
      </c>
      <c r="B83" s="515"/>
      <c r="C83" s="226"/>
      <c r="D83" s="226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6" thickBot="1">
      <c r="A84" s="507" t="s">
        <v>300</v>
      </c>
      <c r="B84" s="507"/>
      <c r="C84" s="507"/>
      <c r="D84" s="507"/>
      <c r="E84" s="50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8" t="s">
        <v>111</v>
      </c>
      <c r="B85" s="509"/>
      <c r="C85" s="535" t="s">
        <v>52</v>
      </c>
      <c r="D85" s="535"/>
      <c r="E85" s="535" t="s">
        <v>53</v>
      </c>
      <c r="F85" s="535"/>
      <c r="G85" s="535"/>
      <c r="H85" s="535"/>
      <c r="I85" s="535"/>
      <c r="J85" s="535"/>
      <c r="K85" s="535" t="s">
        <v>54</v>
      </c>
      <c r="L85" s="535"/>
      <c r="M85" s="535"/>
      <c r="N85" s="535"/>
      <c r="O85" s="535"/>
      <c r="P85" s="535"/>
      <c r="Q85" s="535"/>
      <c r="R85" s="535"/>
      <c r="S85" s="535"/>
      <c r="T85" s="535" t="s">
        <v>55</v>
      </c>
      <c r="U85" s="535"/>
      <c r="V85" s="535" t="s">
        <v>56</v>
      </c>
      <c r="W85" s="535"/>
      <c r="X85" s="535"/>
      <c r="Y85" s="535" t="s">
        <v>51</v>
      </c>
      <c r="Z85" s="535"/>
      <c r="AA85" s="535"/>
      <c r="AB85" s="535"/>
      <c r="AC85" s="535"/>
      <c r="AD85" s="536"/>
      <c r="AF85" s="50"/>
    </row>
    <row r="86" spans="1:32" ht="30.75" customHeight="1">
      <c r="A86" s="522">
        <v>1</v>
      </c>
      <c r="B86" s="523"/>
      <c r="C86" s="537"/>
      <c r="D86" s="537"/>
      <c r="E86" s="537"/>
      <c r="F86" s="537"/>
      <c r="G86" s="537"/>
      <c r="H86" s="537"/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7"/>
      <c r="V86" s="538"/>
      <c r="W86" s="538"/>
      <c r="X86" s="538"/>
      <c r="Y86" s="539"/>
      <c r="Z86" s="539"/>
      <c r="AA86" s="539"/>
      <c r="AB86" s="539"/>
      <c r="AC86" s="539"/>
      <c r="AD86" s="540"/>
      <c r="AF86" s="50"/>
    </row>
    <row r="87" spans="1:32" ht="30.75" customHeight="1">
      <c r="A87" s="514">
        <v>2</v>
      </c>
      <c r="B87" s="51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9"/>
      <c r="U87" s="549"/>
      <c r="V87" s="550"/>
      <c r="W87" s="550"/>
      <c r="X87" s="550"/>
      <c r="Y87" s="541"/>
      <c r="Z87" s="541"/>
      <c r="AA87" s="541"/>
      <c r="AB87" s="541"/>
      <c r="AC87" s="541"/>
      <c r="AD87" s="542"/>
      <c r="AF87" s="50"/>
    </row>
    <row r="88" spans="1:32" ht="30.75" customHeight="1" thickBot="1">
      <c r="A88" s="543">
        <v>3</v>
      </c>
      <c r="B88" s="544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6"/>
      <c r="Z88" s="546"/>
      <c r="AA88" s="546"/>
      <c r="AB88" s="546"/>
      <c r="AC88" s="546"/>
      <c r="AD88" s="547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0A56-4D4B-43C0-92E8-0C900C1FF044}">
  <dimension ref="A1:AF88"/>
  <sheetViews>
    <sheetView view="pageBreakPreview" zoomScale="70" zoomScaleNormal="72" zoomScaleSheetLayoutView="70" workbookViewId="0">
      <selection activeCell="F68" sqref="F68:J6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301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242" t="s">
        <v>17</v>
      </c>
      <c r="L5" s="242" t="s">
        <v>18</v>
      </c>
      <c r="M5" s="242" t="s">
        <v>19</v>
      </c>
      <c r="N5" s="24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0.74019607843137247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97000</v>
      </c>
      <c r="J7" s="14">
        <v>11794</v>
      </c>
      <c r="K7" s="15">
        <f>L7+6460+12678</f>
        <v>30932</v>
      </c>
      <c r="L7" s="15">
        <f>3078*2+2819*2</f>
        <v>11794</v>
      </c>
      <c r="M7" s="15">
        <f t="shared" si="0"/>
        <v>11794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0.74019607843137247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188</v>
      </c>
      <c r="D8" s="52" t="s">
        <v>115</v>
      </c>
      <c r="E8" s="53" t="s">
        <v>289</v>
      </c>
      <c r="F8" s="30" t="s">
        <v>130</v>
      </c>
      <c r="G8" s="33">
        <v>1</v>
      </c>
      <c r="H8" s="35">
        <v>24</v>
      </c>
      <c r="I8" s="7">
        <v>10600</v>
      </c>
      <c r="J8" s="5">
        <v>3307</v>
      </c>
      <c r="K8" s="15">
        <f>L8+584</f>
        <v>3891</v>
      </c>
      <c r="L8" s="15">
        <f>1320+1987</f>
        <v>3307</v>
      </c>
      <c r="M8" s="15">
        <f t="shared" si="0"/>
        <v>3307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6"/>
        <v>0.70833333333333337</v>
      </c>
      <c r="AE8" s="36">
        <f t="shared" si="7"/>
        <v>0.74019607843137247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3351</v>
      </c>
      <c r="K9" s="15">
        <f>L9+1344+2695+2818+1363+3398+4807+5146+5399+5363+4916+4752+2389+5076+5367+4162+3442+4709+5270</f>
        <v>75767</v>
      </c>
      <c r="L9" s="15">
        <f>951+2400</f>
        <v>3351</v>
      </c>
      <c r="M9" s="15">
        <f t="shared" si="0"/>
        <v>3351</v>
      </c>
      <c r="N9" s="15">
        <v>0</v>
      </c>
      <c r="O9" s="58">
        <f t="shared" si="1"/>
        <v>0</v>
      </c>
      <c r="P9" s="39">
        <f t="shared" si="2"/>
        <v>14</v>
      </c>
      <c r="Q9" s="40">
        <f t="shared" si="3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0.58333333333333337</v>
      </c>
      <c r="AD9" s="10">
        <f t="shared" si="6"/>
        <v>0.58333333333333337</v>
      </c>
      <c r="AE9" s="36">
        <f t="shared" si="7"/>
        <v>0.74019607843137247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120</v>
      </c>
      <c r="D10" s="52"/>
      <c r="E10" s="53" t="s">
        <v>242</v>
      </c>
      <c r="F10" s="30" t="s">
        <v>197</v>
      </c>
      <c r="G10" s="33">
        <v>1</v>
      </c>
      <c r="H10" s="35">
        <v>24</v>
      </c>
      <c r="I10" s="7">
        <v>97000</v>
      </c>
      <c r="J10" s="14">
        <v>5746</v>
      </c>
      <c r="K10" s="15">
        <f>L10+11152+11550+4936</f>
        <v>33384</v>
      </c>
      <c r="L10" s="15">
        <f>3056+2690</f>
        <v>5746</v>
      </c>
      <c r="M10" s="15">
        <f t="shared" si="0"/>
        <v>5746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0.74019607843137247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140</v>
      </c>
      <c r="E11" s="53" t="s">
        <v>145</v>
      </c>
      <c r="F11" s="30" t="s">
        <v>146</v>
      </c>
      <c r="G11" s="33">
        <v>1</v>
      </c>
      <c r="H11" s="35">
        <v>24</v>
      </c>
      <c r="I11" s="7">
        <v>54000</v>
      </c>
      <c r="J11" s="14">
        <v>5259</v>
      </c>
      <c r="K11" s="15">
        <f>L11+5150+4152+4675+5715+2598+5455+5797+5793+5814+5796+5920</f>
        <v>62124</v>
      </c>
      <c r="L11" s="15">
        <f>2745+2514</f>
        <v>5259</v>
      </c>
      <c r="M11" s="15">
        <f t="shared" si="0"/>
        <v>5259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0.74019607843137247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70000</v>
      </c>
      <c r="J12" s="5">
        <v>4597</v>
      </c>
      <c r="K12" s="15">
        <f>L12</f>
        <v>4597</v>
      </c>
      <c r="L12" s="15">
        <f>1755+2842</f>
        <v>4597</v>
      </c>
      <c r="M12" s="15">
        <f t="shared" si="0"/>
        <v>4597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/>
      <c r="T12" s="16">
        <v>3</v>
      </c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0.74019607843137247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137</v>
      </c>
      <c r="E13" s="53" t="s">
        <v>275</v>
      </c>
      <c r="F13" s="30" t="s">
        <v>133</v>
      </c>
      <c r="G13" s="33">
        <v>2</v>
      </c>
      <c r="H13" s="35">
        <v>24</v>
      </c>
      <c r="I13" s="7">
        <v>4000</v>
      </c>
      <c r="J13" s="14">
        <v>8339</v>
      </c>
      <c r="K13" s="15">
        <f>L13+1232</f>
        <v>9571</v>
      </c>
      <c r="L13" s="15">
        <f>2935+2702*2</f>
        <v>8339</v>
      </c>
      <c r="M13" s="15">
        <f t="shared" si="0"/>
        <v>8339</v>
      </c>
      <c r="N13" s="15">
        <v>0</v>
      </c>
      <c r="O13" s="58">
        <f t="shared" si="1"/>
        <v>0</v>
      </c>
      <c r="P13" s="39">
        <f t="shared" si="2"/>
        <v>20</v>
      </c>
      <c r="Q13" s="40">
        <f t="shared" si="3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0.83333333333333337</v>
      </c>
      <c r="AD13" s="10">
        <f t="shared" si="6"/>
        <v>0.83333333333333337</v>
      </c>
      <c r="AE13" s="36">
        <f t="shared" si="7"/>
        <v>0.74019607843137247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164</v>
      </c>
      <c r="F14" s="30" t="s">
        <v>159</v>
      </c>
      <c r="G14" s="33">
        <v>1</v>
      </c>
      <c r="H14" s="35">
        <v>50</v>
      </c>
      <c r="I14" s="7">
        <v>100</v>
      </c>
      <c r="J14" s="5">
        <v>279</v>
      </c>
      <c r="K14" s="15">
        <f>L14+279</f>
        <v>279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0.74019607843137247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267</v>
      </c>
      <c r="F15" s="12" t="s">
        <v>129</v>
      </c>
      <c r="G15" s="12">
        <v>1</v>
      </c>
      <c r="H15" s="13">
        <v>24</v>
      </c>
      <c r="I15" s="31">
        <v>13000</v>
      </c>
      <c r="J15" s="14">
        <v>5628</v>
      </c>
      <c r="K15" s="15">
        <f>L15+5209+5544</f>
        <v>16381</v>
      </c>
      <c r="L15" s="15">
        <f>2932+2696</f>
        <v>5628</v>
      </c>
      <c r="M15" s="15">
        <f t="shared" si="0"/>
        <v>5628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0.74019607843137247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5547</v>
      </c>
      <c r="K16" s="15">
        <f>L16+4303+5850+5280+5606</f>
        <v>26586</v>
      </c>
      <c r="L16" s="15">
        <f>2911+2636</f>
        <v>5547</v>
      </c>
      <c r="M16" s="15">
        <f t="shared" si="0"/>
        <v>5547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0.74019607843137247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33015</v>
      </c>
      <c r="K17" s="15">
        <f>L17</f>
        <v>33015</v>
      </c>
      <c r="L17" s="15">
        <f>3023*5+3580*5</f>
        <v>33015</v>
      </c>
      <c r="M17" s="15">
        <f t="shared" si="0"/>
        <v>33015</v>
      </c>
      <c r="N17" s="15">
        <v>0</v>
      </c>
      <c r="O17" s="58">
        <f t="shared" si="1"/>
        <v>0</v>
      </c>
      <c r="P17" s="39">
        <f t="shared" si="2"/>
        <v>22</v>
      </c>
      <c r="Q17" s="40">
        <f t="shared" si="3"/>
        <v>2</v>
      </c>
      <c r="R17" s="7"/>
      <c r="S17" s="6"/>
      <c r="T17" s="16">
        <v>2</v>
      </c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0.91666666666666663</v>
      </c>
      <c r="AD17" s="10">
        <f t="shared" si="6"/>
        <v>0.91666666666666663</v>
      </c>
      <c r="AE17" s="36">
        <f t="shared" si="7"/>
        <v>0.74019607843137247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/>
      <c r="E18" s="53" t="s">
        <v>266</v>
      </c>
      <c r="F18" s="30" t="s">
        <v>276</v>
      </c>
      <c r="G18" s="33">
        <v>2</v>
      </c>
      <c r="H18" s="35">
        <v>24</v>
      </c>
      <c r="I18" s="7">
        <v>97000</v>
      </c>
      <c r="J18" s="14">
        <v>8280</v>
      </c>
      <c r="K18" s="15">
        <f>L18+3494+7048</f>
        <v>18822</v>
      </c>
      <c r="L18" s="15">
        <f>2756+374+2575*2</f>
        <v>8280</v>
      </c>
      <c r="M18" s="15">
        <f t="shared" si="0"/>
        <v>8280</v>
      </c>
      <c r="N18" s="15">
        <v>0</v>
      </c>
      <c r="O18" s="58">
        <f t="shared" si="1"/>
        <v>0</v>
      </c>
      <c r="P18" s="39">
        <f t="shared" si="2"/>
        <v>23</v>
      </c>
      <c r="Q18" s="40">
        <f t="shared" si="3"/>
        <v>1</v>
      </c>
      <c r="R18" s="7"/>
      <c r="S18" s="6">
        <v>1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0.95833333333333337</v>
      </c>
      <c r="AD18" s="10">
        <f t="shared" si="6"/>
        <v>0.95833333333333337</v>
      </c>
      <c r="AE18" s="36">
        <f t="shared" si="7"/>
        <v>0.74019607843137247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115</v>
      </c>
      <c r="E19" s="53" t="s">
        <v>297</v>
      </c>
      <c r="F19" s="30" t="s">
        <v>146</v>
      </c>
      <c r="G19" s="33">
        <v>1</v>
      </c>
      <c r="H19" s="35">
        <v>24</v>
      </c>
      <c r="I19" s="7">
        <v>300</v>
      </c>
      <c r="J19" s="14">
        <v>595</v>
      </c>
      <c r="K19" s="15">
        <f>L19</f>
        <v>595</v>
      </c>
      <c r="L19" s="15">
        <v>595</v>
      </c>
      <c r="M19" s="15">
        <f t="shared" ref="M19" si="9">L19-N19</f>
        <v>595</v>
      </c>
      <c r="N19" s="15">
        <v>0</v>
      </c>
      <c r="O19" s="58">
        <f t="shared" ref="O19" si="10">IF(L19=0,"0",N19/L19)</f>
        <v>0</v>
      </c>
      <c r="P19" s="39">
        <f t="shared" ref="P19" si="11">IF(L19=0,"0",(24-Q19))</f>
        <v>6</v>
      </c>
      <c r="Q19" s="40">
        <f t="shared" ref="Q19" si="12">SUM(R19:AA19)</f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ref="AB19" si="13">IF(J19=0,"0",(L19/J19))</f>
        <v>1</v>
      </c>
      <c r="AC19" s="9">
        <f t="shared" ref="AC19" si="14">IF(P19=0,"0",(P19/24))</f>
        <v>0.25</v>
      </c>
      <c r="AD19" s="10">
        <f t="shared" ref="AD19" si="15">AC19*AB19*(1-O19)</f>
        <v>0.25</v>
      </c>
      <c r="AE19" s="36">
        <f t="shared" si="7"/>
        <v>0.74019607843137247</v>
      </c>
      <c r="AF19" s="84">
        <f t="shared" ref="AF19" si="16">A19</f>
        <v>14</v>
      </c>
    </row>
    <row r="20" spans="1:32" ht="27" customHeight="1">
      <c r="A20" s="96">
        <v>14</v>
      </c>
      <c r="B20" s="11" t="s">
        <v>57</v>
      </c>
      <c r="C20" s="11" t="s">
        <v>120</v>
      </c>
      <c r="D20" s="52"/>
      <c r="E20" s="53" t="s">
        <v>304</v>
      </c>
      <c r="F20" s="30" t="s">
        <v>305</v>
      </c>
      <c r="G20" s="33">
        <v>1</v>
      </c>
      <c r="H20" s="35">
        <v>24</v>
      </c>
      <c r="I20" s="7">
        <v>13200</v>
      </c>
      <c r="J20" s="14">
        <v>2646</v>
      </c>
      <c r="K20" s="15">
        <f>L20</f>
        <v>2646</v>
      </c>
      <c r="L20" s="15">
        <f>2646</f>
        <v>2646</v>
      </c>
      <c r="M20" s="15">
        <f t="shared" si="0"/>
        <v>2646</v>
      </c>
      <c r="N20" s="15">
        <v>0</v>
      </c>
      <c r="O20" s="58">
        <f t="shared" si="1"/>
        <v>0</v>
      </c>
      <c r="P20" s="39">
        <f t="shared" si="2"/>
        <v>13</v>
      </c>
      <c r="Q20" s="40">
        <f t="shared" si="3"/>
        <v>11</v>
      </c>
      <c r="R20" s="7"/>
      <c r="S20" s="6"/>
      <c r="T20" s="16">
        <v>11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0.54166666666666663</v>
      </c>
      <c r="AD20" s="10">
        <f t="shared" si="6"/>
        <v>0.54166666666666663</v>
      </c>
      <c r="AE20" s="36">
        <f t="shared" si="7"/>
        <v>0.74019607843137247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148</v>
      </c>
      <c r="F21" s="30" t="s">
        <v>130</v>
      </c>
      <c r="G21" s="12">
        <v>1</v>
      </c>
      <c r="H21" s="13">
        <v>24</v>
      </c>
      <c r="I21" s="7">
        <v>62000</v>
      </c>
      <c r="J21" s="14">
        <v>5238</v>
      </c>
      <c r="K21" s="15">
        <f>L21+5680+5650+5595+4980</f>
        <v>27143</v>
      </c>
      <c r="L21" s="15">
        <f>2404+2834</f>
        <v>5238</v>
      </c>
      <c r="M21" s="15">
        <f t="shared" si="0"/>
        <v>5238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0.74019607843137247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306</v>
      </c>
      <c r="F22" s="12" t="s">
        <v>114</v>
      </c>
      <c r="G22" s="12">
        <v>4</v>
      </c>
      <c r="H22" s="35">
        <v>20</v>
      </c>
      <c r="I22" s="7">
        <v>800000</v>
      </c>
      <c r="J22" s="14">
        <v>52848</v>
      </c>
      <c r="K22" s="15">
        <f>L22</f>
        <v>52848</v>
      </c>
      <c r="L22" s="15">
        <f>5852*4+7360*4</f>
        <v>52848</v>
      </c>
      <c r="M22" s="15">
        <f t="shared" si="0"/>
        <v>52848</v>
      </c>
      <c r="N22" s="15">
        <v>0</v>
      </c>
      <c r="O22" s="58">
        <f t="shared" si="1"/>
        <v>0</v>
      </c>
      <c r="P22" s="39">
        <f t="shared" si="2"/>
        <v>22</v>
      </c>
      <c r="Q22" s="40">
        <f t="shared" si="3"/>
        <v>2</v>
      </c>
      <c r="R22" s="7"/>
      <c r="S22" s="6"/>
      <c r="T22" s="16">
        <v>2</v>
      </c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0.91666666666666663</v>
      </c>
      <c r="AD22" s="10">
        <f t="shared" si="6"/>
        <v>0.91666666666666663</v>
      </c>
      <c r="AE22" s="36">
        <f t="shared" si="7"/>
        <v>0.74019607843137247</v>
      </c>
      <c r="AF22" s="84">
        <f t="shared" si="8"/>
        <v>16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2">
        <f t="shared" ref="I23:N23" si="17">SUM(I6:I22)</f>
        <v>1691200</v>
      </c>
      <c r="J23" s="19">
        <f t="shared" si="17"/>
        <v>159870</v>
      </c>
      <c r="K23" s="20">
        <f t="shared" si="17"/>
        <v>405174</v>
      </c>
      <c r="L23" s="21">
        <f t="shared" si="17"/>
        <v>156190</v>
      </c>
      <c r="M23" s="20">
        <f t="shared" si="17"/>
        <v>156190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302</v>
      </c>
      <c r="Q23" s="43">
        <f t="shared" si="18"/>
        <v>106</v>
      </c>
      <c r="R23" s="23">
        <f t="shared" si="18"/>
        <v>0</v>
      </c>
      <c r="S23" s="24">
        <f t="shared" si="18"/>
        <v>22</v>
      </c>
      <c r="T23" s="24">
        <f t="shared" si="18"/>
        <v>18</v>
      </c>
      <c r="U23" s="24">
        <f t="shared" si="18"/>
        <v>0</v>
      </c>
      <c r="V23" s="25">
        <f t="shared" si="18"/>
        <v>24</v>
      </c>
      <c r="W23" s="26">
        <f t="shared" si="18"/>
        <v>42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0.88235294117647056</v>
      </c>
      <c r="AC23" s="4">
        <f>AVERAGE(AC6:AC22)</f>
        <v>0.74019607843137247</v>
      </c>
      <c r="AD23" s="4">
        <f>AVERAGE(AD6:AD22)</f>
        <v>0.74019607843137247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7" t="s">
        <v>45</v>
      </c>
      <c r="B50" s="447"/>
      <c r="C50" s="447"/>
      <c r="D50" s="447"/>
      <c r="E50" s="4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8" t="s">
        <v>307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310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241" t="s">
        <v>46</v>
      </c>
      <c r="D52" s="241" t="s">
        <v>47</v>
      </c>
      <c r="E52" s="241" t="s">
        <v>107</v>
      </c>
      <c r="F52" s="456" t="s">
        <v>106</v>
      </c>
      <c r="G52" s="457"/>
      <c r="H52" s="457"/>
      <c r="I52" s="457"/>
      <c r="J52" s="457"/>
      <c r="K52" s="457"/>
      <c r="L52" s="457"/>
      <c r="M52" s="458"/>
      <c r="N52" s="67" t="s">
        <v>110</v>
      </c>
      <c r="O52" s="241" t="s">
        <v>46</v>
      </c>
      <c r="P52" s="456" t="s">
        <v>47</v>
      </c>
      <c r="Q52" s="459"/>
      <c r="R52" s="456" t="s">
        <v>38</v>
      </c>
      <c r="S52" s="457"/>
      <c r="T52" s="457"/>
      <c r="U52" s="459"/>
      <c r="V52" s="456" t="s">
        <v>48</v>
      </c>
      <c r="W52" s="457"/>
      <c r="X52" s="457"/>
      <c r="Y52" s="457"/>
      <c r="Z52" s="457"/>
      <c r="AA52" s="457"/>
      <c r="AB52" s="457"/>
      <c r="AC52" s="457"/>
      <c r="AD52" s="458"/>
    </row>
    <row r="53" spans="1:32" ht="27" customHeight="1">
      <c r="A53" s="480" t="s">
        <v>188</v>
      </c>
      <c r="B53" s="481"/>
      <c r="C53" s="237" t="s">
        <v>131</v>
      </c>
      <c r="D53" s="237" t="s">
        <v>115</v>
      </c>
      <c r="E53" s="237" t="s">
        <v>282</v>
      </c>
      <c r="F53" s="472" t="s">
        <v>311</v>
      </c>
      <c r="G53" s="473"/>
      <c r="H53" s="473"/>
      <c r="I53" s="473"/>
      <c r="J53" s="473"/>
      <c r="K53" s="473"/>
      <c r="L53" s="473"/>
      <c r="M53" s="474"/>
      <c r="N53" s="240" t="s">
        <v>188</v>
      </c>
      <c r="O53" s="233" t="s">
        <v>131</v>
      </c>
      <c r="P53" s="475" t="s">
        <v>115</v>
      </c>
      <c r="Q53" s="476"/>
      <c r="R53" s="475" t="s">
        <v>282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70" t="s">
        <v>120</v>
      </c>
      <c r="B54" s="471"/>
      <c r="C54" s="236" t="s">
        <v>214</v>
      </c>
      <c r="D54" s="236"/>
      <c r="E54" s="237" t="s">
        <v>266</v>
      </c>
      <c r="F54" s="472" t="s">
        <v>308</v>
      </c>
      <c r="G54" s="473"/>
      <c r="H54" s="473"/>
      <c r="I54" s="473"/>
      <c r="J54" s="473"/>
      <c r="K54" s="473"/>
      <c r="L54" s="473"/>
      <c r="M54" s="474"/>
      <c r="N54" s="240" t="s">
        <v>118</v>
      </c>
      <c r="O54" s="233" t="s">
        <v>147</v>
      </c>
      <c r="P54" s="475" t="s">
        <v>143</v>
      </c>
      <c r="Q54" s="476"/>
      <c r="R54" s="475" t="s">
        <v>309</v>
      </c>
      <c r="S54" s="477"/>
      <c r="T54" s="477"/>
      <c r="U54" s="476"/>
      <c r="V54" s="478" t="s">
        <v>124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70" t="s">
        <v>112</v>
      </c>
      <c r="B55" s="471"/>
      <c r="C55" s="236" t="s">
        <v>209</v>
      </c>
      <c r="D55" s="236" t="s">
        <v>115</v>
      </c>
      <c r="E55" s="237" t="s">
        <v>297</v>
      </c>
      <c r="F55" s="472" t="s">
        <v>187</v>
      </c>
      <c r="G55" s="473"/>
      <c r="H55" s="473"/>
      <c r="I55" s="473"/>
      <c r="J55" s="473"/>
      <c r="K55" s="473"/>
      <c r="L55" s="473"/>
      <c r="M55" s="474"/>
      <c r="N55" s="235" t="s">
        <v>120</v>
      </c>
      <c r="O55" s="228" t="s">
        <v>313</v>
      </c>
      <c r="P55" s="475"/>
      <c r="Q55" s="476"/>
      <c r="R55" s="475" t="s">
        <v>312</v>
      </c>
      <c r="S55" s="477"/>
      <c r="T55" s="477"/>
      <c r="U55" s="476"/>
      <c r="V55" s="478" t="s">
        <v>187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70" t="s">
        <v>120</v>
      </c>
      <c r="B56" s="471"/>
      <c r="C56" s="236" t="s">
        <v>209</v>
      </c>
      <c r="D56" s="236"/>
      <c r="E56" s="237" t="s">
        <v>304</v>
      </c>
      <c r="F56" s="472" t="s">
        <v>187</v>
      </c>
      <c r="G56" s="473"/>
      <c r="H56" s="473"/>
      <c r="I56" s="473"/>
      <c r="J56" s="473"/>
      <c r="K56" s="473"/>
      <c r="L56" s="473"/>
      <c r="M56" s="474"/>
      <c r="N56" s="240" t="s">
        <v>118</v>
      </c>
      <c r="O56" s="233" t="s">
        <v>128</v>
      </c>
      <c r="P56" s="475" t="s">
        <v>132</v>
      </c>
      <c r="Q56" s="476"/>
      <c r="R56" s="475" t="s">
        <v>314</v>
      </c>
      <c r="S56" s="477"/>
      <c r="T56" s="477"/>
      <c r="U56" s="476"/>
      <c r="V56" s="478" t="s">
        <v>187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70" t="s">
        <v>188</v>
      </c>
      <c r="B57" s="471"/>
      <c r="C57" s="236" t="s">
        <v>184</v>
      </c>
      <c r="D57" s="236" t="s">
        <v>296</v>
      </c>
      <c r="E57" s="237" t="s">
        <v>295</v>
      </c>
      <c r="F57" s="472" t="s">
        <v>187</v>
      </c>
      <c r="G57" s="473"/>
      <c r="H57" s="473"/>
      <c r="I57" s="473"/>
      <c r="J57" s="473"/>
      <c r="K57" s="473"/>
      <c r="L57" s="473"/>
      <c r="M57" s="474"/>
      <c r="N57" s="240" t="s">
        <v>120</v>
      </c>
      <c r="O57" s="233" t="s">
        <v>214</v>
      </c>
      <c r="P57" s="475"/>
      <c r="Q57" s="476"/>
      <c r="R57" s="475" t="s">
        <v>266</v>
      </c>
      <c r="S57" s="477"/>
      <c r="T57" s="477"/>
      <c r="U57" s="476"/>
      <c r="V57" s="478" t="s">
        <v>124</v>
      </c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 t="s">
        <v>118</v>
      </c>
      <c r="B58" s="471"/>
      <c r="C58" s="236" t="s">
        <v>128</v>
      </c>
      <c r="D58" s="236" t="s">
        <v>137</v>
      </c>
      <c r="E58" s="237" t="s">
        <v>275</v>
      </c>
      <c r="F58" s="472" t="s">
        <v>124</v>
      </c>
      <c r="G58" s="473"/>
      <c r="H58" s="473"/>
      <c r="I58" s="473"/>
      <c r="J58" s="473"/>
      <c r="K58" s="473"/>
      <c r="L58" s="473"/>
      <c r="M58" s="474"/>
      <c r="N58" s="240"/>
      <c r="O58" s="233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 t="s">
        <v>118</v>
      </c>
      <c r="B59" s="471"/>
      <c r="C59" s="236" t="s">
        <v>149</v>
      </c>
      <c r="D59" s="236" t="s">
        <v>115</v>
      </c>
      <c r="E59" s="237" t="s">
        <v>294</v>
      </c>
      <c r="F59" s="472" t="s">
        <v>187</v>
      </c>
      <c r="G59" s="473"/>
      <c r="H59" s="473"/>
      <c r="I59" s="473"/>
      <c r="J59" s="473"/>
      <c r="K59" s="473"/>
      <c r="L59" s="473"/>
      <c r="M59" s="474"/>
      <c r="N59" s="240"/>
      <c r="O59" s="233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80" t="s">
        <v>118</v>
      </c>
      <c r="B60" s="481"/>
      <c r="C60" s="237" t="s">
        <v>147</v>
      </c>
      <c r="D60" s="237" t="s">
        <v>143</v>
      </c>
      <c r="E60" s="237" t="s">
        <v>309</v>
      </c>
      <c r="F60" s="472" t="s">
        <v>204</v>
      </c>
      <c r="G60" s="473"/>
      <c r="H60" s="473"/>
      <c r="I60" s="473"/>
      <c r="J60" s="473"/>
      <c r="K60" s="473"/>
      <c r="L60" s="473"/>
      <c r="M60" s="474"/>
      <c r="N60" s="240"/>
      <c r="O60" s="233"/>
      <c r="P60" s="475"/>
      <c r="Q60" s="476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/>
      <c r="B61" s="471"/>
      <c r="C61" s="236"/>
      <c r="D61" s="236"/>
      <c r="E61" s="237"/>
      <c r="F61" s="472"/>
      <c r="G61" s="473"/>
      <c r="H61" s="473"/>
      <c r="I61" s="473"/>
      <c r="J61" s="473"/>
      <c r="K61" s="473"/>
      <c r="L61" s="473"/>
      <c r="M61" s="474"/>
      <c r="N61" s="240"/>
      <c r="O61" s="233"/>
      <c r="P61" s="481"/>
      <c r="Q61" s="481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  <c r="AF61" s="84">
        <f>8*3000</f>
        <v>24000</v>
      </c>
    </row>
    <row r="62" spans="1:32" ht="27" customHeight="1" thickBot="1">
      <c r="A62" s="482"/>
      <c r="B62" s="483"/>
      <c r="C62" s="238"/>
      <c r="D62" s="239"/>
      <c r="E62" s="238"/>
      <c r="F62" s="484"/>
      <c r="G62" s="485"/>
      <c r="H62" s="485"/>
      <c r="I62" s="485"/>
      <c r="J62" s="485"/>
      <c r="K62" s="485"/>
      <c r="L62" s="485"/>
      <c r="M62" s="486"/>
      <c r="N62" s="111"/>
      <c r="O62" s="103"/>
      <c r="P62" s="487"/>
      <c r="Q62" s="487"/>
      <c r="R62" s="487"/>
      <c r="S62" s="487"/>
      <c r="T62" s="487"/>
      <c r="U62" s="487"/>
      <c r="V62" s="488"/>
      <c r="W62" s="488"/>
      <c r="X62" s="488"/>
      <c r="Y62" s="488"/>
      <c r="Z62" s="488"/>
      <c r="AA62" s="488"/>
      <c r="AB62" s="488"/>
      <c r="AC62" s="488"/>
      <c r="AD62" s="489"/>
      <c r="AF62" s="84">
        <f>16*3000</f>
        <v>48000</v>
      </c>
    </row>
    <row r="63" spans="1:32" ht="27.75" thickBot="1">
      <c r="A63" s="490" t="s">
        <v>315</v>
      </c>
      <c r="B63" s="490"/>
      <c r="C63" s="490"/>
      <c r="D63" s="490"/>
      <c r="E63" s="49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1" t="s">
        <v>111</v>
      </c>
      <c r="B64" s="492"/>
      <c r="C64" s="234" t="s">
        <v>2</v>
      </c>
      <c r="D64" s="234" t="s">
        <v>37</v>
      </c>
      <c r="E64" s="234" t="s">
        <v>3</v>
      </c>
      <c r="F64" s="492" t="s">
        <v>109</v>
      </c>
      <c r="G64" s="492"/>
      <c r="H64" s="492"/>
      <c r="I64" s="492"/>
      <c r="J64" s="492"/>
      <c r="K64" s="492" t="s">
        <v>39</v>
      </c>
      <c r="L64" s="492"/>
      <c r="M64" s="234" t="s">
        <v>40</v>
      </c>
      <c r="N64" s="492" t="s">
        <v>41</v>
      </c>
      <c r="O64" s="492"/>
      <c r="P64" s="493" t="s">
        <v>42</v>
      </c>
      <c r="Q64" s="494"/>
      <c r="R64" s="493" t="s">
        <v>43</v>
      </c>
      <c r="S64" s="495"/>
      <c r="T64" s="495"/>
      <c r="U64" s="495"/>
      <c r="V64" s="495"/>
      <c r="W64" s="495"/>
      <c r="X64" s="495"/>
      <c r="Y64" s="495"/>
      <c r="Z64" s="495"/>
      <c r="AA64" s="494"/>
      <c r="AB64" s="492" t="s">
        <v>44</v>
      </c>
      <c r="AC64" s="492"/>
      <c r="AD64" s="496"/>
      <c r="AF64" s="84">
        <f>SUM(AF61:AF63)</f>
        <v>96000</v>
      </c>
    </row>
    <row r="65" spans="1:32" ht="25.5" customHeight="1">
      <c r="A65" s="497">
        <v>1</v>
      </c>
      <c r="B65" s="498"/>
      <c r="C65" s="104"/>
      <c r="D65" s="229"/>
      <c r="E65" s="232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2</v>
      </c>
      <c r="B66" s="498"/>
      <c r="C66" s="104"/>
      <c r="D66" s="229"/>
      <c r="E66" s="232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3</v>
      </c>
      <c r="B67" s="498"/>
      <c r="C67" s="104"/>
      <c r="D67" s="229"/>
      <c r="E67" s="232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4</v>
      </c>
      <c r="B68" s="498"/>
      <c r="C68" s="104"/>
      <c r="D68" s="229"/>
      <c r="E68" s="232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5</v>
      </c>
      <c r="B69" s="498"/>
      <c r="C69" s="104"/>
      <c r="D69" s="229"/>
      <c r="E69" s="232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6</v>
      </c>
      <c r="B70" s="498"/>
      <c r="C70" s="104"/>
      <c r="D70" s="229"/>
      <c r="E70" s="232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7</v>
      </c>
      <c r="B71" s="498"/>
      <c r="C71" s="104"/>
      <c r="D71" s="229"/>
      <c r="E71" s="232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8</v>
      </c>
      <c r="B72" s="498"/>
      <c r="C72" s="104"/>
      <c r="D72" s="229"/>
      <c r="E72" s="232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9</v>
      </c>
      <c r="B73" s="498"/>
      <c r="C73" s="104"/>
      <c r="D73" s="229"/>
      <c r="E73" s="232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10</v>
      </c>
      <c r="B74" s="498"/>
      <c r="C74" s="104"/>
      <c r="D74" s="229"/>
      <c r="E74" s="232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6.25" customHeight="1" thickBot="1">
      <c r="A75" s="507" t="s">
        <v>316</v>
      </c>
      <c r="B75" s="507"/>
      <c r="C75" s="507"/>
      <c r="D75" s="507"/>
      <c r="E75" s="50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8" t="s">
        <v>127</v>
      </c>
      <c r="B76" s="509"/>
      <c r="C76" s="231" t="s">
        <v>2</v>
      </c>
      <c r="D76" s="231" t="s">
        <v>37</v>
      </c>
      <c r="E76" s="231" t="s">
        <v>126</v>
      </c>
      <c r="F76" s="509" t="s">
        <v>38</v>
      </c>
      <c r="G76" s="509"/>
      <c r="H76" s="509"/>
      <c r="I76" s="509"/>
      <c r="J76" s="509"/>
      <c r="K76" s="510" t="s">
        <v>58</v>
      </c>
      <c r="L76" s="511"/>
      <c r="M76" s="511"/>
      <c r="N76" s="511"/>
      <c r="O76" s="511"/>
      <c r="P76" s="511"/>
      <c r="Q76" s="511"/>
      <c r="R76" s="511"/>
      <c r="S76" s="512"/>
      <c r="T76" s="509" t="s">
        <v>49</v>
      </c>
      <c r="U76" s="509"/>
      <c r="V76" s="510" t="s">
        <v>50</v>
      </c>
      <c r="W76" s="512"/>
      <c r="X76" s="511" t="s">
        <v>51</v>
      </c>
      <c r="Y76" s="511"/>
      <c r="Z76" s="511"/>
      <c r="AA76" s="511"/>
      <c r="AB76" s="511"/>
      <c r="AC76" s="511"/>
      <c r="AD76" s="513"/>
      <c r="AF76" s="50"/>
    </row>
    <row r="77" spans="1:32" ht="33.75" customHeight="1">
      <c r="A77" s="522">
        <v>1</v>
      </c>
      <c r="B77" s="523"/>
      <c r="C77" s="230" t="s">
        <v>112</v>
      </c>
      <c r="D77" s="230"/>
      <c r="E77" s="65" t="s">
        <v>117</v>
      </c>
      <c r="F77" s="524" t="s">
        <v>116</v>
      </c>
      <c r="G77" s="525"/>
      <c r="H77" s="525"/>
      <c r="I77" s="525"/>
      <c r="J77" s="526"/>
      <c r="K77" s="527" t="s">
        <v>119</v>
      </c>
      <c r="L77" s="528"/>
      <c r="M77" s="528"/>
      <c r="N77" s="528"/>
      <c r="O77" s="528"/>
      <c r="P77" s="528"/>
      <c r="Q77" s="528"/>
      <c r="R77" s="528"/>
      <c r="S77" s="529"/>
      <c r="T77" s="530">
        <v>44118</v>
      </c>
      <c r="U77" s="531"/>
      <c r="V77" s="532"/>
      <c r="W77" s="532"/>
      <c r="X77" s="533"/>
      <c r="Y77" s="533"/>
      <c r="Z77" s="533"/>
      <c r="AA77" s="533"/>
      <c r="AB77" s="533"/>
      <c r="AC77" s="533"/>
      <c r="AD77" s="534"/>
      <c r="AF77" s="50"/>
    </row>
    <row r="78" spans="1:32" ht="30" customHeight="1">
      <c r="A78" s="514">
        <f>A77+1</f>
        <v>2</v>
      </c>
      <c r="B78" s="515"/>
      <c r="C78" s="229"/>
      <c r="D78" s="229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ref="A79:A83" si="19">A78+1</f>
        <v>3</v>
      </c>
      <c r="B79" s="515"/>
      <c r="C79" s="229"/>
      <c r="D79" s="229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9"/>
        <v>4</v>
      </c>
      <c r="B80" s="515"/>
      <c r="C80" s="229"/>
      <c r="D80" s="229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9"/>
        <v>5</v>
      </c>
      <c r="B81" s="515"/>
      <c r="C81" s="229"/>
      <c r="D81" s="229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6</v>
      </c>
      <c r="B82" s="515"/>
      <c r="C82" s="229"/>
      <c r="D82" s="229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7</v>
      </c>
      <c r="B83" s="515"/>
      <c r="C83" s="229"/>
      <c r="D83" s="229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6" thickBot="1">
      <c r="A84" s="507" t="s">
        <v>317</v>
      </c>
      <c r="B84" s="507"/>
      <c r="C84" s="507"/>
      <c r="D84" s="507"/>
      <c r="E84" s="50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8" t="s">
        <v>111</v>
      </c>
      <c r="B85" s="509"/>
      <c r="C85" s="535" t="s">
        <v>52</v>
      </c>
      <c r="D85" s="535"/>
      <c r="E85" s="535" t="s">
        <v>53</v>
      </c>
      <c r="F85" s="535"/>
      <c r="G85" s="535"/>
      <c r="H85" s="535"/>
      <c r="I85" s="535"/>
      <c r="J85" s="535"/>
      <c r="K85" s="535" t="s">
        <v>54</v>
      </c>
      <c r="L85" s="535"/>
      <c r="M85" s="535"/>
      <c r="N85" s="535"/>
      <c r="O85" s="535"/>
      <c r="P85" s="535"/>
      <c r="Q85" s="535"/>
      <c r="R85" s="535"/>
      <c r="S85" s="535"/>
      <c r="T85" s="535" t="s">
        <v>55</v>
      </c>
      <c r="U85" s="535"/>
      <c r="V85" s="535" t="s">
        <v>56</v>
      </c>
      <c r="W85" s="535"/>
      <c r="X85" s="535"/>
      <c r="Y85" s="535" t="s">
        <v>51</v>
      </c>
      <c r="Z85" s="535"/>
      <c r="AA85" s="535"/>
      <c r="AB85" s="535"/>
      <c r="AC85" s="535"/>
      <c r="AD85" s="536"/>
      <c r="AF85" s="50"/>
    </row>
    <row r="86" spans="1:32" ht="30.75" customHeight="1">
      <c r="A86" s="522">
        <v>1</v>
      </c>
      <c r="B86" s="523"/>
      <c r="C86" s="537"/>
      <c r="D86" s="537"/>
      <c r="E86" s="537"/>
      <c r="F86" s="537"/>
      <c r="G86" s="537"/>
      <c r="H86" s="537"/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7"/>
      <c r="V86" s="538"/>
      <c r="W86" s="538"/>
      <c r="X86" s="538"/>
      <c r="Y86" s="539"/>
      <c r="Z86" s="539"/>
      <c r="AA86" s="539"/>
      <c r="AB86" s="539"/>
      <c r="AC86" s="539"/>
      <c r="AD86" s="540"/>
      <c r="AF86" s="50"/>
    </row>
    <row r="87" spans="1:32" ht="30.75" customHeight="1">
      <c r="A87" s="514">
        <v>2</v>
      </c>
      <c r="B87" s="51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9"/>
      <c r="U87" s="549"/>
      <c r="V87" s="550"/>
      <c r="W87" s="550"/>
      <c r="X87" s="550"/>
      <c r="Y87" s="541"/>
      <c r="Z87" s="541"/>
      <c r="AA87" s="541"/>
      <c r="AB87" s="541"/>
      <c r="AC87" s="541"/>
      <c r="AD87" s="542"/>
      <c r="AF87" s="50"/>
    </row>
    <row r="88" spans="1:32" ht="30.75" customHeight="1" thickBot="1">
      <c r="A88" s="543">
        <v>3</v>
      </c>
      <c r="B88" s="544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6"/>
      <c r="Z88" s="546"/>
      <c r="AA88" s="546"/>
      <c r="AB88" s="546"/>
      <c r="AC88" s="546"/>
      <c r="AD88" s="547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8F99-2D8E-4AB3-BB21-4DCD80FF7960}">
  <dimension ref="A1:AF88"/>
  <sheetViews>
    <sheetView view="pageBreakPreview" zoomScale="70" zoomScaleNormal="72" zoomScaleSheetLayoutView="70" workbookViewId="0">
      <selection activeCell="F70" sqref="F70:J7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318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243" t="s">
        <v>17</v>
      </c>
      <c r="L5" s="243" t="s">
        <v>18</v>
      </c>
      <c r="M5" s="243" t="s">
        <v>19</v>
      </c>
      <c r="N5" s="24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0.71568627450980393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97000</v>
      </c>
      <c r="J7" s="14">
        <v>8804</v>
      </c>
      <c r="K7" s="15">
        <f>L7+6460+12678+11794</f>
        <v>39736</v>
      </c>
      <c r="L7" s="15">
        <f>3106*2+1296*2</f>
        <v>8804</v>
      </c>
      <c r="M7" s="15">
        <f t="shared" si="0"/>
        <v>8804</v>
      </c>
      <c r="N7" s="15">
        <v>0</v>
      </c>
      <c r="O7" s="58">
        <f t="shared" si="1"/>
        <v>0</v>
      </c>
      <c r="P7" s="39">
        <f t="shared" si="2"/>
        <v>20</v>
      </c>
      <c r="Q7" s="40">
        <f t="shared" si="3"/>
        <v>4</v>
      </c>
      <c r="R7" s="7"/>
      <c r="S7" s="6">
        <v>4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0.83333333333333337</v>
      </c>
      <c r="AD7" s="10">
        <f t="shared" si="6"/>
        <v>0.83333333333333337</v>
      </c>
      <c r="AE7" s="36">
        <f t="shared" si="7"/>
        <v>0.71568627450980393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188</v>
      </c>
      <c r="D8" s="52" t="s">
        <v>115</v>
      </c>
      <c r="E8" s="53" t="s">
        <v>289</v>
      </c>
      <c r="F8" s="30" t="s">
        <v>130</v>
      </c>
      <c r="G8" s="33">
        <v>1</v>
      </c>
      <c r="H8" s="35">
        <v>24</v>
      </c>
      <c r="I8" s="7">
        <v>10600</v>
      </c>
      <c r="J8" s="5">
        <v>3315</v>
      </c>
      <c r="K8" s="15">
        <f>L8+584+3307</f>
        <v>7206</v>
      </c>
      <c r="L8" s="15">
        <f>1213+2102</f>
        <v>3315</v>
      </c>
      <c r="M8" s="15">
        <f t="shared" si="0"/>
        <v>3315</v>
      </c>
      <c r="N8" s="15">
        <v>0</v>
      </c>
      <c r="O8" s="58">
        <f t="shared" si="1"/>
        <v>0</v>
      </c>
      <c r="P8" s="39">
        <f t="shared" si="2"/>
        <v>17</v>
      </c>
      <c r="Q8" s="40">
        <f t="shared" si="3"/>
        <v>7</v>
      </c>
      <c r="R8" s="7"/>
      <c r="S8" s="6">
        <v>7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0.70833333333333337</v>
      </c>
      <c r="AD8" s="10">
        <f t="shared" si="6"/>
        <v>0.70833333333333337</v>
      </c>
      <c r="AE8" s="36">
        <f t="shared" si="7"/>
        <v>0.71568627450980393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4112</v>
      </c>
      <c r="K9" s="15">
        <f>L9+1344+2695+2818+1363+3398+4807+5146+5399+5363+4916+4752+2389+5076+5367+4162+3442+4709+5270+3351</f>
        <v>79879</v>
      </c>
      <c r="L9" s="15">
        <f>2711+1401</f>
        <v>4112</v>
      </c>
      <c r="M9" s="15">
        <f t="shared" si="0"/>
        <v>4112</v>
      </c>
      <c r="N9" s="15">
        <v>0</v>
      </c>
      <c r="O9" s="58">
        <f t="shared" si="1"/>
        <v>0</v>
      </c>
      <c r="P9" s="39">
        <f t="shared" si="2"/>
        <v>20</v>
      </c>
      <c r="Q9" s="40">
        <f t="shared" si="3"/>
        <v>4</v>
      </c>
      <c r="R9" s="7"/>
      <c r="S9" s="6">
        <v>4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0.83333333333333337</v>
      </c>
      <c r="AD9" s="10">
        <f t="shared" si="6"/>
        <v>0.83333333333333337</v>
      </c>
      <c r="AE9" s="36">
        <f t="shared" si="7"/>
        <v>0.71568627450980393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120</v>
      </c>
      <c r="D10" s="52"/>
      <c r="E10" s="53" t="s">
        <v>242</v>
      </c>
      <c r="F10" s="30" t="s">
        <v>197</v>
      </c>
      <c r="G10" s="33">
        <v>1</v>
      </c>
      <c r="H10" s="35">
        <v>24</v>
      </c>
      <c r="I10" s="7">
        <v>97000</v>
      </c>
      <c r="J10" s="14">
        <v>3850</v>
      </c>
      <c r="K10" s="15">
        <f>L10+11152+11550+4936+5746</f>
        <v>37234</v>
      </c>
      <c r="L10" s="15">
        <f>812+3038</f>
        <v>3850</v>
      </c>
      <c r="M10" s="15">
        <f t="shared" si="0"/>
        <v>3850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>
        <v>8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 t="shared" si="6"/>
        <v>0.66666666666666663</v>
      </c>
      <c r="AE10" s="36">
        <f t="shared" si="7"/>
        <v>0.71568627450980393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/>
      <c r="E11" s="53" t="s">
        <v>312</v>
      </c>
      <c r="F11" s="30" t="s">
        <v>130</v>
      </c>
      <c r="G11" s="33">
        <v>1</v>
      </c>
      <c r="H11" s="35">
        <v>24</v>
      </c>
      <c r="I11" s="7">
        <v>13000</v>
      </c>
      <c r="J11" s="14">
        <v>5102</v>
      </c>
      <c r="K11" s="15">
        <f>L11</f>
        <v>5102</v>
      </c>
      <c r="L11" s="15">
        <f>3034+2068</f>
        <v>5102</v>
      </c>
      <c r="M11" s="15">
        <f t="shared" si="0"/>
        <v>5102</v>
      </c>
      <c r="N11" s="15">
        <v>0</v>
      </c>
      <c r="O11" s="58">
        <f t="shared" si="1"/>
        <v>0</v>
      </c>
      <c r="P11" s="39">
        <f t="shared" si="2"/>
        <v>23</v>
      </c>
      <c r="Q11" s="40">
        <f t="shared" si="3"/>
        <v>1</v>
      </c>
      <c r="R11" s="7"/>
      <c r="S11" s="6"/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0.95833333333333337</v>
      </c>
      <c r="AD11" s="10">
        <f t="shared" si="6"/>
        <v>0.95833333333333337</v>
      </c>
      <c r="AE11" s="36">
        <f t="shared" si="7"/>
        <v>0.71568627450980393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70000</v>
      </c>
      <c r="J12" s="5">
        <v>5041</v>
      </c>
      <c r="K12" s="15">
        <f>L12+4597</f>
        <v>9638</v>
      </c>
      <c r="L12" s="15">
        <f>2858+2183</f>
        <v>5041</v>
      </c>
      <c r="M12" s="15">
        <f t="shared" si="0"/>
        <v>5041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>
        <v>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6"/>
        <v>0.95833333333333337</v>
      </c>
      <c r="AE12" s="36">
        <f t="shared" si="7"/>
        <v>0.71568627450980393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132</v>
      </c>
      <c r="E13" s="53" t="s">
        <v>314</v>
      </c>
      <c r="F13" s="30" t="s">
        <v>133</v>
      </c>
      <c r="G13" s="33">
        <v>1</v>
      </c>
      <c r="H13" s="35">
        <v>24</v>
      </c>
      <c r="I13" s="7">
        <v>2000</v>
      </c>
      <c r="J13" s="14">
        <v>2214</v>
      </c>
      <c r="K13" s="15">
        <f>L13</f>
        <v>2214</v>
      </c>
      <c r="L13" s="15">
        <f>1543+671</f>
        <v>2214</v>
      </c>
      <c r="M13" s="15">
        <f t="shared" si="0"/>
        <v>2214</v>
      </c>
      <c r="N13" s="15">
        <v>0</v>
      </c>
      <c r="O13" s="58">
        <f t="shared" si="1"/>
        <v>0</v>
      </c>
      <c r="P13" s="39">
        <f t="shared" si="2"/>
        <v>10</v>
      </c>
      <c r="Q13" s="40">
        <f t="shared" si="3"/>
        <v>14</v>
      </c>
      <c r="R13" s="7"/>
      <c r="S13" s="6">
        <v>4</v>
      </c>
      <c r="T13" s="16"/>
      <c r="U13" s="16"/>
      <c r="V13" s="17"/>
      <c r="W13" s="5">
        <v>10</v>
      </c>
      <c r="X13" s="16"/>
      <c r="Y13" s="16"/>
      <c r="Z13" s="16"/>
      <c r="AA13" s="18"/>
      <c r="AB13" s="8">
        <f t="shared" si="4"/>
        <v>1</v>
      </c>
      <c r="AC13" s="9">
        <f t="shared" si="5"/>
        <v>0.41666666666666669</v>
      </c>
      <c r="AD13" s="10">
        <f t="shared" si="6"/>
        <v>0.41666666666666669</v>
      </c>
      <c r="AE13" s="36">
        <f t="shared" si="7"/>
        <v>0.71568627450980393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319</v>
      </c>
      <c r="F14" s="30" t="s">
        <v>142</v>
      </c>
      <c r="G14" s="33">
        <v>1</v>
      </c>
      <c r="H14" s="35">
        <v>50</v>
      </c>
      <c r="I14" s="7">
        <v>300</v>
      </c>
      <c r="J14" s="5">
        <v>342</v>
      </c>
      <c r="K14" s="15">
        <f>L14</f>
        <v>342</v>
      </c>
      <c r="L14" s="15">
        <v>342</v>
      </c>
      <c r="M14" s="15">
        <f t="shared" si="0"/>
        <v>342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0.71568627450980393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267</v>
      </c>
      <c r="F15" s="12" t="s">
        <v>129</v>
      </c>
      <c r="G15" s="12">
        <v>1</v>
      </c>
      <c r="H15" s="13">
        <v>24</v>
      </c>
      <c r="I15" s="31">
        <v>13000</v>
      </c>
      <c r="J15" s="14">
        <v>2438</v>
      </c>
      <c r="K15" s="15">
        <f>L15+5209+5544+5628</f>
        <v>18819</v>
      </c>
      <c r="L15" s="15">
        <v>2438</v>
      </c>
      <c r="M15" s="15">
        <f t="shared" si="0"/>
        <v>2438</v>
      </c>
      <c r="N15" s="15">
        <v>0</v>
      </c>
      <c r="O15" s="58">
        <f t="shared" si="1"/>
        <v>0</v>
      </c>
      <c r="P15" s="39">
        <f t="shared" si="2"/>
        <v>11</v>
      </c>
      <c r="Q15" s="40">
        <f t="shared" si="3"/>
        <v>13</v>
      </c>
      <c r="R15" s="7"/>
      <c r="S15" s="6"/>
      <c r="T15" s="16"/>
      <c r="U15" s="16"/>
      <c r="V15" s="17"/>
      <c r="W15" s="5">
        <v>13</v>
      </c>
      <c r="X15" s="16"/>
      <c r="Y15" s="16"/>
      <c r="Z15" s="16"/>
      <c r="AA15" s="18"/>
      <c r="AB15" s="8">
        <f t="shared" si="4"/>
        <v>1</v>
      </c>
      <c r="AC15" s="9">
        <f t="shared" si="5"/>
        <v>0.45833333333333331</v>
      </c>
      <c r="AD15" s="10">
        <f t="shared" si="6"/>
        <v>0.45833333333333331</v>
      </c>
      <c r="AE15" s="36">
        <f t="shared" si="7"/>
        <v>0.71568627450980393</v>
      </c>
      <c r="AF15" s="84">
        <f t="shared" si="8"/>
        <v>10</v>
      </c>
    </row>
    <row r="16" spans="1:32" ht="27" customHeight="1">
      <c r="A16" s="95">
        <v>10</v>
      </c>
      <c r="B16" s="11" t="s">
        <v>57</v>
      </c>
      <c r="C16" s="34" t="s">
        <v>188</v>
      </c>
      <c r="D16" s="52" t="s">
        <v>199</v>
      </c>
      <c r="E16" s="53" t="s">
        <v>320</v>
      </c>
      <c r="F16" s="12" t="s">
        <v>144</v>
      </c>
      <c r="G16" s="12">
        <v>2</v>
      </c>
      <c r="H16" s="13">
        <v>24</v>
      </c>
      <c r="I16" s="31">
        <v>21200</v>
      </c>
      <c r="J16" s="14">
        <v>6658</v>
      </c>
      <c r="K16" s="15">
        <f>L16</f>
        <v>6658</v>
      </c>
      <c r="L16" s="15">
        <f>3329*2</f>
        <v>6658</v>
      </c>
      <c r="M16" s="15">
        <f t="shared" ref="M16" si="9">L16-N16</f>
        <v>6658</v>
      </c>
      <c r="N16" s="15">
        <v>0</v>
      </c>
      <c r="O16" s="58">
        <f t="shared" ref="O16" si="10">IF(L16=0,"0",N16/L16)</f>
        <v>0</v>
      </c>
      <c r="P16" s="39">
        <f t="shared" ref="P16" si="11">IF(L16=0,"0",(24-Q16))</f>
        <v>12</v>
      </c>
      <c r="Q16" s="40">
        <f t="shared" ref="Q16" si="12">SUM(R16:AA16)</f>
        <v>12</v>
      </c>
      <c r="R16" s="7"/>
      <c r="S16" s="6"/>
      <c r="T16" s="16">
        <v>12</v>
      </c>
      <c r="U16" s="16"/>
      <c r="V16" s="17"/>
      <c r="W16" s="5"/>
      <c r="X16" s="16"/>
      <c r="Y16" s="16"/>
      <c r="Z16" s="16"/>
      <c r="AA16" s="18"/>
      <c r="AB16" s="8">
        <f t="shared" ref="AB16" si="13">IF(J16=0,"0",(L16/J16))</f>
        <v>1</v>
      </c>
      <c r="AC16" s="9">
        <f t="shared" ref="AC16" si="14">IF(P16=0,"0",(P16/24))</f>
        <v>0.5</v>
      </c>
      <c r="AD16" s="10">
        <f t="shared" ref="AD16" si="15">AC16*AB16*(1-O16)</f>
        <v>0.5</v>
      </c>
      <c r="AE16" s="36">
        <f t="shared" si="7"/>
        <v>0.71568627450980393</v>
      </c>
      <c r="AF16" s="84">
        <f t="shared" ref="AF16" si="16">A16</f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219</v>
      </c>
      <c r="E17" s="53" t="s">
        <v>220</v>
      </c>
      <c r="F17" s="30" t="s">
        <v>133</v>
      </c>
      <c r="G17" s="12">
        <v>1</v>
      </c>
      <c r="H17" s="13">
        <v>24</v>
      </c>
      <c r="I17" s="7">
        <v>95000</v>
      </c>
      <c r="J17" s="14">
        <v>5173</v>
      </c>
      <c r="K17" s="15">
        <f>L17+4303+5850+5280+5606+5547</f>
        <v>31759</v>
      </c>
      <c r="L17" s="15">
        <f>2931+2242</f>
        <v>5173</v>
      </c>
      <c r="M17" s="15">
        <f t="shared" si="0"/>
        <v>5173</v>
      </c>
      <c r="N17" s="15">
        <v>0</v>
      </c>
      <c r="O17" s="58">
        <f t="shared" si="1"/>
        <v>0</v>
      </c>
      <c r="P17" s="39">
        <f t="shared" si="2"/>
        <v>22</v>
      </c>
      <c r="Q17" s="40">
        <f t="shared" si="3"/>
        <v>2</v>
      </c>
      <c r="R17" s="7"/>
      <c r="S17" s="6">
        <v>2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0.91666666666666663</v>
      </c>
      <c r="AD17" s="10">
        <f t="shared" si="6"/>
        <v>0.91666666666666663</v>
      </c>
      <c r="AE17" s="36">
        <f t="shared" si="7"/>
        <v>0.71568627450980393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188</v>
      </c>
      <c r="D18" s="52" t="s">
        <v>296</v>
      </c>
      <c r="E18" s="53" t="s">
        <v>295</v>
      </c>
      <c r="F18" s="30" t="s">
        <v>303</v>
      </c>
      <c r="G18" s="12">
        <v>5</v>
      </c>
      <c r="H18" s="13">
        <v>24</v>
      </c>
      <c r="I18" s="7">
        <v>200000</v>
      </c>
      <c r="J18" s="14">
        <v>35895</v>
      </c>
      <c r="K18" s="15">
        <f>L18+33015</f>
        <v>68910</v>
      </c>
      <c r="L18" s="15">
        <f>3620*5+3559*5</f>
        <v>35895</v>
      </c>
      <c r="M18" s="15">
        <f t="shared" si="0"/>
        <v>35895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0.71568627450980393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/>
      <c r="E19" s="53" t="s">
        <v>266</v>
      </c>
      <c r="F19" s="30" t="s">
        <v>276</v>
      </c>
      <c r="G19" s="33">
        <v>2</v>
      </c>
      <c r="H19" s="35">
        <v>24</v>
      </c>
      <c r="I19" s="7">
        <v>97000</v>
      </c>
      <c r="J19" s="14">
        <v>10326</v>
      </c>
      <c r="K19" s="15">
        <f>L19+3494+7048+8280</f>
        <v>29148</v>
      </c>
      <c r="L19" s="15">
        <f>2940*2+2223*2</f>
        <v>10326</v>
      </c>
      <c r="M19" s="15">
        <f t="shared" si="0"/>
        <v>10326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 t="shared" si="7"/>
        <v>0.71568627450980393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120</v>
      </c>
      <c r="D20" s="52"/>
      <c r="E20" s="53" t="s">
        <v>304</v>
      </c>
      <c r="F20" s="30" t="s">
        <v>305</v>
      </c>
      <c r="G20" s="33">
        <v>1</v>
      </c>
      <c r="H20" s="35">
        <v>24</v>
      </c>
      <c r="I20" s="7">
        <v>13200</v>
      </c>
      <c r="J20" s="14">
        <v>4266</v>
      </c>
      <c r="K20" s="15">
        <f>L20+2646</f>
        <v>6912</v>
      </c>
      <c r="L20" s="15">
        <f>1575+2691</f>
        <v>4266</v>
      </c>
      <c r="M20" s="15">
        <f t="shared" si="0"/>
        <v>4266</v>
      </c>
      <c r="N20" s="15">
        <v>0</v>
      </c>
      <c r="O20" s="58">
        <f t="shared" si="1"/>
        <v>0</v>
      </c>
      <c r="P20" s="39">
        <f t="shared" si="2"/>
        <v>18</v>
      </c>
      <c r="Q20" s="40">
        <f t="shared" si="3"/>
        <v>6</v>
      </c>
      <c r="R20" s="7"/>
      <c r="S20" s="6">
        <v>6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0.75</v>
      </c>
      <c r="AD20" s="10">
        <f t="shared" si="6"/>
        <v>0.75</v>
      </c>
      <c r="AE20" s="36">
        <f t="shared" si="7"/>
        <v>0.71568627450980393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148</v>
      </c>
      <c r="F21" s="30" t="s">
        <v>130</v>
      </c>
      <c r="G21" s="12">
        <v>1</v>
      </c>
      <c r="H21" s="13">
        <v>24</v>
      </c>
      <c r="I21" s="7">
        <v>62000</v>
      </c>
      <c r="J21" s="14">
        <v>5654</v>
      </c>
      <c r="K21" s="15">
        <f>L21+5680+5650+5595+4980+5238</f>
        <v>32797</v>
      </c>
      <c r="L21" s="15">
        <f>2864+2790</f>
        <v>5654</v>
      </c>
      <c r="M21" s="15">
        <f t="shared" si="0"/>
        <v>5654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0.71568627450980393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306</v>
      </c>
      <c r="F22" s="12" t="s">
        <v>114</v>
      </c>
      <c r="G22" s="12">
        <v>4</v>
      </c>
      <c r="H22" s="35">
        <v>20</v>
      </c>
      <c r="I22" s="7">
        <v>800000</v>
      </c>
      <c r="J22" s="14">
        <v>58908</v>
      </c>
      <c r="K22" s="15">
        <f>L22+52848</f>
        <v>111756</v>
      </c>
      <c r="L22" s="15">
        <f>7299*4+7428*4</f>
        <v>58908</v>
      </c>
      <c r="M22" s="15">
        <f t="shared" si="0"/>
        <v>58908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0.71568627450980393</v>
      </c>
      <c r="AF22" s="84">
        <f t="shared" si="8"/>
        <v>16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2">
        <f t="shared" ref="I23:N23" si="17">SUM(I6:I22)</f>
        <v>1669300</v>
      </c>
      <c r="J23" s="19">
        <f t="shared" si="17"/>
        <v>165499</v>
      </c>
      <c r="K23" s="20">
        <f t="shared" si="17"/>
        <v>494703</v>
      </c>
      <c r="L23" s="21">
        <f t="shared" si="17"/>
        <v>162098</v>
      </c>
      <c r="M23" s="20">
        <f t="shared" si="17"/>
        <v>162098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292</v>
      </c>
      <c r="Q23" s="43">
        <f t="shared" si="18"/>
        <v>116</v>
      </c>
      <c r="R23" s="23">
        <f t="shared" si="18"/>
        <v>0</v>
      </c>
      <c r="S23" s="24">
        <f t="shared" si="18"/>
        <v>38</v>
      </c>
      <c r="T23" s="24">
        <f t="shared" si="18"/>
        <v>13</v>
      </c>
      <c r="U23" s="24">
        <f t="shared" si="18"/>
        <v>0</v>
      </c>
      <c r="V23" s="25">
        <f t="shared" si="18"/>
        <v>24</v>
      </c>
      <c r="W23" s="26">
        <f t="shared" si="18"/>
        <v>41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0.94117647058823528</v>
      </c>
      <c r="AC23" s="4">
        <f>AVERAGE(AC6:AC22)</f>
        <v>0.71568627450980393</v>
      </c>
      <c r="AD23" s="4">
        <f>AVERAGE(AD6:AD22)</f>
        <v>0.71568627450980393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7" t="s">
        <v>45</v>
      </c>
      <c r="B50" s="447"/>
      <c r="C50" s="447"/>
      <c r="D50" s="447"/>
      <c r="E50" s="4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8" t="s">
        <v>321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324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244" t="s">
        <v>46</v>
      </c>
      <c r="D52" s="244" t="s">
        <v>47</v>
      </c>
      <c r="E52" s="244" t="s">
        <v>107</v>
      </c>
      <c r="F52" s="456" t="s">
        <v>106</v>
      </c>
      <c r="G52" s="457"/>
      <c r="H52" s="457"/>
      <c r="I52" s="457"/>
      <c r="J52" s="457"/>
      <c r="K52" s="457"/>
      <c r="L52" s="457"/>
      <c r="M52" s="458"/>
      <c r="N52" s="67" t="s">
        <v>110</v>
      </c>
      <c r="O52" s="244" t="s">
        <v>46</v>
      </c>
      <c r="P52" s="456" t="s">
        <v>47</v>
      </c>
      <c r="Q52" s="459"/>
      <c r="R52" s="456" t="s">
        <v>38</v>
      </c>
      <c r="S52" s="457"/>
      <c r="T52" s="457"/>
      <c r="U52" s="459"/>
      <c r="V52" s="456" t="s">
        <v>48</v>
      </c>
      <c r="W52" s="457"/>
      <c r="X52" s="457"/>
      <c r="Y52" s="457"/>
      <c r="Z52" s="457"/>
      <c r="AA52" s="457"/>
      <c r="AB52" s="457"/>
      <c r="AC52" s="457"/>
      <c r="AD52" s="458"/>
    </row>
    <row r="53" spans="1:32" ht="27" customHeight="1">
      <c r="A53" s="480" t="s">
        <v>188</v>
      </c>
      <c r="B53" s="481"/>
      <c r="C53" s="248" t="s">
        <v>131</v>
      </c>
      <c r="D53" s="248" t="s">
        <v>115</v>
      </c>
      <c r="E53" s="248" t="s">
        <v>282</v>
      </c>
      <c r="F53" s="472" t="s">
        <v>311</v>
      </c>
      <c r="G53" s="473"/>
      <c r="H53" s="473"/>
      <c r="I53" s="473"/>
      <c r="J53" s="473"/>
      <c r="K53" s="473"/>
      <c r="L53" s="473"/>
      <c r="M53" s="474"/>
      <c r="N53" s="247" t="s">
        <v>188</v>
      </c>
      <c r="O53" s="253" t="s">
        <v>131</v>
      </c>
      <c r="P53" s="475" t="s">
        <v>115</v>
      </c>
      <c r="Q53" s="476"/>
      <c r="R53" s="475" t="s">
        <v>282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70" t="s">
        <v>120</v>
      </c>
      <c r="B54" s="471"/>
      <c r="C54" s="246" t="s">
        <v>214</v>
      </c>
      <c r="D54" s="246"/>
      <c r="E54" s="248" t="s">
        <v>266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247" t="s">
        <v>120</v>
      </c>
      <c r="O54" s="253" t="s">
        <v>209</v>
      </c>
      <c r="P54" s="475"/>
      <c r="Q54" s="476"/>
      <c r="R54" s="475" t="s">
        <v>304</v>
      </c>
      <c r="S54" s="477"/>
      <c r="T54" s="477"/>
      <c r="U54" s="476"/>
      <c r="V54" s="478" t="s">
        <v>124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70" t="s">
        <v>112</v>
      </c>
      <c r="B55" s="471"/>
      <c r="C55" s="246" t="s">
        <v>128</v>
      </c>
      <c r="D55" s="246" t="s">
        <v>115</v>
      </c>
      <c r="E55" s="248" t="s">
        <v>319</v>
      </c>
      <c r="F55" s="472" t="s">
        <v>187</v>
      </c>
      <c r="G55" s="473"/>
      <c r="H55" s="473"/>
      <c r="I55" s="473"/>
      <c r="J55" s="473"/>
      <c r="K55" s="473"/>
      <c r="L55" s="473"/>
      <c r="M55" s="474"/>
      <c r="N55" s="245" t="s">
        <v>112</v>
      </c>
      <c r="O55" s="228" t="s">
        <v>128</v>
      </c>
      <c r="P55" s="475" t="s">
        <v>325</v>
      </c>
      <c r="Q55" s="476"/>
      <c r="R55" s="475" t="s">
        <v>326</v>
      </c>
      <c r="S55" s="477"/>
      <c r="T55" s="477"/>
      <c r="U55" s="476"/>
      <c r="V55" s="478" t="s">
        <v>187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70" t="s">
        <v>120</v>
      </c>
      <c r="B56" s="471"/>
      <c r="C56" s="246" t="s">
        <v>209</v>
      </c>
      <c r="D56" s="246"/>
      <c r="E56" s="248" t="s">
        <v>304</v>
      </c>
      <c r="F56" s="472" t="s">
        <v>322</v>
      </c>
      <c r="G56" s="473"/>
      <c r="H56" s="473"/>
      <c r="I56" s="473"/>
      <c r="J56" s="473"/>
      <c r="K56" s="473"/>
      <c r="L56" s="473"/>
      <c r="M56" s="474"/>
      <c r="N56" s="247"/>
      <c r="O56" s="253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70" t="s">
        <v>188</v>
      </c>
      <c r="B57" s="471"/>
      <c r="C57" s="246" t="s">
        <v>268</v>
      </c>
      <c r="D57" s="246" t="s">
        <v>199</v>
      </c>
      <c r="E57" s="248" t="s">
        <v>320</v>
      </c>
      <c r="F57" s="472" t="s">
        <v>187</v>
      </c>
      <c r="G57" s="473"/>
      <c r="H57" s="473"/>
      <c r="I57" s="473"/>
      <c r="J57" s="473"/>
      <c r="K57" s="473"/>
      <c r="L57" s="473"/>
      <c r="M57" s="474"/>
      <c r="N57" s="247"/>
      <c r="O57" s="253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 t="s">
        <v>118</v>
      </c>
      <c r="B58" s="471"/>
      <c r="C58" s="246" t="s">
        <v>128</v>
      </c>
      <c r="D58" s="246" t="s">
        <v>132</v>
      </c>
      <c r="E58" s="248" t="s">
        <v>314</v>
      </c>
      <c r="F58" s="472" t="s">
        <v>187</v>
      </c>
      <c r="G58" s="473"/>
      <c r="H58" s="473"/>
      <c r="I58" s="473"/>
      <c r="J58" s="473"/>
      <c r="K58" s="473"/>
      <c r="L58" s="473"/>
      <c r="M58" s="474"/>
      <c r="N58" s="247"/>
      <c r="O58" s="253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 t="s">
        <v>118</v>
      </c>
      <c r="B59" s="471"/>
      <c r="C59" s="246" t="s">
        <v>149</v>
      </c>
      <c r="D59" s="246" t="s">
        <v>115</v>
      </c>
      <c r="E59" s="248" t="s">
        <v>294</v>
      </c>
      <c r="F59" s="472" t="s">
        <v>323</v>
      </c>
      <c r="G59" s="473"/>
      <c r="H59" s="473"/>
      <c r="I59" s="473"/>
      <c r="J59" s="473"/>
      <c r="K59" s="473"/>
      <c r="L59" s="473"/>
      <c r="M59" s="474"/>
      <c r="N59" s="247"/>
      <c r="O59" s="253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80" t="s">
        <v>118</v>
      </c>
      <c r="B60" s="481"/>
      <c r="C60" s="248" t="s">
        <v>147</v>
      </c>
      <c r="D60" s="248" t="s">
        <v>143</v>
      </c>
      <c r="E60" s="248" t="s">
        <v>309</v>
      </c>
      <c r="F60" s="472" t="s">
        <v>124</v>
      </c>
      <c r="G60" s="473"/>
      <c r="H60" s="473"/>
      <c r="I60" s="473"/>
      <c r="J60" s="473"/>
      <c r="K60" s="473"/>
      <c r="L60" s="473"/>
      <c r="M60" s="474"/>
      <c r="N60" s="247"/>
      <c r="O60" s="253"/>
      <c r="P60" s="475"/>
      <c r="Q60" s="476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 t="s">
        <v>120</v>
      </c>
      <c r="B61" s="471"/>
      <c r="C61" s="246" t="s">
        <v>205</v>
      </c>
      <c r="D61" s="246"/>
      <c r="E61" s="248" t="s">
        <v>241</v>
      </c>
      <c r="F61" s="472" t="s">
        <v>279</v>
      </c>
      <c r="G61" s="473"/>
      <c r="H61" s="473"/>
      <c r="I61" s="473"/>
      <c r="J61" s="473"/>
      <c r="K61" s="473"/>
      <c r="L61" s="473"/>
      <c r="M61" s="474"/>
      <c r="N61" s="247"/>
      <c r="O61" s="253"/>
      <c r="P61" s="481"/>
      <c r="Q61" s="481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  <c r="AF61" s="84">
        <f>8*3000</f>
        <v>24000</v>
      </c>
    </row>
    <row r="62" spans="1:32" ht="27" customHeight="1" thickBot="1">
      <c r="A62" s="482" t="s">
        <v>120</v>
      </c>
      <c r="B62" s="483"/>
      <c r="C62" s="249" t="s">
        <v>313</v>
      </c>
      <c r="D62" s="250"/>
      <c r="E62" s="249" t="s">
        <v>312</v>
      </c>
      <c r="F62" s="472" t="s">
        <v>187</v>
      </c>
      <c r="G62" s="473"/>
      <c r="H62" s="473"/>
      <c r="I62" s="473"/>
      <c r="J62" s="473"/>
      <c r="K62" s="473"/>
      <c r="L62" s="473"/>
      <c r="M62" s="474"/>
      <c r="N62" s="111"/>
      <c r="O62" s="103"/>
      <c r="P62" s="487"/>
      <c r="Q62" s="487"/>
      <c r="R62" s="487"/>
      <c r="S62" s="487"/>
      <c r="T62" s="487"/>
      <c r="U62" s="487"/>
      <c r="V62" s="488"/>
      <c r="W62" s="488"/>
      <c r="X62" s="488"/>
      <c r="Y62" s="488"/>
      <c r="Z62" s="488"/>
      <c r="AA62" s="488"/>
      <c r="AB62" s="488"/>
      <c r="AC62" s="488"/>
      <c r="AD62" s="489"/>
      <c r="AF62" s="84">
        <f>16*3000</f>
        <v>48000</v>
      </c>
    </row>
    <row r="63" spans="1:32" ht="27.75" thickBot="1">
      <c r="A63" s="490" t="s">
        <v>327</v>
      </c>
      <c r="B63" s="490"/>
      <c r="C63" s="490"/>
      <c r="D63" s="490"/>
      <c r="E63" s="49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1" t="s">
        <v>111</v>
      </c>
      <c r="B64" s="492"/>
      <c r="C64" s="251" t="s">
        <v>2</v>
      </c>
      <c r="D64" s="251" t="s">
        <v>37</v>
      </c>
      <c r="E64" s="251" t="s">
        <v>3</v>
      </c>
      <c r="F64" s="492" t="s">
        <v>109</v>
      </c>
      <c r="G64" s="492"/>
      <c r="H64" s="492"/>
      <c r="I64" s="492"/>
      <c r="J64" s="492"/>
      <c r="K64" s="492" t="s">
        <v>39</v>
      </c>
      <c r="L64" s="492"/>
      <c r="M64" s="251" t="s">
        <v>40</v>
      </c>
      <c r="N64" s="492" t="s">
        <v>41</v>
      </c>
      <c r="O64" s="492"/>
      <c r="P64" s="493" t="s">
        <v>42</v>
      </c>
      <c r="Q64" s="494"/>
      <c r="R64" s="493" t="s">
        <v>43</v>
      </c>
      <c r="S64" s="495"/>
      <c r="T64" s="495"/>
      <c r="U64" s="495"/>
      <c r="V64" s="495"/>
      <c r="W64" s="495"/>
      <c r="X64" s="495"/>
      <c r="Y64" s="495"/>
      <c r="Z64" s="495"/>
      <c r="AA64" s="494"/>
      <c r="AB64" s="492" t="s">
        <v>44</v>
      </c>
      <c r="AC64" s="492"/>
      <c r="AD64" s="496"/>
      <c r="AF64" s="84">
        <f>SUM(AF61:AF63)</f>
        <v>96000</v>
      </c>
    </row>
    <row r="65" spans="1:32" ht="25.5" customHeight="1">
      <c r="A65" s="497">
        <v>1</v>
      </c>
      <c r="B65" s="498"/>
      <c r="C65" s="104"/>
      <c r="D65" s="255"/>
      <c r="E65" s="252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2</v>
      </c>
      <c r="B66" s="498"/>
      <c r="C66" s="104"/>
      <c r="D66" s="255"/>
      <c r="E66" s="252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3</v>
      </c>
      <c r="B67" s="498"/>
      <c r="C67" s="104"/>
      <c r="D67" s="255"/>
      <c r="E67" s="252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4</v>
      </c>
      <c r="B68" s="498"/>
      <c r="C68" s="104"/>
      <c r="D68" s="255"/>
      <c r="E68" s="252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5</v>
      </c>
      <c r="B69" s="498"/>
      <c r="C69" s="104"/>
      <c r="D69" s="255"/>
      <c r="E69" s="252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6</v>
      </c>
      <c r="B70" s="498"/>
      <c r="C70" s="104"/>
      <c r="D70" s="255"/>
      <c r="E70" s="252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7</v>
      </c>
      <c r="B71" s="498"/>
      <c r="C71" s="104"/>
      <c r="D71" s="255"/>
      <c r="E71" s="252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8</v>
      </c>
      <c r="B72" s="498"/>
      <c r="C72" s="104"/>
      <c r="D72" s="255"/>
      <c r="E72" s="252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9</v>
      </c>
      <c r="B73" s="498"/>
      <c r="C73" s="104"/>
      <c r="D73" s="255"/>
      <c r="E73" s="252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10</v>
      </c>
      <c r="B74" s="498"/>
      <c r="C74" s="104"/>
      <c r="D74" s="255"/>
      <c r="E74" s="252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6.25" customHeight="1" thickBot="1">
      <c r="A75" s="507" t="s">
        <v>328</v>
      </c>
      <c r="B75" s="507"/>
      <c r="C75" s="507"/>
      <c r="D75" s="507"/>
      <c r="E75" s="50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8" t="s">
        <v>127</v>
      </c>
      <c r="B76" s="509"/>
      <c r="C76" s="254" t="s">
        <v>2</v>
      </c>
      <c r="D76" s="254" t="s">
        <v>37</v>
      </c>
      <c r="E76" s="254" t="s">
        <v>126</v>
      </c>
      <c r="F76" s="509" t="s">
        <v>38</v>
      </c>
      <c r="G76" s="509"/>
      <c r="H76" s="509"/>
      <c r="I76" s="509"/>
      <c r="J76" s="509"/>
      <c r="K76" s="510" t="s">
        <v>58</v>
      </c>
      <c r="L76" s="511"/>
      <c r="M76" s="511"/>
      <c r="N76" s="511"/>
      <c r="O76" s="511"/>
      <c r="P76" s="511"/>
      <c r="Q76" s="511"/>
      <c r="R76" s="511"/>
      <c r="S76" s="512"/>
      <c r="T76" s="509" t="s">
        <v>49</v>
      </c>
      <c r="U76" s="509"/>
      <c r="V76" s="510" t="s">
        <v>50</v>
      </c>
      <c r="W76" s="512"/>
      <c r="X76" s="511" t="s">
        <v>51</v>
      </c>
      <c r="Y76" s="511"/>
      <c r="Z76" s="511"/>
      <c r="AA76" s="511"/>
      <c r="AB76" s="511"/>
      <c r="AC76" s="511"/>
      <c r="AD76" s="513"/>
      <c r="AF76" s="50"/>
    </row>
    <row r="77" spans="1:32" ht="33.75" customHeight="1">
      <c r="A77" s="522">
        <v>1</v>
      </c>
      <c r="B77" s="523"/>
      <c r="C77" s="256" t="s">
        <v>112</v>
      </c>
      <c r="D77" s="256"/>
      <c r="E77" s="65" t="s">
        <v>117</v>
      </c>
      <c r="F77" s="524" t="s">
        <v>116</v>
      </c>
      <c r="G77" s="525"/>
      <c r="H77" s="525"/>
      <c r="I77" s="525"/>
      <c r="J77" s="526"/>
      <c r="K77" s="527" t="s">
        <v>119</v>
      </c>
      <c r="L77" s="528"/>
      <c r="M77" s="528"/>
      <c r="N77" s="528"/>
      <c r="O77" s="528"/>
      <c r="P77" s="528"/>
      <c r="Q77" s="528"/>
      <c r="R77" s="528"/>
      <c r="S77" s="529"/>
      <c r="T77" s="530">
        <v>44118</v>
      </c>
      <c r="U77" s="531"/>
      <c r="V77" s="532"/>
      <c r="W77" s="532"/>
      <c r="X77" s="533"/>
      <c r="Y77" s="533"/>
      <c r="Z77" s="533"/>
      <c r="AA77" s="533"/>
      <c r="AB77" s="533"/>
      <c r="AC77" s="533"/>
      <c r="AD77" s="534"/>
      <c r="AF77" s="50"/>
    </row>
    <row r="78" spans="1:32" ht="30" customHeight="1">
      <c r="A78" s="514">
        <f>A77+1</f>
        <v>2</v>
      </c>
      <c r="B78" s="515"/>
      <c r="C78" s="255"/>
      <c r="D78" s="255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ref="A79:A83" si="19">A78+1</f>
        <v>3</v>
      </c>
      <c r="B79" s="515"/>
      <c r="C79" s="255"/>
      <c r="D79" s="255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9"/>
        <v>4</v>
      </c>
      <c r="B80" s="515"/>
      <c r="C80" s="255"/>
      <c r="D80" s="255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9"/>
        <v>5</v>
      </c>
      <c r="B81" s="515"/>
      <c r="C81" s="255"/>
      <c r="D81" s="255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6</v>
      </c>
      <c r="B82" s="515"/>
      <c r="C82" s="255"/>
      <c r="D82" s="255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7</v>
      </c>
      <c r="B83" s="515"/>
      <c r="C83" s="255"/>
      <c r="D83" s="255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6" thickBot="1">
      <c r="A84" s="507" t="s">
        <v>329</v>
      </c>
      <c r="B84" s="507"/>
      <c r="C84" s="507"/>
      <c r="D84" s="507"/>
      <c r="E84" s="50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8" t="s">
        <v>111</v>
      </c>
      <c r="B85" s="509"/>
      <c r="C85" s="535" t="s">
        <v>52</v>
      </c>
      <c r="D85" s="535"/>
      <c r="E85" s="535" t="s">
        <v>53</v>
      </c>
      <c r="F85" s="535"/>
      <c r="G85" s="535"/>
      <c r="H85" s="535"/>
      <c r="I85" s="535"/>
      <c r="J85" s="535"/>
      <c r="K85" s="535" t="s">
        <v>54</v>
      </c>
      <c r="L85" s="535"/>
      <c r="M85" s="535"/>
      <c r="N85" s="535"/>
      <c r="O85" s="535"/>
      <c r="P85" s="535"/>
      <c r="Q85" s="535"/>
      <c r="R85" s="535"/>
      <c r="S85" s="535"/>
      <c r="T85" s="535" t="s">
        <v>55</v>
      </c>
      <c r="U85" s="535"/>
      <c r="V85" s="535" t="s">
        <v>56</v>
      </c>
      <c r="W85" s="535"/>
      <c r="X85" s="535"/>
      <c r="Y85" s="535" t="s">
        <v>51</v>
      </c>
      <c r="Z85" s="535"/>
      <c r="AA85" s="535"/>
      <c r="AB85" s="535"/>
      <c r="AC85" s="535"/>
      <c r="AD85" s="536"/>
      <c r="AF85" s="50"/>
    </row>
    <row r="86" spans="1:32" ht="30.75" customHeight="1">
      <c r="A86" s="522">
        <v>1</v>
      </c>
      <c r="B86" s="523"/>
      <c r="C86" s="537"/>
      <c r="D86" s="537"/>
      <c r="E86" s="537"/>
      <c r="F86" s="537"/>
      <c r="G86" s="537"/>
      <c r="H86" s="537"/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7"/>
      <c r="V86" s="538"/>
      <c r="W86" s="538"/>
      <c r="X86" s="538"/>
      <c r="Y86" s="539"/>
      <c r="Z86" s="539"/>
      <c r="AA86" s="539"/>
      <c r="AB86" s="539"/>
      <c r="AC86" s="539"/>
      <c r="AD86" s="540"/>
      <c r="AF86" s="50"/>
    </row>
    <row r="87" spans="1:32" ht="30.75" customHeight="1">
      <c r="A87" s="514">
        <v>2</v>
      </c>
      <c r="B87" s="51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9"/>
      <c r="U87" s="549"/>
      <c r="V87" s="550"/>
      <c r="W87" s="550"/>
      <c r="X87" s="550"/>
      <c r="Y87" s="541"/>
      <c r="Z87" s="541"/>
      <c r="AA87" s="541"/>
      <c r="AB87" s="541"/>
      <c r="AC87" s="541"/>
      <c r="AD87" s="542"/>
      <c r="AF87" s="50"/>
    </row>
    <row r="88" spans="1:32" ht="30.75" customHeight="1" thickBot="1">
      <c r="A88" s="543">
        <v>3</v>
      </c>
      <c r="B88" s="544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6"/>
      <c r="Z88" s="546"/>
      <c r="AA88" s="546"/>
      <c r="AB88" s="546"/>
      <c r="AC88" s="546"/>
      <c r="AD88" s="547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3DAA-BCA4-4FA8-8B8E-672636B12C67}">
  <dimension ref="A1:AF88"/>
  <sheetViews>
    <sheetView view="pageBreakPreview" topLeftCell="A22" zoomScale="70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330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270" t="s">
        <v>17</v>
      </c>
      <c r="L5" s="270" t="s">
        <v>18</v>
      </c>
      <c r="M5" s="270" t="s">
        <v>19</v>
      </c>
      <c r="N5" s="27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0.70343137254901955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97000</v>
      </c>
      <c r="J7" s="14">
        <v>3078</v>
      </c>
      <c r="K7" s="15">
        <f>L7+6460+12678+11794+8804</f>
        <v>42814</v>
      </c>
      <c r="L7" s="15">
        <f>1539*2</f>
        <v>3078</v>
      </c>
      <c r="M7" s="15">
        <f t="shared" si="0"/>
        <v>3078</v>
      </c>
      <c r="N7" s="15">
        <v>0</v>
      </c>
      <c r="O7" s="58">
        <f t="shared" si="1"/>
        <v>0</v>
      </c>
      <c r="P7" s="39">
        <f t="shared" si="2"/>
        <v>6</v>
      </c>
      <c r="Q7" s="40">
        <f t="shared" si="3"/>
        <v>18</v>
      </c>
      <c r="R7" s="7"/>
      <c r="S7" s="6">
        <v>18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0.25</v>
      </c>
      <c r="AD7" s="10">
        <f t="shared" si="6"/>
        <v>0.25</v>
      </c>
      <c r="AE7" s="36">
        <f t="shared" si="7"/>
        <v>0.70343137254901955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188</v>
      </c>
      <c r="D8" s="52" t="s">
        <v>201</v>
      </c>
      <c r="E8" s="53" t="s">
        <v>331</v>
      </c>
      <c r="F8" s="12">
        <v>8301</v>
      </c>
      <c r="G8" s="12">
        <v>1</v>
      </c>
      <c r="H8" s="13">
        <v>24</v>
      </c>
      <c r="I8" s="31">
        <v>2000</v>
      </c>
      <c r="J8" s="14">
        <v>2534</v>
      </c>
      <c r="K8" s="15">
        <f>L8</f>
        <v>2534</v>
      </c>
      <c r="L8" s="15">
        <v>2534</v>
      </c>
      <c r="M8" s="15">
        <f t="shared" ref="M8" si="9">L8-N8</f>
        <v>2534</v>
      </c>
      <c r="N8" s="15">
        <v>0</v>
      </c>
      <c r="O8" s="58">
        <f t="shared" ref="O8" si="10">IF(L8=0,"0",N8/L8)</f>
        <v>0</v>
      </c>
      <c r="P8" s="39">
        <f t="shared" ref="P8" si="11">IF(L8=0,"0",(24-Q8))</f>
        <v>13</v>
      </c>
      <c r="Q8" s="40">
        <f t="shared" ref="Q8" si="12">SUM(R8:AA8)</f>
        <v>11</v>
      </c>
      <c r="R8" s="7"/>
      <c r="S8" s="6">
        <v>1</v>
      </c>
      <c r="T8" s="16">
        <v>10</v>
      </c>
      <c r="U8" s="16"/>
      <c r="V8" s="17"/>
      <c r="W8" s="5"/>
      <c r="X8" s="16"/>
      <c r="Y8" s="16"/>
      <c r="Z8" s="16"/>
      <c r="AA8" s="18"/>
      <c r="AB8" s="8">
        <f t="shared" ref="AB8" si="13">IF(J8=0,"0",(L8/J8))</f>
        <v>1</v>
      </c>
      <c r="AC8" s="9">
        <f t="shared" ref="AC8" si="14">IF(P8=0,"0",(P8/24))</f>
        <v>0.54166666666666663</v>
      </c>
      <c r="AD8" s="10">
        <f t="shared" ref="AD8" si="15">AC8*AB8*(1-O8)</f>
        <v>0.54166666666666663</v>
      </c>
      <c r="AE8" s="36">
        <f t="shared" si="7"/>
        <v>0.70343137254901955</v>
      </c>
      <c r="AF8" s="84">
        <f t="shared" ref="AF8" si="16">A8</f>
        <v>2</v>
      </c>
    </row>
    <row r="9" spans="1:32" ht="27" customHeight="1">
      <c r="A9" s="96">
        <v>3</v>
      </c>
      <c r="B9" s="11" t="s">
        <v>57</v>
      </c>
      <c r="C9" s="34" t="s">
        <v>188</v>
      </c>
      <c r="D9" s="52" t="s">
        <v>115</v>
      </c>
      <c r="E9" s="53" t="s">
        <v>289</v>
      </c>
      <c r="F9" s="30" t="s">
        <v>130</v>
      </c>
      <c r="G9" s="33">
        <v>1</v>
      </c>
      <c r="H9" s="35">
        <v>24</v>
      </c>
      <c r="I9" s="7">
        <v>10600</v>
      </c>
      <c r="J9" s="5">
        <v>3548</v>
      </c>
      <c r="K9" s="15">
        <f>L9+584+3307+3315</f>
        <v>10754</v>
      </c>
      <c r="L9" s="15">
        <f>1314+2234</f>
        <v>3548</v>
      </c>
      <c r="M9" s="15">
        <f t="shared" si="0"/>
        <v>3548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0.70343137254901955</v>
      </c>
      <c r="AF9" s="84">
        <f t="shared" si="8"/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140</v>
      </c>
      <c r="E10" s="53" t="s">
        <v>138</v>
      </c>
      <c r="F10" s="30" t="s">
        <v>135</v>
      </c>
      <c r="G10" s="12">
        <v>1</v>
      </c>
      <c r="H10" s="13">
        <v>24</v>
      </c>
      <c r="I10" s="7">
        <v>65000</v>
      </c>
      <c r="J10" s="14">
        <v>5541</v>
      </c>
      <c r="K10" s="15">
        <f>L10+1344+2695+2818+1363+3398+4807+5146+5399+5363+4916+4752+2389+5076+5367+4162+3442+4709+5270+3351+4112</f>
        <v>85420</v>
      </c>
      <c r="L10" s="15">
        <f>2678+2670+193</f>
        <v>5541</v>
      </c>
      <c r="M10" s="15">
        <f t="shared" si="0"/>
        <v>5541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0.70343137254901955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120</v>
      </c>
      <c r="D11" s="52"/>
      <c r="E11" s="53" t="s">
        <v>242</v>
      </c>
      <c r="F11" s="30" t="s">
        <v>197</v>
      </c>
      <c r="G11" s="33">
        <v>1</v>
      </c>
      <c r="H11" s="35">
        <v>24</v>
      </c>
      <c r="I11" s="7">
        <v>97000</v>
      </c>
      <c r="J11" s="14">
        <v>3850</v>
      </c>
      <c r="K11" s="15">
        <f>L11+11152+11550+4936+5746+3850</f>
        <v>37234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0.70343137254901955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120</v>
      </c>
      <c r="D12" s="52"/>
      <c r="E12" s="53" t="s">
        <v>312</v>
      </c>
      <c r="F12" s="30" t="s">
        <v>130</v>
      </c>
      <c r="G12" s="33">
        <v>1</v>
      </c>
      <c r="H12" s="35">
        <v>24</v>
      </c>
      <c r="I12" s="7">
        <v>13000</v>
      </c>
      <c r="J12" s="14">
        <v>5929</v>
      </c>
      <c r="K12" s="15">
        <f>L12+5102</f>
        <v>11031</v>
      </c>
      <c r="L12" s="15">
        <f>2985+2944</f>
        <v>5929</v>
      </c>
      <c r="M12" s="15">
        <f t="shared" si="0"/>
        <v>5929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0.70343137254901955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294</v>
      </c>
      <c r="F13" s="30" t="s">
        <v>302</v>
      </c>
      <c r="G13" s="12">
        <v>1</v>
      </c>
      <c r="H13" s="13">
        <v>22</v>
      </c>
      <c r="I13" s="31">
        <v>70000</v>
      </c>
      <c r="J13" s="5">
        <v>5597</v>
      </c>
      <c r="K13" s="15">
        <f>L13+4597+5041</f>
        <v>15235</v>
      </c>
      <c r="L13" s="15">
        <f>2799+2798</f>
        <v>5597</v>
      </c>
      <c r="M13" s="15">
        <f t="shared" si="0"/>
        <v>5597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0.70343137254901955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325</v>
      </c>
      <c r="E14" s="53" t="s">
        <v>326</v>
      </c>
      <c r="F14" s="30" t="s">
        <v>332</v>
      </c>
      <c r="G14" s="33">
        <v>1</v>
      </c>
      <c r="H14" s="35">
        <v>24</v>
      </c>
      <c r="I14" s="7">
        <v>1600</v>
      </c>
      <c r="J14" s="14">
        <v>5208</v>
      </c>
      <c r="K14" s="15">
        <f>L14</f>
        <v>5208</v>
      </c>
      <c r="L14" s="15">
        <f>2765+2443</f>
        <v>5208</v>
      </c>
      <c r="M14" s="15">
        <f t="shared" si="0"/>
        <v>5208</v>
      </c>
      <c r="N14" s="15">
        <v>0</v>
      </c>
      <c r="O14" s="58">
        <f t="shared" si="1"/>
        <v>0</v>
      </c>
      <c r="P14" s="39">
        <f t="shared" si="2"/>
        <v>23</v>
      </c>
      <c r="Q14" s="40">
        <f t="shared" si="3"/>
        <v>1</v>
      </c>
      <c r="R14" s="7"/>
      <c r="S14" s="6"/>
      <c r="T14" s="16">
        <v>1</v>
      </c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0.95833333333333337</v>
      </c>
      <c r="AD14" s="10">
        <f t="shared" si="6"/>
        <v>0.95833333333333337</v>
      </c>
      <c r="AE14" s="36">
        <f t="shared" si="7"/>
        <v>0.70343137254901955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319</v>
      </c>
      <c r="F15" s="30" t="s">
        <v>142</v>
      </c>
      <c r="G15" s="33">
        <v>1</v>
      </c>
      <c r="H15" s="35">
        <v>50</v>
      </c>
      <c r="I15" s="7">
        <v>300</v>
      </c>
      <c r="J15" s="5">
        <v>342</v>
      </c>
      <c r="K15" s="15">
        <f>L15+342</f>
        <v>342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0.70343137254901955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188</v>
      </c>
      <c r="D16" s="52" t="s">
        <v>199</v>
      </c>
      <c r="E16" s="53" t="s">
        <v>320</v>
      </c>
      <c r="F16" s="12" t="s">
        <v>144</v>
      </c>
      <c r="G16" s="12">
        <v>2</v>
      </c>
      <c r="H16" s="13">
        <v>24</v>
      </c>
      <c r="I16" s="31">
        <v>21200</v>
      </c>
      <c r="J16" s="14">
        <v>13292</v>
      </c>
      <c r="K16" s="15">
        <f>L16+6658</f>
        <v>19950</v>
      </c>
      <c r="L16" s="15">
        <f>3130*2+352*2+3164*2</f>
        <v>13292</v>
      </c>
      <c r="M16" s="15">
        <f t="shared" si="0"/>
        <v>13292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0.70343137254901955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219</v>
      </c>
      <c r="E17" s="53" t="s">
        <v>220</v>
      </c>
      <c r="F17" s="30" t="s">
        <v>133</v>
      </c>
      <c r="G17" s="12">
        <v>1</v>
      </c>
      <c r="H17" s="13">
        <v>24</v>
      </c>
      <c r="I17" s="7">
        <v>95000</v>
      </c>
      <c r="J17" s="14">
        <v>5805</v>
      </c>
      <c r="K17" s="15">
        <f>L17+4303+5850+5280+5606+5547+5173</f>
        <v>37564</v>
      </c>
      <c r="L17" s="15">
        <f>2911+2894</f>
        <v>5805</v>
      </c>
      <c r="M17" s="15">
        <f t="shared" si="0"/>
        <v>5805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0.70343137254901955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188</v>
      </c>
      <c r="D18" s="52" t="s">
        <v>296</v>
      </c>
      <c r="E18" s="53" t="s">
        <v>295</v>
      </c>
      <c r="F18" s="30" t="s">
        <v>303</v>
      </c>
      <c r="G18" s="12">
        <v>5</v>
      </c>
      <c r="H18" s="13">
        <v>24</v>
      </c>
      <c r="I18" s="7">
        <v>200000</v>
      </c>
      <c r="J18" s="14">
        <v>37090</v>
      </c>
      <c r="K18" s="15">
        <f>L18+33015+35895</f>
        <v>106000</v>
      </c>
      <c r="L18" s="15">
        <f>3568*5+3850*5</f>
        <v>37090</v>
      </c>
      <c r="M18" s="15">
        <f t="shared" si="0"/>
        <v>37090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0.70343137254901955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120</v>
      </c>
      <c r="D19" s="52"/>
      <c r="E19" s="53" t="s">
        <v>266</v>
      </c>
      <c r="F19" s="30" t="s">
        <v>276</v>
      </c>
      <c r="G19" s="33">
        <v>2</v>
      </c>
      <c r="H19" s="35">
        <v>24</v>
      </c>
      <c r="I19" s="7">
        <v>46500</v>
      </c>
      <c r="J19" s="14">
        <v>8450</v>
      </c>
      <c r="K19" s="15">
        <f>L19+3494+7048+8280+10326</f>
        <v>37598</v>
      </c>
      <c r="L19" s="15">
        <f>1314*2+2911*2</f>
        <v>8450</v>
      </c>
      <c r="M19" s="15">
        <f t="shared" si="0"/>
        <v>8450</v>
      </c>
      <c r="N19" s="15">
        <v>0</v>
      </c>
      <c r="O19" s="58">
        <f t="shared" si="1"/>
        <v>0</v>
      </c>
      <c r="P19" s="39">
        <f t="shared" si="2"/>
        <v>19</v>
      </c>
      <c r="Q19" s="40">
        <f t="shared" si="3"/>
        <v>5</v>
      </c>
      <c r="R19" s="7"/>
      <c r="S19" s="6">
        <v>5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0.79166666666666663</v>
      </c>
      <c r="AD19" s="10">
        <f t="shared" si="6"/>
        <v>0.79166666666666663</v>
      </c>
      <c r="AE19" s="36">
        <f t="shared" si="7"/>
        <v>0.70343137254901955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120</v>
      </c>
      <c r="D20" s="52"/>
      <c r="E20" s="53" t="s">
        <v>304</v>
      </c>
      <c r="F20" s="30" t="s">
        <v>305</v>
      </c>
      <c r="G20" s="33">
        <v>1</v>
      </c>
      <c r="H20" s="35">
        <v>24</v>
      </c>
      <c r="I20" s="7">
        <v>13200</v>
      </c>
      <c r="J20" s="14">
        <v>3583</v>
      </c>
      <c r="K20" s="15">
        <f>L20+2646+4266</f>
        <v>10495</v>
      </c>
      <c r="L20" s="15">
        <f>2712+871</f>
        <v>3583</v>
      </c>
      <c r="M20" s="15">
        <f t="shared" si="0"/>
        <v>3583</v>
      </c>
      <c r="N20" s="15">
        <v>0</v>
      </c>
      <c r="O20" s="58">
        <f t="shared" si="1"/>
        <v>0</v>
      </c>
      <c r="P20" s="39">
        <f t="shared" si="2"/>
        <v>16</v>
      </c>
      <c r="Q20" s="40">
        <f t="shared" si="3"/>
        <v>8</v>
      </c>
      <c r="R20" s="7"/>
      <c r="S20" s="6">
        <v>8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0.66666666666666663</v>
      </c>
      <c r="AD20" s="10">
        <f t="shared" si="6"/>
        <v>0.66666666666666663</v>
      </c>
      <c r="AE20" s="36">
        <f t="shared" si="7"/>
        <v>0.70343137254901955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148</v>
      </c>
      <c r="F21" s="30" t="s">
        <v>130</v>
      </c>
      <c r="G21" s="12">
        <v>1</v>
      </c>
      <c r="H21" s="13">
        <v>24</v>
      </c>
      <c r="I21" s="7">
        <v>62000</v>
      </c>
      <c r="J21" s="14">
        <v>5218</v>
      </c>
      <c r="K21" s="15">
        <f>L21+5680+5650+5595+4980+5238+5654</f>
        <v>38015</v>
      </c>
      <c r="L21" s="15">
        <f>2818+2400</f>
        <v>5218</v>
      </c>
      <c r="M21" s="15">
        <f t="shared" si="0"/>
        <v>5218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0.70343137254901955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306</v>
      </c>
      <c r="F22" s="12" t="s">
        <v>114</v>
      </c>
      <c r="G22" s="12">
        <v>4</v>
      </c>
      <c r="H22" s="35">
        <v>20</v>
      </c>
      <c r="I22" s="7">
        <v>800000</v>
      </c>
      <c r="J22" s="14">
        <v>58380</v>
      </c>
      <c r="K22" s="15">
        <f>L22+52848+58908</f>
        <v>170136</v>
      </c>
      <c r="L22" s="15">
        <f>7404*4+7191*4</f>
        <v>58380</v>
      </c>
      <c r="M22" s="15">
        <f t="shared" si="0"/>
        <v>58380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0.70343137254901955</v>
      </c>
      <c r="AF22" s="84">
        <f t="shared" si="8"/>
        <v>16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2">
        <f t="shared" ref="I23:N23" si="17">SUM(I6:I22)</f>
        <v>1607400</v>
      </c>
      <c r="J23" s="19">
        <f t="shared" si="17"/>
        <v>170846</v>
      </c>
      <c r="K23" s="20">
        <f t="shared" si="17"/>
        <v>636923</v>
      </c>
      <c r="L23" s="21">
        <f t="shared" si="17"/>
        <v>163253</v>
      </c>
      <c r="M23" s="20">
        <f t="shared" si="17"/>
        <v>163253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287</v>
      </c>
      <c r="Q23" s="43">
        <f t="shared" si="18"/>
        <v>121</v>
      </c>
      <c r="R23" s="23">
        <f t="shared" si="18"/>
        <v>0</v>
      </c>
      <c r="S23" s="24">
        <f t="shared" si="18"/>
        <v>62</v>
      </c>
      <c r="T23" s="24">
        <f t="shared" si="18"/>
        <v>11</v>
      </c>
      <c r="U23" s="24">
        <f t="shared" si="18"/>
        <v>0</v>
      </c>
      <c r="V23" s="25">
        <f t="shared" si="18"/>
        <v>24</v>
      </c>
      <c r="W23" s="26">
        <f t="shared" si="18"/>
        <v>24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0.82352941176470584</v>
      </c>
      <c r="AC23" s="4">
        <f>AVERAGE(AC6:AC22)</f>
        <v>0.70343137254901955</v>
      </c>
      <c r="AD23" s="4">
        <f>AVERAGE(AD6:AD22)</f>
        <v>0.70343137254901955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7" t="s">
        <v>45</v>
      </c>
      <c r="B50" s="447"/>
      <c r="C50" s="447"/>
      <c r="D50" s="447"/>
      <c r="E50" s="4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8" t="s">
        <v>333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337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269" t="s">
        <v>46</v>
      </c>
      <c r="D52" s="269" t="s">
        <v>47</v>
      </c>
      <c r="E52" s="269" t="s">
        <v>107</v>
      </c>
      <c r="F52" s="456" t="s">
        <v>106</v>
      </c>
      <c r="G52" s="457"/>
      <c r="H52" s="457"/>
      <c r="I52" s="457"/>
      <c r="J52" s="457"/>
      <c r="K52" s="457"/>
      <c r="L52" s="457"/>
      <c r="M52" s="458"/>
      <c r="N52" s="67" t="s">
        <v>110</v>
      </c>
      <c r="O52" s="269" t="s">
        <v>46</v>
      </c>
      <c r="P52" s="456" t="s">
        <v>47</v>
      </c>
      <c r="Q52" s="459"/>
      <c r="R52" s="456" t="s">
        <v>38</v>
      </c>
      <c r="S52" s="457"/>
      <c r="T52" s="457"/>
      <c r="U52" s="459"/>
      <c r="V52" s="456" t="s">
        <v>48</v>
      </c>
      <c r="W52" s="457"/>
      <c r="X52" s="457"/>
      <c r="Y52" s="457"/>
      <c r="Z52" s="457"/>
      <c r="AA52" s="457"/>
      <c r="AB52" s="457"/>
      <c r="AC52" s="457"/>
      <c r="AD52" s="458"/>
    </row>
    <row r="53" spans="1:32" ht="27" customHeight="1">
      <c r="A53" s="480" t="s">
        <v>188</v>
      </c>
      <c r="B53" s="481"/>
      <c r="C53" s="265" t="s">
        <v>131</v>
      </c>
      <c r="D53" s="265" t="s">
        <v>115</v>
      </c>
      <c r="E53" s="265" t="s">
        <v>282</v>
      </c>
      <c r="F53" s="472" t="s">
        <v>311</v>
      </c>
      <c r="G53" s="473"/>
      <c r="H53" s="473"/>
      <c r="I53" s="473"/>
      <c r="J53" s="473"/>
      <c r="K53" s="473"/>
      <c r="L53" s="473"/>
      <c r="M53" s="474"/>
      <c r="N53" s="268" t="s">
        <v>188</v>
      </c>
      <c r="O53" s="261" t="s">
        <v>131</v>
      </c>
      <c r="P53" s="475" t="s">
        <v>115</v>
      </c>
      <c r="Q53" s="476"/>
      <c r="R53" s="475" t="s">
        <v>282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70" t="s">
        <v>120</v>
      </c>
      <c r="B54" s="471"/>
      <c r="C54" s="264" t="s">
        <v>214</v>
      </c>
      <c r="D54" s="264"/>
      <c r="E54" s="265" t="s">
        <v>266</v>
      </c>
      <c r="F54" s="472" t="s">
        <v>334</v>
      </c>
      <c r="G54" s="473"/>
      <c r="H54" s="473"/>
      <c r="I54" s="473"/>
      <c r="J54" s="473"/>
      <c r="K54" s="473"/>
      <c r="L54" s="473"/>
      <c r="M54" s="474"/>
      <c r="N54" s="268" t="s">
        <v>120</v>
      </c>
      <c r="O54" s="261" t="s">
        <v>205</v>
      </c>
      <c r="P54" s="475"/>
      <c r="Q54" s="476"/>
      <c r="R54" s="475" t="s">
        <v>241</v>
      </c>
      <c r="S54" s="477"/>
      <c r="T54" s="477"/>
      <c r="U54" s="476"/>
      <c r="V54" s="478" t="s">
        <v>124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70" t="s">
        <v>120</v>
      </c>
      <c r="B55" s="471"/>
      <c r="C55" s="264" t="s">
        <v>209</v>
      </c>
      <c r="D55" s="264"/>
      <c r="E55" s="265" t="s">
        <v>304</v>
      </c>
      <c r="F55" s="472" t="s">
        <v>124</v>
      </c>
      <c r="G55" s="473"/>
      <c r="H55" s="473"/>
      <c r="I55" s="473"/>
      <c r="J55" s="473"/>
      <c r="K55" s="473"/>
      <c r="L55" s="473"/>
      <c r="M55" s="474"/>
      <c r="N55" s="263" t="s">
        <v>120</v>
      </c>
      <c r="O55" s="228" t="s">
        <v>171</v>
      </c>
      <c r="P55" s="475"/>
      <c r="Q55" s="476"/>
      <c r="R55" s="475" t="s">
        <v>266</v>
      </c>
      <c r="S55" s="477"/>
      <c r="T55" s="477"/>
      <c r="U55" s="476"/>
      <c r="V55" s="478" t="s">
        <v>124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70" t="s">
        <v>188</v>
      </c>
      <c r="B56" s="471"/>
      <c r="C56" s="264" t="s">
        <v>205</v>
      </c>
      <c r="D56" s="264" t="s">
        <v>201</v>
      </c>
      <c r="E56" s="265" t="s">
        <v>331</v>
      </c>
      <c r="F56" s="472" t="s">
        <v>335</v>
      </c>
      <c r="G56" s="473"/>
      <c r="H56" s="473"/>
      <c r="I56" s="473"/>
      <c r="J56" s="473"/>
      <c r="K56" s="473"/>
      <c r="L56" s="473"/>
      <c r="M56" s="474"/>
      <c r="N56" s="268" t="s">
        <v>188</v>
      </c>
      <c r="O56" s="261" t="s">
        <v>268</v>
      </c>
      <c r="P56" s="475" t="s">
        <v>137</v>
      </c>
      <c r="Q56" s="476"/>
      <c r="R56" s="475" t="s">
        <v>338</v>
      </c>
      <c r="S56" s="477"/>
      <c r="T56" s="477"/>
      <c r="U56" s="476"/>
      <c r="V56" s="478" t="s">
        <v>187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70" t="s">
        <v>112</v>
      </c>
      <c r="B57" s="471"/>
      <c r="C57" s="264" t="s">
        <v>128</v>
      </c>
      <c r="D57" s="264" t="s">
        <v>325</v>
      </c>
      <c r="E57" s="265" t="s">
        <v>326</v>
      </c>
      <c r="F57" s="472" t="s">
        <v>187</v>
      </c>
      <c r="G57" s="473"/>
      <c r="H57" s="473"/>
      <c r="I57" s="473"/>
      <c r="J57" s="473"/>
      <c r="K57" s="473"/>
      <c r="L57" s="473"/>
      <c r="M57" s="474"/>
      <c r="N57" s="268" t="s">
        <v>188</v>
      </c>
      <c r="O57" s="261" t="s">
        <v>131</v>
      </c>
      <c r="P57" s="475" t="s">
        <v>225</v>
      </c>
      <c r="Q57" s="476"/>
      <c r="R57" s="475" t="s">
        <v>339</v>
      </c>
      <c r="S57" s="477"/>
      <c r="T57" s="477"/>
      <c r="U57" s="476"/>
      <c r="V57" s="478" t="s">
        <v>187</v>
      </c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118</v>
      </c>
      <c r="B58" s="481"/>
      <c r="C58" s="265" t="s">
        <v>147</v>
      </c>
      <c r="D58" s="265" t="s">
        <v>143</v>
      </c>
      <c r="E58" s="265" t="s">
        <v>309</v>
      </c>
      <c r="F58" s="472" t="s">
        <v>204</v>
      </c>
      <c r="G58" s="473"/>
      <c r="H58" s="473"/>
      <c r="I58" s="473"/>
      <c r="J58" s="473"/>
      <c r="K58" s="473"/>
      <c r="L58" s="473"/>
      <c r="M58" s="474"/>
      <c r="N58" s="268" t="s">
        <v>118</v>
      </c>
      <c r="O58" s="261" t="s">
        <v>147</v>
      </c>
      <c r="P58" s="475" t="s">
        <v>143</v>
      </c>
      <c r="Q58" s="476"/>
      <c r="R58" s="475" t="s">
        <v>309</v>
      </c>
      <c r="S58" s="477"/>
      <c r="T58" s="477"/>
      <c r="U58" s="476"/>
      <c r="V58" s="478" t="s">
        <v>124</v>
      </c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 t="s">
        <v>120</v>
      </c>
      <c r="B59" s="471"/>
      <c r="C59" s="264" t="s">
        <v>205</v>
      </c>
      <c r="D59" s="264"/>
      <c r="E59" s="265" t="s">
        <v>241</v>
      </c>
      <c r="F59" s="472" t="s">
        <v>336</v>
      </c>
      <c r="G59" s="473"/>
      <c r="H59" s="473"/>
      <c r="I59" s="473"/>
      <c r="J59" s="473"/>
      <c r="K59" s="473"/>
      <c r="L59" s="473"/>
      <c r="M59" s="474"/>
      <c r="N59" s="268"/>
      <c r="O59" s="261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80"/>
      <c r="B60" s="481"/>
      <c r="C60" s="265"/>
      <c r="D60" s="265"/>
      <c r="E60" s="265"/>
      <c r="F60" s="472"/>
      <c r="G60" s="473"/>
      <c r="H60" s="473"/>
      <c r="I60" s="473"/>
      <c r="J60" s="473"/>
      <c r="K60" s="473"/>
      <c r="L60" s="473"/>
      <c r="M60" s="474"/>
      <c r="N60" s="268"/>
      <c r="O60" s="261"/>
      <c r="P60" s="475"/>
      <c r="Q60" s="476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/>
      <c r="B61" s="471"/>
      <c r="C61" s="264"/>
      <c r="D61" s="264"/>
      <c r="E61" s="265"/>
      <c r="F61" s="472"/>
      <c r="G61" s="473"/>
      <c r="H61" s="473"/>
      <c r="I61" s="473"/>
      <c r="J61" s="473"/>
      <c r="K61" s="473"/>
      <c r="L61" s="473"/>
      <c r="M61" s="474"/>
      <c r="N61" s="268"/>
      <c r="O61" s="261"/>
      <c r="P61" s="481"/>
      <c r="Q61" s="481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  <c r="AF61" s="84">
        <f>8*3000</f>
        <v>24000</v>
      </c>
    </row>
    <row r="62" spans="1:32" ht="27" customHeight="1" thickBot="1">
      <c r="A62" s="482"/>
      <c r="B62" s="483"/>
      <c r="C62" s="266"/>
      <c r="D62" s="267"/>
      <c r="E62" s="266"/>
      <c r="F62" s="484"/>
      <c r="G62" s="485"/>
      <c r="H62" s="485"/>
      <c r="I62" s="485"/>
      <c r="J62" s="485"/>
      <c r="K62" s="485"/>
      <c r="L62" s="485"/>
      <c r="M62" s="486"/>
      <c r="N62" s="111"/>
      <c r="O62" s="103"/>
      <c r="P62" s="487"/>
      <c r="Q62" s="487"/>
      <c r="R62" s="487"/>
      <c r="S62" s="487"/>
      <c r="T62" s="487"/>
      <c r="U62" s="487"/>
      <c r="V62" s="488"/>
      <c r="W62" s="488"/>
      <c r="X62" s="488"/>
      <c r="Y62" s="488"/>
      <c r="Z62" s="488"/>
      <c r="AA62" s="488"/>
      <c r="AB62" s="488"/>
      <c r="AC62" s="488"/>
      <c r="AD62" s="489"/>
      <c r="AF62" s="84">
        <f>16*3000</f>
        <v>48000</v>
      </c>
    </row>
    <row r="63" spans="1:32" ht="27.75" thickBot="1">
      <c r="A63" s="490" t="s">
        <v>340</v>
      </c>
      <c r="B63" s="490"/>
      <c r="C63" s="490"/>
      <c r="D63" s="490"/>
      <c r="E63" s="49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1" t="s">
        <v>111</v>
      </c>
      <c r="B64" s="492"/>
      <c r="C64" s="262" t="s">
        <v>2</v>
      </c>
      <c r="D64" s="262" t="s">
        <v>37</v>
      </c>
      <c r="E64" s="262" t="s">
        <v>3</v>
      </c>
      <c r="F64" s="492" t="s">
        <v>109</v>
      </c>
      <c r="G64" s="492"/>
      <c r="H64" s="492"/>
      <c r="I64" s="492"/>
      <c r="J64" s="492"/>
      <c r="K64" s="492" t="s">
        <v>39</v>
      </c>
      <c r="L64" s="492"/>
      <c r="M64" s="262" t="s">
        <v>40</v>
      </c>
      <c r="N64" s="492" t="s">
        <v>41</v>
      </c>
      <c r="O64" s="492"/>
      <c r="P64" s="493" t="s">
        <v>42</v>
      </c>
      <c r="Q64" s="494"/>
      <c r="R64" s="493" t="s">
        <v>43</v>
      </c>
      <c r="S64" s="495"/>
      <c r="T64" s="495"/>
      <c r="U64" s="495"/>
      <c r="V64" s="495"/>
      <c r="W64" s="495"/>
      <c r="X64" s="495"/>
      <c r="Y64" s="495"/>
      <c r="Z64" s="495"/>
      <c r="AA64" s="494"/>
      <c r="AB64" s="492" t="s">
        <v>44</v>
      </c>
      <c r="AC64" s="492"/>
      <c r="AD64" s="496"/>
      <c r="AF64" s="84">
        <f>SUM(AF61:AF63)</f>
        <v>96000</v>
      </c>
    </row>
    <row r="65" spans="1:32" ht="25.5" customHeight="1">
      <c r="A65" s="497">
        <v>1</v>
      </c>
      <c r="B65" s="498"/>
      <c r="C65" s="104"/>
      <c r="D65" s="257"/>
      <c r="E65" s="260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2</v>
      </c>
      <c r="B66" s="498"/>
      <c r="C66" s="104"/>
      <c r="D66" s="257"/>
      <c r="E66" s="260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3</v>
      </c>
      <c r="B67" s="498"/>
      <c r="C67" s="104"/>
      <c r="D67" s="257"/>
      <c r="E67" s="260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4</v>
      </c>
      <c r="B68" s="498"/>
      <c r="C68" s="104"/>
      <c r="D68" s="257"/>
      <c r="E68" s="260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5</v>
      </c>
      <c r="B69" s="498"/>
      <c r="C69" s="104"/>
      <c r="D69" s="257"/>
      <c r="E69" s="260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6</v>
      </c>
      <c r="B70" s="498"/>
      <c r="C70" s="104"/>
      <c r="D70" s="257"/>
      <c r="E70" s="260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7</v>
      </c>
      <c r="B71" s="498"/>
      <c r="C71" s="104"/>
      <c r="D71" s="257"/>
      <c r="E71" s="260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8</v>
      </c>
      <c r="B72" s="498"/>
      <c r="C72" s="104"/>
      <c r="D72" s="257"/>
      <c r="E72" s="260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9</v>
      </c>
      <c r="B73" s="498"/>
      <c r="C73" s="104"/>
      <c r="D73" s="257"/>
      <c r="E73" s="260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10</v>
      </c>
      <c r="B74" s="498"/>
      <c r="C74" s="104"/>
      <c r="D74" s="257"/>
      <c r="E74" s="260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6.25" customHeight="1" thickBot="1">
      <c r="A75" s="507" t="s">
        <v>341</v>
      </c>
      <c r="B75" s="507"/>
      <c r="C75" s="507"/>
      <c r="D75" s="507"/>
      <c r="E75" s="50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8" t="s">
        <v>127</v>
      </c>
      <c r="B76" s="509"/>
      <c r="C76" s="259" t="s">
        <v>2</v>
      </c>
      <c r="D76" s="259" t="s">
        <v>37</v>
      </c>
      <c r="E76" s="259" t="s">
        <v>126</v>
      </c>
      <c r="F76" s="509" t="s">
        <v>38</v>
      </c>
      <c r="G76" s="509"/>
      <c r="H76" s="509"/>
      <c r="I76" s="509"/>
      <c r="J76" s="509"/>
      <c r="K76" s="510" t="s">
        <v>58</v>
      </c>
      <c r="L76" s="511"/>
      <c r="M76" s="511"/>
      <c r="N76" s="511"/>
      <c r="O76" s="511"/>
      <c r="P76" s="511"/>
      <c r="Q76" s="511"/>
      <c r="R76" s="511"/>
      <c r="S76" s="512"/>
      <c r="T76" s="509" t="s">
        <v>49</v>
      </c>
      <c r="U76" s="509"/>
      <c r="V76" s="510" t="s">
        <v>50</v>
      </c>
      <c r="W76" s="512"/>
      <c r="X76" s="511" t="s">
        <v>51</v>
      </c>
      <c r="Y76" s="511"/>
      <c r="Z76" s="511"/>
      <c r="AA76" s="511"/>
      <c r="AB76" s="511"/>
      <c r="AC76" s="511"/>
      <c r="AD76" s="513"/>
      <c r="AF76" s="50"/>
    </row>
    <row r="77" spans="1:32" ht="33.75" customHeight="1">
      <c r="A77" s="522">
        <v>1</v>
      </c>
      <c r="B77" s="523"/>
      <c r="C77" s="258" t="s">
        <v>112</v>
      </c>
      <c r="D77" s="258"/>
      <c r="E77" s="65" t="s">
        <v>117</v>
      </c>
      <c r="F77" s="524" t="s">
        <v>116</v>
      </c>
      <c r="G77" s="525"/>
      <c r="H77" s="525"/>
      <c r="I77" s="525"/>
      <c r="J77" s="526"/>
      <c r="K77" s="527" t="s">
        <v>119</v>
      </c>
      <c r="L77" s="528"/>
      <c r="M77" s="528"/>
      <c r="N77" s="528"/>
      <c r="O77" s="528"/>
      <c r="P77" s="528"/>
      <c r="Q77" s="528"/>
      <c r="R77" s="528"/>
      <c r="S77" s="529"/>
      <c r="T77" s="530">
        <v>44118</v>
      </c>
      <c r="U77" s="531"/>
      <c r="V77" s="532"/>
      <c r="W77" s="532"/>
      <c r="X77" s="533"/>
      <c r="Y77" s="533"/>
      <c r="Z77" s="533"/>
      <c r="AA77" s="533"/>
      <c r="AB77" s="533"/>
      <c r="AC77" s="533"/>
      <c r="AD77" s="534"/>
      <c r="AF77" s="50"/>
    </row>
    <row r="78" spans="1:32" ht="30" customHeight="1">
      <c r="A78" s="514">
        <f>A77+1</f>
        <v>2</v>
      </c>
      <c r="B78" s="515"/>
      <c r="C78" s="257"/>
      <c r="D78" s="257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ref="A79:A83" si="19">A78+1</f>
        <v>3</v>
      </c>
      <c r="B79" s="515"/>
      <c r="C79" s="257"/>
      <c r="D79" s="257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9"/>
        <v>4</v>
      </c>
      <c r="B80" s="515"/>
      <c r="C80" s="257"/>
      <c r="D80" s="257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9"/>
        <v>5</v>
      </c>
      <c r="B81" s="515"/>
      <c r="C81" s="257"/>
      <c r="D81" s="257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6</v>
      </c>
      <c r="B82" s="515"/>
      <c r="C82" s="257"/>
      <c r="D82" s="257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7</v>
      </c>
      <c r="B83" s="515"/>
      <c r="C83" s="257"/>
      <c r="D83" s="257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6" thickBot="1">
      <c r="A84" s="507" t="s">
        <v>342</v>
      </c>
      <c r="B84" s="507"/>
      <c r="C84" s="507"/>
      <c r="D84" s="507"/>
      <c r="E84" s="50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8" t="s">
        <v>111</v>
      </c>
      <c r="B85" s="509"/>
      <c r="C85" s="535" t="s">
        <v>52</v>
      </c>
      <c r="D85" s="535"/>
      <c r="E85" s="535" t="s">
        <v>53</v>
      </c>
      <c r="F85" s="535"/>
      <c r="G85" s="535"/>
      <c r="H85" s="535"/>
      <c r="I85" s="535"/>
      <c r="J85" s="535"/>
      <c r="K85" s="535" t="s">
        <v>54</v>
      </c>
      <c r="L85" s="535"/>
      <c r="M85" s="535"/>
      <c r="N85" s="535"/>
      <c r="O85" s="535"/>
      <c r="P85" s="535"/>
      <c r="Q85" s="535"/>
      <c r="R85" s="535"/>
      <c r="S85" s="535"/>
      <c r="T85" s="535" t="s">
        <v>55</v>
      </c>
      <c r="U85" s="535"/>
      <c r="V85" s="535" t="s">
        <v>56</v>
      </c>
      <c r="W85" s="535"/>
      <c r="X85" s="535"/>
      <c r="Y85" s="535" t="s">
        <v>51</v>
      </c>
      <c r="Z85" s="535"/>
      <c r="AA85" s="535"/>
      <c r="AB85" s="535"/>
      <c r="AC85" s="535"/>
      <c r="AD85" s="536"/>
      <c r="AF85" s="50"/>
    </row>
    <row r="86" spans="1:32" ht="30.75" customHeight="1">
      <c r="A86" s="522">
        <v>1</v>
      </c>
      <c r="B86" s="523"/>
      <c r="C86" s="537"/>
      <c r="D86" s="537"/>
      <c r="E86" s="537"/>
      <c r="F86" s="537"/>
      <c r="G86" s="537"/>
      <c r="H86" s="537"/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7"/>
      <c r="V86" s="538"/>
      <c r="W86" s="538"/>
      <c r="X86" s="538"/>
      <c r="Y86" s="539"/>
      <c r="Z86" s="539"/>
      <c r="AA86" s="539"/>
      <c r="AB86" s="539"/>
      <c r="AC86" s="539"/>
      <c r="AD86" s="540"/>
      <c r="AF86" s="50"/>
    </row>
    <row r="87" spans="1:32" ht="30.75" customHeight="1">
      <c r="A87" s="514">
        <v>2</v>
      </c>
      <c r="B87" s="51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9"/>
      <c r="U87" s="549"/>
      <c r="V87" s="550"/>
      <c r="W87" s="550"/>
      <c r="X87" s="550"/>
      <c r="Y87" s="541"/>
      <c r="Z87" s="541"/>
      <c r="AA87" s="541"/>
      <c r="AB87" s="541"/>
      <c r="AC87" s="541"/>
      <c r="AD87" s="542"/>
      <c r="AF87" s="50"/>
    </row>
    <row r="88" spans="1:32" ht="30.75" customHeight="1" thickBot="1">
      <c r="A88" s="543">
        <v>3</v>
      </c>
      <c r="B88" s="544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6"/>
      <c r="Z88" s="546"/>
      <c r="AA88" s="546"/>
      <c r="AB88" s="546"/>
      <c r="AC88" s="546"/>
      <c r="AD88" s="547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ACBC-915B-4A05-9201-448FF0DE6844}">
  <dimension ref="A1:AF89"/>
  <sheetViews>
    <sheetView view="pageBreakPreview" topLeftCell="A70" zoomScale="70" zoomScaleNormal="72" zoomScaleSheetLayoutView="70" workbookViewId="0">
      <selection activeCell="A86" sqref="A86:B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343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271" t="s">
        <v>17</v>
      </c>
      <c r="L5" s="271" t="s">
        <v>18</v>
      </c>
      <c r="M5" s="271" t="s">
        <v>19</v>
      </c>
      <c r="N5" s="27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3401</v>
      </c>
      <c r="K6" s="15">
        <f>L6+3192+3401</f>
        <v>6593</v>
      </c>
      <c r="L6" s="15"/>
      <c r="M6" s="15">
        <f t="shared" ref="M6:M23" si="0">L6-N6</f>
        <v>0</v>
      </c>
      <c r="N6" s="15">
        <v>0</v>
      </c>
      <c r="O6" s="58" t="str">
        <f t="shared" ref="O6:O24" si="1">IF(L6=0,"0",N6/L6)</f>
        <v>0</v>
      </c>
      <c r="P6" s="39" t="str">
        <f t="shared" ref="P6:P23" si="2">IF(L6=0,"0",(24-Q6))</f>
        <v>0</v>
      </c>
      <c r="Q6" s="40">
        <f t="shared" ref="Q6:Q23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3" si="4">IF(J6=0,"0",(L6/J6))</f>
        <v>0</v>
      </c>
      <c r="AC6" s="9">
        <f t="shared" ref="AC6:AC23" si="5">IF(P6=0,"0",(P6/24))</f>
        <v>0</v>
      </c>
      <c r="AD6" s="10">
        <f t="shared" ref="AD6:AD23" si="6">AC6*AB6*(1-O6)</f>
        <v>0</v>
      </c>
      <c r="AE6" s="36">
        <f t="shared" ref="AE6:AE23" si="7">$AD$24</f>
        <v>0.61574074074074081</v>
      </c>
      <c r="AF6" s="84">
        <f t="shared" ref="AF6:AF23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97000</v>
      </c>
      <c r="J7" s="14">
        <v>2432</v>
      </c>
      <c r="K7" s="15">
        <f>L7+6460+12678+11794+8804+3078</f>
        <v>45246</v>
      </c>
      <c r="L7" s="15">
        <f>2007+425</f>
        <v>2432</v>
      </c>
      <c r="M7" s="15">
        <f t="shared" si="0"/>
        <v>2432</v>
      </c>
      <c r="N7" s="15">
        <v>0</v>
      </c>
      <c r="O7" s="58">
        <f t="shared" si="1"/>
        <v>0</v>
      </c>
      <c r="P7" s="39">
        <f t="shared" si="2"/>
        <v>12</v>
      </c>
      <c r="Q7" s="40">
        <f t="shared" si="3"/>
        <v>12</v>
      </c>
      <c r="R7" s="7"/>
      <c r="S7" s="6">
        <v>12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0.5</v>
      </c>
      <c r="AD7" s="10">
        <f t="shared" si="6"/>
        <v>0.5</v>
      </c>
      <c r="AE7" s="36">
        <f t="shared" si="7"/>
        <v>0.61574074074074081</v>
      </c>
      <c r="AF7" s="84">
        <f t="shared" si="8"/>
        <v>2</v>
      </c>
    </row>
    <row r="8" spans="1:32" ht="27" customHeight="1">
      <c r="A8" s="112">
        <v>2</v>
      </c>
      <c r="B8" s="11" t="s">
        <v>57</v>
      </c>
      <c r="C8" s="34" t="s">
        <v>188</v>
      </c>
      <c r="D8" s="52" t="s">
        <v>201</v>
      </c>
      <c r="E8" s="53" t="s">
        <v>331</v>
      </c>
      <c r="F8" s="12">
        <v>8301</v>
      </c>
      <c r="G8" s="12">
        <v>1</v>
      </c>
      <c r="H8" s="13">
        <v>24</v>
      </c>
      <c r="I8" s="31">
        <v>2000</v>
      </c>
      <c r="J8" s="14">
        <v>801</v>
      </c>
      <c r="K8" s="15">
        <f>L8+2534</f>
        <v>3335</v>
      </c>
      <c r="L8" s="15">
        <v>801</v>
      </c>
      <c r="M8" s="15">
        <f t="shared" si="0"/>
        <v>801</v>
      </c>
      <c r="N8" s="15">
        <v>0</v>
      </c>
      <c r="O8" s="58">
        <f t="shared" si="1"/>
        <v>0</v>
      </c>
      <c r="P8" s="39">
        <f t="shared" si="2"/>
        <v>5</v>
      </c>
      <c r="Q8" s="40">
        <f t="shared" si="3"/>
        <v>19</v>
      </c>
      <c r="R8" s="7"/>
      <c r="S8" s="6"/>
      <c r="T8" s="16"/>
      <c r="U8" s="16"/>
      <c r="V8" s="17"/>
      <c r="W8" s="5">
        <v>19</v>
      </c>
      <c r="X8" s="16"/>
      <c r="Y8" s="16"/>
      <c r="Z8" s="16"/>
      <c r="AA8" s="18"/>
      <c r="AB8" s="8">
        <f t="shared" si="4"/>
        <v>1</v>
      </c>
      <c r="AC8" s="9">
        <f t="shared" si="5"/>
        <v>0.20833333333333334</v>
      </c>
      <c r="AD8" s="10">
        <f t="shared" si="6"/>
        <v>0.20833333333333334</v>
      </c>
      <c r="AE8" s="36">
        <f t="shared" si="7"/>
        <v>0.61574074074074081</v>
      </c>
      <c r="AF8" s="84">
        <f t="shared" si="8"/>
        <v>2</v>
      </c>
    </row>
    <row r="9" spans="1:32" ht="27" customHeight="1">
      <c r="A9" s="96">
        <v>3</v>
      </c>
      <c r="B9" s="11" t="s">
        <v>57</v>
      </c>
      <c r="C9" s="34" t="s">
        <v>188</v>
      </c>
      <c r="D9" s="52" t="s">
        <v>115</v>
      </c>
      <c r="E9" s="53" t="s">
        <v>289</v>
      </c>
      <c r="F9" s="30" t="s">
        <v>130</v>
      </c>
      <c r="G9" s="33">
        <v>1</v>
      </c>
      <c r="H9" s="35">
        <v>24</v>
      </c>
      <c r="I9" s="7">
        <v>10600</v>
      </c>
      <c r="J9" s="5">
        <v>1139</v>
      </c>
      <c r="K9" s="15">
        <f>L9+584+3307+3315+3548</f>
        <v>11893</v>
      </c>
      <c r="L9" s="15">
        <v>1139</v>
      </c>
      <c r="M9" s="15">
        <f t="shared" si="0"/>
        <v>1139</v>
      </c>
      <c r="N9" s="15">
        <v>0</v>
      </c>
      <c r="O9" s="58">
        <f t="shared" si="1"/>
        <v>0</v>
      </c>
      <c r="P9" s="39">
        <f t="shared" si="2"/>
        <v>6</v>
      </c>
      <c r="Q9" s="40">
        <f t="shared" si="3"/>
        <v>18</v>
      </c>
      <c r="R9" s="7"/>
      <c r="S9" s="6"/>
      <c r="T9" s="16"/>
      <c r="U9" s="16"/>
      <c r="V9" s="17"/>
      <c r="W9" s="5">
        <v>18</v>
      </c>
      <c r="X9" s="16"/>
      <c r="Y9" s="16"/>
      <c r="Z9" s="16"/>
      <c r="AA9" s="18"/>
      <c r="AB9" s="8">
        <f t="shared" si="4"/>
        <v>1</v>
      </c>
      <c r="AC9" s="9">
        <f t="shared" si="5"/>
        <v>0.25</v>
      </c>
      <c r="AD9" s="10">
        <f t="shared" si="6"/>
        <v>0.25</v>
      </c>
      <c r="AE9" s="36">
        <f t="shared" si="7"/>
        <v>0.61574074074074081</v>
      </c>
      <c r="AF9" s="84">
        <f t="shared" si="8"/>
        <v>3</v>
      </c>
    </row>
    <row r="10" spans="1:32" ht="27" customHeight="1">
      <c r="A10" s="96">
        <v>3</v>
      </c>
      <c r="B10" s="11" t="s">
        <v>57</v>
      </c>
      <c r="C10" s="34" t="s">
        <v>188</v>
      </c>
      <c r="D10" s="52" t="s">
        <v>225</v>
      </c>
      <c r="E10" s="53" t="s">
        <v>344</v>
      </c>
      <c r="F10" s="30" t="s">
        <v>130</v>
      </c>
      <c r="G10" s="33">
        <v>1</v>
      </c>
      <c r="H10" s="35">
        <v>24</v>
      </c>
      <c r="I10" s="7">
        <v>10600</v>
      </c>
      <c r="J10" s="5">
        <v>4155</v>
      </c>
      <c r="K10" s="15">
        <f>L10</f>
        <v>4155</v>
      </c>
      <c r="L10" s="15">
        <f>3185+970</f>
        <v>4155</v>
      </c>
      <c r="M10" s="15">
        <f t="shared" ref="M10" si="9">L10-N10</f>
        <v>4155</v>
      </c>
      <c r="N10" s="15">
        <v>0</v>
      </c>
      <c r="O10" s="58">
        <f t="shared" ref="O10" si="10">IF(L10=0,"0",N10/L10)</f>
        <v>0</v>
      </c>
      <c r="P10" s="39">
        <f t="shared" ref="P10" si="11">IF(L10=0,"0",(24-Q10))</f>
        <v>17</v>
      </c>
      <c r="Q10" s="40">
        <f t="shared" ref="Q10" si="12">SUM(R10:AA10)</f>
        <v>7</v>
      </c>
      <c r="R10" s="7"/>
      <c r="S10" s="6"/>
      <c r="T10" s="16">
        <v>7</v>
      </c>
      <c r="U10" s="16"/>
      <c r="V10" s="17"/>
      <c r="W10" s="5"/>
      <c r="X10" s="16"/>
      <c r="Y10" s="16"/>
      <c r="Z10" s="16"/>
      <c r="AA10" s="18"/>
      <c r="AB10" s="8">
        <f t="shared" ref="AB10" si="13">IF(J10=0,"0",(L10/J10))</f>
        <v>1</v>
      </c>
      <c r="AC10" s="9">
        <f t="shared" ref="AC10" si="14">IF(P10=0,"0",(P10/24))</f>
        <v>0.70833333333333337</v>
      </c>
      <c r="AD10" s="10">
        <f t="shared" ref="AD10" si="15">AC10*AB10*(1-O10)</f>
        <v>0.70833333333333337</v>
      </c>
      <c r="AE10" s="36">
        <f t="shared" si="7"/>
        <v>0.61574074074074081</v>
      </c>
      <c r="AF10" s="84">
        <f t="shared" ref="AF10" si="16">A10</f>
        <v>3</v>
      </c>
    </row>
    <row r="11" spans="1:32" ht="27" customHeight="1">
      <c r="A11" s="96">
        <v>4</v>
      </c>
      <c r="B11" s="11" t="s">
        <v>57</v>
      </c>
      <c r="C11" s="34" t="s">
        <v>118</v>
      </c>
      <c r="D11" s="52" t="s">
        <v>140</v>
      </c>
      <c r="E11" s="53" t="s">
        <v>138</v>
      </c>
      <c r="F11" s="30" t="s">
        <v>135</v>
      </c>
      <c r="G11" s="12">
        <v>1</v>
      </c>
      <c r="H11" s="13">
        <v>24</v>
      </c>
      <c r="I11" s="7">
        <v>65000</v>
      </c>
      <c r="J11" s="14">
        <v>1793</v>
      </c>
      <c r="K11" s="15">
        <f>L11+1344+2695+2818+1363+3398+4807+5146+5399+5363+4916+4752+2389+5076+5367+4162+3442+4709+5270+3351+4112+5541</f>
        <v>87213</v>
      </c>
      <c r="L11" s="15">
        <f>1162+631</f>
        <v>1793</v>
      </c>
      <c r="M11" s="15">
        <f t="shared" si="0"/>
        <v>1793</v>
      </c>
      <c r="N11" s="15">
        <v>0</v>
      </c>
      <c r="O11" s="58">
        <f t="shared" si="1"/>
        <v>0</v>
      </c>
      <c r="P11" s="39">
        <f t="shared" si="2"/>
        <v>9</v>
      </c>
      <c r="Q11" s="40">
        <f t="shared" si="3"/>
        <v>15</v>
      </c>
      <c r="R11" s="7"/>
      <c r="S11" s="6">
        <v>15</v>
      </c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0.375</v>
      </c>
      <c r="AD11" s="10">
        <f t="shared" si="6"/>
        <v>0.375</v>
      </c>
      <c r="AE11" s="36">
        <f t="shared" si="7"/>
        <v>0.61574074074074081</v>
      </c>
      <c r="AF11" s="84">
        <f t="shared" si="8"/>
        <v>4</v>
      </c>
    </row>
    <row r="12" spans="1:32" ht="27" customHeight="1">
      <c r="A12" s="96">
        <v>5</v>
      </c>
      <c r="B12" s="11" t="s">
        <v>57</v>
      </c>
      <c r="C12" s="11" t="s">
        <v>120</v>
      </c>
      <c r="D12" s="52"/>
      <c r="E12" s="53" t="s">
        <v>242</v>
      </c>
      <c r="F12" s="30" t="s">
        <v>197</v>
      </c>
      <c r="G12" s="33">
        <v>1</v>
      </c>
      <c r="H12" s="35">
        <v>24</v>
      </c>
      <c r="I12" s="7">
        <v>97000</v>
      </c>
      <c r="J12" s="14">
        <v>7664</v>
      </c>
      <c r="K12" s="15">
        <f>L12+11152+11550+4936+5746+3850</f>
        <v>44898</v>
      </c>
      <c r="L12" s="15">
        <f>2760*2+1072*2</f>
        <v>7664</v>
      </c>
      <c r="M12" s="15">
        <f t="shared" si="0"/>
        <v>7664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0.75</v>
      </c>
      <c r="AD12" s="10">
        <f t="shared" si="6"/>
        <v>0.75</v>
      </c>
      <c r="AE12" s="36">
        <f t="shared" si="7"/>
        <v>0.61574074074074081</v>
      </c>
      <c r="AF12" s="84">
        <f t="shared" si="8"/>
        <v>5</v>
      </c>
    </row>
    <row r="13" spans="1:32" ht="27" customHeight="1">
      <c r="A13" s="96">
        <v>6</v>
      </c>
      <c r="B13" s="11" t="s">
        <v>57</v>
      </c>
      <c r="C13" s="11" t="s">
        <v>120</v>
      </c>
      <c r="D13" s="52"/>
      <c r="E13" s="53" t="s">
        <v>312</v>
      </c>
      <c r="F13" s="30" t="s">
        <v>130</v>
      </c>
      <c r="G13" s="33">
        <v>1</v>
      </c>
      <c r="H13" s="35">
        <v>24</v>
      </c>
      <c r="I13" s="7">
        <v>13000</v>
      </c>
      <c r="J13" s="14">
        <v>5369</v>
      </c>
      <c r="K13" s="15">
        <f>L13+5102+5929</f>
        <v>16400</v>
      </c>
      <c r="L13" s="15">
        <f>2367+3002</f>
        <v>5369</v>
      </c>
      <c r="M13" s="15">
        <f t="shared" si="0"/>
        <v>5369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0.61574074074074081</v>
      </c>
      <c r="AF13" s="84">
        <f t="shared" si="8"/>
        <v>6</v>
      </c>
    </row>
    <row r="14" spans="1:32" ht="27" customHeight="1">
      <c r="A14" s="96">
        <v>7</v>
      </c>
      <c r="B14" s="11" t="s">
        <v>57</v>
      </c>
      <c r="C14" s="34" t="s">
        <v>118</v>
      </c>
      <c r="D14" s="52" t="s">
        <v>115</v>
      </c>
      <c r="E14" s="53" t="s">
        <v>294</v>
      </c>
      <c r="F14" s="30" t="s">
        <v>302</v>
      </c>
      <c r="G14" s="12">
        <v>1</v>
      </c>
      <c r="H14" s="13">
        <v>22</v>
      </c>
      <c r="I14" s="31">
        <v>70000</v>
      </c>
      <c r="J14" s="5">
        <v>5567</v>
      </c>
      <c r="K14" s="15">
        <f>L14+4597+5041+5597</f>
        <v>20802</v>
      </c>
      <c r="L14" s="15">
        <f>2777+2790</f>
        <v>5567</v>
      </c>
      <c r="M14" s="15">
        <f t="shared" si="0"/>
        <v>5567</v>
      </c>
      <c r="N14" s="15">
        <v>0</v>
      </c>
      <c r="O14" s="58">
        <f t="shared" si="1"/>
        <v>0</v>
      </c>
      <c r="P14" s="39">
        <f t="shared" si="2"/>
        <v>24</v>
      </c>
      <c r="Q14" s="40">
        <f t="shared" si="3"/>
        <v>0</v>
      </c>
      <c r="R14" s="7"/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1</v>
      </c>
      <c r="AD14" s="10">
        <f t="shared" si="6"/>
        <v>1</v>
      </c>
      <c r="AE14" s="36">
        <f t="shared" si="7"/>
        <v>0.61574074074074081</v>
      </c>
      <c r="AF14" s="84">
        <f t="shared" si="8"/>
        <v>7</v>
      </c>
    </row>
    <row r="15" spans="1:32" ht="27" customHeight="1">
      <c r="A15" s="96">
        <v>8</v>
      </c>
      <c r="B15" s="11" t="s">
        <v>57</v>
      </c>
      <c r="C15" s="11" t="s">
        <v>112</v>
      </c>
      <c r="D15" s="52" t="s">
        <v>325</v>
      </c>
      <c r="E15" s="53" t="s">
        <v>326</v>
      </c>
      <c r="F15" s="30" t="s">
        <v>332</v>
      </c>
      <c r="G15" s="33">
        <v>1</v>
      </c>
      <c r="H15" s="35">
        <v>24</v>
      </c>
      <c r="I15" s="7">
        <v>1600</v>
      </c>
      <c r="J15" s="14">
        <v>5208</v>
      </c>
      <c r="K15" s="15">
        <f>L15+5208</f>
        <v>5208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0.61574074074074081</v>
      </c>
      <c r="AF15" s="84">
        <f t="shared" si="8"/>
        <v>8</v>
      </c>
    </row>
    <row r="16" spans="1:32" ht="27" customHeight="1">
      <c r="A16" s="105">
        <v>9</v>
      </c>
      <c r="B16" s="11" t="s">
        <v>57</v>
      </c>
      <c r="C16" s="34" t="s">
        <v>112</v>
      </c>
      <c r="D16" s="52" t="s">
        <v>115</v>
      </c>
      <c r="E16" s="53" t="s">
        <v>319</v>
      </c>
      <c r="F16" s="30" t="s">
        <v>142</v>
      </c>
      <c r="G16" s="33">
        <v>1</v>
      </c>
      <c r="H16" s="35">
        <v>50</v>
      </c>
      <c r="I16" s="7">
        <v>300</v>
      </c>
      <c r="J16" s="5">
        <v>342</v>
      </c>
      <c r="K16" s="15">
        <f>L16+342</f>
        <v>342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0.61574074074074081</v>
      </c>
      <c r="AF16" s="84">
        <f t="shared" si="8"/>
        <v>9</v>
      </c>
    </row>
    <row r="17" spans="1:32" ht="27" customHeight="1">
      <c r="A17" s="95">
        <v>10</v>
      </c>
      <c r="B17" s="11" t="s">
        <v>57</v>
      </c>
      <c r="C17" s="34" t="s">
        <v>188</v>
      </c>
      <c r="D17" s="52" t="s">
        <v>137</v>
      </c>
      <c r="E17" s="53" t="s">
        <v>338</v>
      </c>
      <c r="F17" s="12" t="s">
        <v>144</v>
      </c>
      <c r="G17" s="12">
        <v>2</v>
      </c>
      <c r="H17" s="13">
        <v>24</v>
      </c>
      <c r="I17" s="31">
        <v>27200</v>
      </c>
      <c r="J17" s="14">
        <v>6538</v>
      </c>
      <c r="K17" s="15">
        <f>L17</f>
        <v>6538</v>
      </c>
      <c r="L17" s="15">
        <f>3269*2</f>
        <v>6538</v>
      </c>
      <c r="M17" s="15">
        <f t="shared" si="0"/>
        <v>6538</v>
      </c>
      <c r="N17" s="15">
        <v>0</v>
      </c>
      <c r="O17" s="58">
        <f t="shared" si="1"/>
        <v>0</v>
      </c>
      <c r="P17" s="39">
        <f t="shared" si="2"/>
        <v>14</v>
      </c>
      <c r="Q17" s="40">
        <f t="shared" si="3"/>
        <v>10</v>
      </c>
      <c r="R17" s="7"/>
      <c r="S17" s="6">
        <v>10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0.58333333333333337</v>
      </c>
      <c r="AD17" s="10">
        <f t="shared" si="6"/>
        <v>0.58333333333333337</v>
      </c>
      <c r="AE17" s="36">
        <f t="shared" si="7"/>
        <v>0.61574074074074081</v>
      </c>
      <c r="AF17" s="84">
        <f t="shared" si="8"/>
        <v>10</v>
      </c>
    </row>
    <row r="18" spans="1:32" ht="30" customHeight="1">
      <c r="A18" s="112">
        <v>11</v>
      </c>
      <c r="B18" s="11" t="s">
        <v>57</v>
      </c>
      <c r="C18" s="34" t="s">
        <v>118</v>
      </c>
      <c r="D18" s="52" t="s">
        <v>219</v>
      </c>
      <c r="E18" s="53" t="s">
        <v>220</v>
      </c>
      <c r="F18" s="30" t="s">
        <v>133</v>
      </c>
      <c r="G18" s="12">
        <v>1</v>
      </c>
      <c r="H18" s="13">
        <v>24</v>
      </c>
      <c r="I18" s="7">
        <v>95000</v>
      </c>
      <c r="J18" s="14">
        <v>5835</v>
      </c>
      <c r="K18" s="15">
        <f>L18+4303+5850+5280+5606+5547+5173+5805</f>
        <v>43399</v>
      </c>
      <c r="L18" s="15">
        <f>2915+2920</f>
        <v>5835</v>
      </c>
      <c r="M18" s="15">
        <f t="shared" si="0"/>
        <v>5835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0.61574074074074081</v>
      </c>
      <c r="AF18" s="84">
        <f t="shared" si="8"/>
        <v>11</v>
      </c>
    </row>
    <row r="19" spans="1:32" ht="30" customHeight="1">
      <c r="A19" s="95">
        <v>12</v>
      </c>
      <c r="B19" s="11" t="s">
        <v>57</v>
      </c>
      <c r="C19" s="34" t="s">
        <v>188</v>
      </c>
      <c r="D19" s="52" t="s">
        <v>296</v>
      </c>
      <c r="E19" s="53" t="s">
        <v>295</v>
      </c>
      <c r="F19" s="30" t="s">
        <v>303</v>
      </c>
      <c r="G19" s="12">
        <v>5</v>
      </c>
      <c r="H19" s="13">
        <v>24</v>
      </c>
      <c r="I19" s="7">
        <v>200000</v>
      </c>
      <c r="J19" s="14">
        <v>38775</v>
      </c>
      <c r="K19" s="15">
        <f>L19+33015+35895+37090</f>
        <v>144775</v>
      </c>
      <c r="L19" s="15">
        <f>3869*5+3886*5</f>
        <v>38775</v>
      </c>
      <c r="M19" s="15">
        <f t="shared" si="0"/>
        <v>38775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0.61574074074074081</v>
      </c>
      <c r="AF19" s="84">
        <f t="shared" si="8"/>
        <v>12</v>
      </c>
    </row>
    <row r="20" spans="1:32" ht="27" customHeight="1">
      <c r="A20" s="96">
        <v>13</v>
      </c>
      <c r="B20" s="11" t="s">
        <v>57</v>
      </c>
      <c r="C20" s="11" t="s">
        <v>120</v>
      </c>
      <c r="D20" s="52"/>
      <c r="E20" s="53" t="s">
        <v>266</v>
      </c>
      <c r="F20" s="30" t="s">
        <v>276</v>
      </c>
      <c r="G20" s="33">
        <v>2</v>
      </c>
      <c r="H20" s="35">
        <v>24</v>
      </c>
      <c r="I20" s="7">
        <v>46500</v>
      </c>
      <c r="J20" s="14">
        <v>9122</v>
      </c>
      <c r="K20" s="15">
        <f>L20+3494+7048+8280+10326+8450</f>
        <v>46720</v>
      </c>
      <c r="L20" s="15">
        <f>1626*2+2935*2</f>
        <v>9122</v>
      </c>
      <c r="M20" s="15">
        <f t="shared" si="0"/>
        <v>9122</v>
      </c>
      <c r="N20" s="15">
        <v>0</v>
      </c>
      <c r="O20" s="58">
        <f t="shared" si="1"/>
        <v>0</v>
      </c>
      <c r="P20" s="39">
        <f t="shared" si="2"/>
        <v>20</v>
      </c>
      <c r="Q20" s="40">
        <f t="shared" si="3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0.83333333333333337</v>
      </c>
      <c r="AD20" s="10">
        <f t="shared" si="6"/>
        <v>0.83333333333333337</v>
      </c>
      <c r="AE20" s="36">
        <f t="shared" si="7"/>
        <v>0.61574074074074081</v>
      </c>
      <c r="AF20" s="84">
        <f t="shared" si="8"/>
        <v>13</v>
      </c>
    </row>
    <row r="21" spans="1:32" ht="27" customHeight="1">
      <c r="A21" s="96">
        <v>14</v>
      </c>
      <c r="B21" s="11" t="s">
        <v>57</v>
      </c>
      <c r="C21" s="11" t="s">
        <v>120</v>
      </c>
      <c r="D21" s="52"/>
      <c r="E21" s="53" t="s">
        <v>304</v>
      </c>
      <c r="F21" s="30" t="s">
        <v>305</v>
      </c>
      <c r="G21" s="33">
        <v>1</v>
      </c>
      <c r="H21" s="35">
        <v>24</v>
      </c>
      <c r="I21" s="7">
        <v>13200</v>
      </c>
      <c r="J21" s="14">
        <v>4683</v>
      </c>
      <c r="K21" s="15">
        <f>L21+2646+4266+3583</f>
        <v>15178</v>
      </c>
      <c r="L21" s="15">
        <f>2734+1949</f>
        <v>4683</v>
      </c>
      <c r="M21" s="15">
        <f t="shared" si="0"/>
        <v>4683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0.61574074074074081</v>
      </c>
      <c r="AF21" s="84">
        <f t="shared" si="8"/>
        <v>14</v>
      </c>
    </row>
    <row r="22" spans="1:32" ht="30" customHeight="1">
      <c r="A22" s="112">
        <v>15</v>
      </c>
      <c r="B22" s="11" t="s">
        <v>57</v>
      </c>
      <c r="C22" s="34" t="s">
        <v>112</v>
      </c>
      <c r="D22" s="52" t="s">
        <v>115</v>
      </c>
      <c r="E22" s="53" t="s">
        <v>148</v>
      </c>
      <c r="F22" s="30" t="s">
        <v>130</v>
      </c>
      <c r="G22" s="12">
        <v>1</v>
      </c>
      <c r="H22" s="13">
        <v>24</v>
      </c>
      <c r="I22" s="7">
        <v>62000</v>
      </c>
      <c r="J22" s="14">
        <v>5376</v>
      </c>
      <c r="K22" s="15">
        <f>L22+5680+5650+5595+4980+5238+5654+5218</f>
        <v>43391</v>
      </c>
      <c r="L22" s="15">
        <f>2830+2546</f>
        <v>5376</v>
      </c>
      <c r="M22" s="15">
        <f t="shared" si="0"/>
        <v>5376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0.61574074074074081</v>
      </c>
      <c r="AF22" s="84">
        <f t="shared" si="8"/>
        <v>15</v>
      </c>
    </row>
    <row r="23" spans="1:32" ht="27" customHeight="1" thickBot="1">
      <c r="A23" s="96">
        <v>16</v>
      </c>
      <c r="B23" s="11" t="s">
        <v>57</v>
      </c>
      <c r="C23" s="11" t="s">
        <v>113</v>
      </c>
      <c r="D23" s="52"/>
      <c r="E23" s="53" t="s">
        <v>306</v>
      </c>
      <c r="F23" s="12" t="s">
        <v>114</v>
      </c>
      <c r="G23" s="12">
        <v>4</v>
      </c>
      <c r="H23" s="35">
        <v>20</v>
      </c>
      <c r="I23" s="7">
        <v>800000</v>
      </c>
      <c r="J23" s="14">
        <v>58904</v>
      </c>
      <c r="K23" s="15">
        <f>L23+52848+58908+58380</f>
        <v>229040</v>
      </c>
      <c r="L23" s="15">
        <f>7337*4+7389*4</f>
        <v>58904</v>
      </c>
      <c r="M23" s="15">
        <f t="shared" si="0"/>
        <v>58904</v>
      </c>
      <c r="N23" s="15">
        <v>0</v>
      </c>
      <c r="O23" s="58">
        <f t="shared" si="1"/>
        <v>0</v>
      </c>
      <c r="P23" s="39">
        <f t="shared" si="2"/>
        <v>24</v>
      </c>
      <c r="Q23" s="40">
        <f t="shared" si="3"/>
        <v>0</v>
      </c>
      <c r="R23" s="7"/>
      <c r="S23" s="6"/>
      <c r="T23" s="16"/>
      <c r="U23" s="16"/>
      <c r="V23" s="17"/>
      <c r="W23" s="5"/>
      <c r="X23" s="16"/>
      <c r="Y23" s="16"/>
      <c r="Z23" s="16"/>
      <c r="AA23" s="18"/>
      <c r="AB23" s="8">
        <f t="shared" si="4"/>
        <v>1</v>
      </c>
      <c r="AC23" s="9">
        <f t="shared" si="5"/>
        <v>1</v>
      </c>
      <c r="AD23" s="10">
        <f t="shared" si="6"/>
        <v>1</v>
      </c>
      <c r="AE23" s="36">
        <f t="shared" si="7"/>
        <v>0.61574074074074081</v>
      </c>
      <c r="AF23" s="84">
        <f t="shared" si="8"/>
        <v>16</v>
      </c>
    </row>
    <row r="24" spans="1:32" ht="31.5" customHeight="1" thickBot="1">
      <c r="A24" s="444" t="s">
        <v>34</v>
      </c>
      <c r="B24" s="445"/>
      <c r="C24" s="445"/>
      <c r="D24" s="445"/>
      <c r="E24" s="445"/>
      <c r="F24" s="445"/>
      <c r="G24" s="445"/>
      <c r="H24" s="446"/>
      <c r="I24" s="22">
        <f t="shared" ref="I24:N24" si="17">SUM(I6:I23)</f>
        <v>1624000</v>
      </c>
      <c r="J24" s="19">
        <f t="shared" si="17"/>
        <v>167104</v>
      </c>
      <c r="K24" s="20">
        <f t="shared" si="17"/>
        <v>775126</v>
      </c>
      <c r="L24" s="21">
        <f t="shared" si="17"/>
        <v>158153</v>
      </c>
      <c r="M24" s="20">
        <f t="shared" si="17"/>
        <v>158153</v>
      </c>
      <c r="N24" s="21">
        <f t="shared" si="17"/>
        <v>0</v>
      </c>
      <c r="O24" s="41">
        <f t="shared" si="1"/>
        <v>0</v>
      </c>
      <c r="P24" s="42">
        <f t="shared" ref="P24:AA24" si="18">SUM(P6:P23)</f>
        <v>266</v>
      </c>
      <c r="Q24" s="43">
        <f t="shared" si="18"/>
        <v>166</v>
      </c>
      <c r="R24" s="23">
        <f t="shared" si="18"/>
        <v>0</v>
      </c>
      <c r="S24" s="24">
        <f t="shared" si="18"/>
        <v>50</v>
      </c>
      <c r="T24" s="24">
        <f t="shared" si="18"/>
        <v>7</v>
      </c>
      <c r="U24" s="24">
        <f t="shared" si="18"/>
        <v>0</v>
      </c>
      <c r="V24" s="25">
        <f t="shared" si="18"/>
        <v>24</v>
      </c>
      <c r="W24" s="26">
        <f t="shared" si="18"/>
        <v>85</v>
      </c>
      <c r="X24" s="27">
        <f t="shared" si="18"/>
        <v>0</v>
      </c>
      <c r="Y24" s="27">
        <f t="shared" si="18"/>
        <v>0</v>
      </c>
      <c r="Z24" s="27">
        <f t="shared" si="18"/>
        <v>0</v>
      </c>
      <c r="AA24" s="27">
        <f t="shared" si="18"/>
        <v>0</v>
      </c>
      <c r="AB24" s="28">
        <f>AVERAGE(AB6:AB23)</f>
        <v>0.83333333333333337</v>
      </c>
      <c r="AC24" s="4">
        <f>AVERAGE(AC6:AC23)</f>
        <v>0.61574074074074081</v>
      </c>
      <c r="AD24" s="4">
        <f>AVERAGE(AD6:AD23)</f>
        <v>0.61574074074074081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5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447" t="s">
        <v>45</v>
      </c>
      <c r="B51" s="447"/>
      <c r="C51" s="447"/>
      <c r="D51" s="447"/>
      <c r="E51" s="44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448" t="s">
        <v>345</v>
      </c>
      <c r="B52" s="449"/>
      <c r="C52" s="449"/>
      <c r="D52" s="449"/>
      <c r="E52" s="449"/>
      <c r="F52" s="449"/>
      <c r="G52" s="449"/>
      <c r="H52" s="449"/>
      <c r="I52" s="449"/>
      <c r="J52" s="449"/>
      <c r="K52" s="449"/>
      <c r="L52" s="449"/>
      <c r="M52" s="450"/>
      <c r="N52" s="451" t="s">
        <v>349</v>
      </c>
      <c r="O52" s="452"/>
      <c r="P52" s="452"/>
      <c r="Q52" s="452"/>
      <c r="R52" s="452"/>
      <c r="S52" s="452"/>
      <c r="T52" s="452"/>
      <c r="U52" s="452"/>
      <c r="V52" s="452"/>
      <c r="W52" s="452"/>
      <c r="X52" s="452"/>
      <c r="Y52" s="452"/>
      <c r="Z52" s="452"/>
      <c r="AA52" s="452"/>
      <c r="AB52" s="452"/>
      <c r="AC52" s="452"/>
      <c r="AD52" s="453"/>
    </row>
    <row r="53" spans="1:32" ht="27" customHeight="1">
      <c r="A53" s="454" t="s">
        <v>2</v>
      </c>
      <c r="B53" s="455"/>
      <c r="C53" s="272" t="s">
        <v>46</v>
      </c>
      <c r="D53" s="272" t="s">
        <v>47</v>
      </c>
      <c r="E53" s="272" t="s">
        <v>107</v>
      </c>
      <c r="F53" s="456" t="s">
        <v>106</v>
      </c>
      <c r="G53" s="457"/>
      <c r="H53" s="457"/>
      <c r="I53" s="457"/>
      <c r="J53" s="457"/>
      <c r="K53" s="457"/>
      <c r="L53" s="457"/>
      <c r="M53" s="458"/>
      <c r="N53" s="67" t="s">
        <v>110</v>
      </c>
      <c r="O53" s="272" t="s">
        <v>46</v>
      </c>
      <c r="P53" s="456" t="s">
        <v>47</v>
      </c>
      <c r="Q53" s="459"/>
      <c r="R53" s="456" t="s">
        <v>38</v>
      </c>
      <c r="S53" s="457"/>
      <c r="T53" s="457"/>
      <c r="U53" s="459"/>
      <c r="V53" s="456" t="s">
        <v>48</v>
      </c>
      <c r="W53" s="457"/>
      <c r="X53" s="457"/>
      <c r="Y53" s="457"/>
      <c r="Z53" s="457"/>
      <c r="AA53" s="457"/>
      <c r="AB53" s="457"/>
      <c r="AC53" s="457"/>
      <c r="AD53" s="458"/>
    </row>
    <row r="54" spans="1:32" ht="27" customHeight="1">
      <c r="A54" s="480" t="s">
        <v>188</v>
      </c>
      <c r="B54" s="481"/>
      <c r="C54" s="275" t="s">
        <v>131</v>
      </c>
      <c r="D54" s="275" t="s">
        <v>115</v>
      </c>
      <c r="E54" s="275" t="s">
        <v>282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274" t="s">
        <v>120</v>
      </c>
      <c r="O54" s="280" t="s">
        <v>205</v>
      </c>
      <c r="P54" s="475"/>
      <c r="Q54" s="476"/>
      <c r="R54" s="475" t="s">
        <v>241</v>
      </c>
      <c r="S54" s="477"/>
      <c r="T54" s="477"/>
      <c r="U54" s="476"/>
      <c r="V54" s="478" t="s">
        <v>124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70" t="s">
        <v>120</v>
      </c>
      <c r="B55" s="471"/>
      <c r="C55" s="273" t="s">
        <v>214</v>
      </c>
      <c r="D55" s="273"/>
      <c r="E55" s="275" t="s">
        <v>266</v>
      </c>
      <c r="F55" s="472" t="s">
        <v>204</v>
      </c>
      <c r="G55" s="473"/>
      <c r="H55" s="473"/>
      <c r="I55" s="473"/>
      <c r="J55" s="473"/>
      <c r="K55" s="473"/>
      <c r="L55" s="473"/>
      <c r="M55" s="474"/>
      <c r="N55" s="274" t="s">
        <v>120</v>
      </c>
      <c r="O55" s="280" t="s">
        <v>214</v>
      </c>
      <c r="P55" s="475"/>
      <c r="Q55" s="476"/>
      <c r="R55" s="475" t="s">
        <v>266</v>
      </c>
      <c r="S55" s="477"/>
      <c r="T55" s="477"/>
      <c r="U55" s="476"/>
      <c r="V55" s="478" t="s">
        <v>124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70" t="s">
        <v>120</v>
      </c>
      <c r="B56" s="471"/>
      <c r="C56" s="273" t="s">
        <v>209</v>
      </c>
      <c r="D56" s="273"/>
      <c r="E56" s="275" t="s">
        <v>304</v>
      </c>
      <c r="F56" s="472" t="s">
        <v>346</v>
      </c>
      <c r="G56" s="473"/>
      <c r="H56" s="473"/>
      <c r="I56" s="473"/>
      <c r="J56" s="473"/>
      <c r="K56" s="473"/>
      <c r="L56" s="473"/>
      <c r="M56" s="474"/>
      <c r="N56" s="274" t="s">
        <v>118</v>
      </c>
      <c r="O56" s="280" t="s">
        <v>147</v>
      </c>
      <c r="P56" s="475" t="s">
        <v>143</v>
      </c>
      <c r="Q56" s="476"/>
      <c r="R56" s="475" t="s">
        <v>309</v>
      </c>
      <c r="S56" s="477"/>
      <c r="T56" s="477"/>
      <c r="U56" s="476"/>
      <c r="V56" s="478" t="s">
        <v>124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70" t="s">
        <v>120</v>
      </c>
      <c r="B57" s="471"/>
      <c r="C57" s="273" t="s">
        <v>205</v>
      </c>
      <c r="D57" s="273"/>
      <c r="E57" s="275" t="s">
        <v>241</v>
      </c>
      <c r="F57" s="472" t="s">
        <v>347</v>
      </c>
      <c r="G57" s="473"/>
      <c r="H57" s="473"/>
      <c r="I57" s="473"/>
      <c r="J57" s="473"/>
      <c r="K57" s="473"/>
      <c r="L57" s="473"/>
      <c r="M57" s="474"/>
      <c r="N57" s="274"/>
      <c r="O57" s="280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118</v>
      </c>
      <c r="B58" s="481"/>
      <c r="C58" s="275" t="s">
        <v>147</v>
      </c>
      <c r="D58" s="275" t="s">
        <v>143</v>
      </c>
      <c r="E58" s="275" t="s">
        <v>309</v>
      </c>
      <c r="F58" s="472" t="s">
        <v>207</v>
      </c>
      <c r="G58" s="473"/>
      <c r="H58" s="473"/>
      <c r="I58" s="473"/>
      <c r="J58" s="473"/>
      <c r="K58" s="473"/>
      <c r="L58" s="473"/>
      <c r="M58" s="474"/>
      <c r="N58" s="274"/>
      <c r="O58" s="280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 t="s">
        <v>120</v>
      </c>
      <c r="B59" s="481"/>
      <c r="C59" s="275" t="s">
        <v>171</v>
      </c>
      <c r="D59" s="275"/>
      <c r="E59" s="275" t="s">
        <v>242</v>
      </c>
      <c r="F59" s="472" t="s">
        <v>348</v>
      </c>
      <c r="G59" s="473"/>
      <c r="H59" s="473"/>
      <c r="I59" s="473"/>
      <c r="J59" s="473"/>
      <c r="K59" s="473"/>
      <c r="L59" s="473"/>
      <c r="M59" s="474"/>
      <c r="N59" s="274"/>
      <c r="O59" s="280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 t="s">
        <v>188</v>
      </c>
      <c r="B60" s="471"/>
      <c r="C60" s="273" t="s">
        <v>131</v>
      </c>
      <c r="D60" s="273" t="s">
        <v>225</v>
      </c>
      <c r="E60" s="275" t="s">
        <v>339</v>
      </c>
      <c r="F60" s="472" t="s">
        <v>187</v>
      </c>
      <c r="G60" s="473"/>
      <c r="H60" s="473"/>
      <c r="I60" s="473"/>
      <c r="J60" s="473"/>
      <c r="K60" s="473"/>
      <c r="L60" s="473"/>
      <c r="M60" s="474"/>
      <c r="N60" s="274"/>
      <c r="O60" s="280"/>
      <c r="P60" s="475"/>
      <c r="Q60" s="476"/>
      <c r="R60" s="475"/>
      <c r="S60" s="477"/>
      <c r="T60" s="477"/>
      <c r="U60" s="476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80" t="s">
        <v>188</v>
      </c>
      <c r="B61" s="481"/>
      <c r="C61" s="275" t="s">
        <v>268</v>
      </c>
      <c r="D61" s="275" t="s">
        <v>137</v>
      </c>
      <c r="E61" s="275" t="s">
        <v>338</v>
      </c>
      <c r="F61" s="472" t="s">
        <v>350</v>
      </c>
      <c r="G61" s="473"/>
      <c r="H61" s="473"/>
      <c r="I61" s="473"/>
      <c r="J61" s="473"/>
      <c r="K61" s="473"/>
      <c r="L61" s="473"/>
      <c r="M61" s="474"/>
      <c r="N61" s="274"/>
      <c r="O61" s="280"/>
      <c r="P61" s="475"/>
      <c r="Q61" s="476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</row>
    <row r="62" spans="1:32" ht="27" customHeight="1">
      <c r="A62" s="470"/>
      <c r="B62" s="471"/>
      <c r="C62" s="273"/>
      <c r="D62" s="273"/>
      <c r="E62" s="275"/>
      <c r="F62" s="472"/>
      <c r="G62" s="473"/>
      <c r="H62" s="473"/>
      <c r="I62" s="473"/>
      <c r="J62" s="473"/>
      <c r="K62" s="473"/>
      <c r="L62" s="473"/>
      <c r="M62" s="474"/>
      <c r="N62" s="274"/>
      <c r="O62" s="280"/>
      <c r="P62" s="481"/>
      <c r="Q62" s="481"/>
      <c r="R62" s="481"/>
      <c r="S62" s="481"/>
      <c r="T62" s="481"/>
      <c r="U62" s="481"/>
      <c r="V62" s="478"/>
      <c r="W62" s="478"/>
      <c r="X62" s="478"/>
      <c r="Y62" s="478"/>
      <c r="Z62" s="478"/>
      <c r="AA62" s="478"/>
      <c r="AB62" s="478"/>
      <c r="AC62" s="478"/>
      <c r="AD62" s="479"/>
      <c r="AF62" s="84">
        <f>8*3000</f>
        <v>24000</v>
      </c>
    </row>
    <row r="63" spans="1:32" ht="27" customHeight="1" thickBot="1">
      <c r="A63" s="482"/>
      <c r="B63" s="483"/>
      <c r="C63" s="276"/>
      <c r="D63" s="277"/>
      <c r="E63" s="276"/>
      <c r="F63" s="484"/>
      <c r="G63" s="485"/>
      <c r="H63" s="485"/>
      <c r="I63" s="485"/>
      <c r="J63" s="485"/>
      <c r="K63" s="485"/>
      <c r="L63" s="485"/>
      <c r="M63" s="486"/>
      <c r="N63" s="111"/>
      <c r="O63" s="103"/>
      <c r="P63" s="487"/>
      <c r="Q63" s="487"/>
      <c r="R63" s="487"/>
      <c r="S63" s="487"/>
      <c r="T63" s="487"/>
      <c r="U63" s="487"/>
      <c r="V63" s="488"/>
      <c r="W63" s="488"/>
      <c r="X63" s="488"/>
      <c r="Y63" s="488"/>
      <c r="Z63" s="488"/>
      <c r="AA63" s="488"/>
      <c r="AB63" s="488"/>
      <c r="AC63" s="488"/>
      <c r="AD63" s="489"/>
      <c r="AF63" s="84">
        <f>16*3000</f>
        <v>48000</v>
      </c>
    </row>
    <row r="64" spans="1:32" ht="27.75" thickBot="1">
      <c r="A64" s="490" t="s">
        <v>351</v>
      </c>
      <c r="B64" s="490"/>
      <c r="C64" s="490"/>
      <c r="D64" s="490"/>
      <c r="E64" s="490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4">
        <v>24000</v>
      </c>
    </row>
    <row r="65" spans="1:32" ht="29.25" customHeight="1" thickBot="1">
      <c r="A65" s="491" t="s">
        <v>111</v>
      </c>
      <c r="B65" s="492"/>
      <c r="C65" s="278" t="s">
        <v>2</v>
      </c>
      <c r="D65" s="278" t="s">
        <v>37</v>
      </c>
      <c r="E65" s="278" t="s">
        <v>3</v>
      </c>
      <c r="F65" s="492" t="s">
        <v>109</v>
      </c>
      <c r="G65" s="492"/>
      <c r="H65" s="492"/>
      <c r="I65" s="492"/>
      <c r="J65" s="492"/>
      <c r="K65" s="492" t="s">
        <v>39</v>
      </c>
      <c r="L65" s="492"/>
      <c r="M65" s="278" t="s">
        <v>40</v>
      </c>
      <c r="N65" s="492" t="s">
        <v>41</v>
      </c>
      <c r="O65" s="492"/>
      <c r="P65" s="493" t="s">
        <v>42</v>
      </c>
      <c r="Q65" s="494"/>
      <c r="R65" s="493" t="s">
        <v>43</v>
      </c>
      <c r="S65" s="495"/>
      <c r="T65" s="495"/>
      <c r="U65" s="495"/>
      <c r="V65" s="495"/>
      <c r="W65" s="495"/>
      <c r="X65" s="495"/>
      <c r="Y65" s="495"/>
      <c r="Z65" s="495"/>
      <c r="AA65" s="494"/>
      <c r="AB65" s="492" t="s">
        <v>44</v>
      </c>
      <c r="AC65" s="492"/>
      <c r="AD65" s="496"/>
      <c r="AF65" s="84">
        <f>SUM(AF62:AF64)</f>
        <v>96000</v>
      </c>
    </row>
    <row r="66" spans="1:32" ht="25.5" customHeight="1">
      <c r="A66" s="497">
        <v>1</v>
      </c>
      <c r="B66" s="498"/>
      <c r="C66" s="104" t="s">
        <v>112</v>
      </c>
      <c r="D66" s="282"/>
      <c r="E66" s="279" t="s">
        <v>154</v>
      </c>
      <c r="F66" s="499" t="s">
        <v>153</v>
      </c>
      <c r="G66" s="500"/>
      <c r="H66" s="500"/>
      <c r="I66" s="500"/>
      <c r="J66" s="501"/>
      <c r="K66" s="502" t="s">
        <v>134</v>
      </c>
      <c r="L66" s="502"/>
      <c r="M66" s="51" t="s">
        <v>191</v>
      </c>
      <c r="N66" s="503" t="s">
        <v>192</v>
      </c>
      <c r="O66" s="503"/>
      <c r="P66" s="504">
        <v>250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2</v>
      </c>
      <c r="B67" s="498"/>
      <c r="C67" s="104" t="s">
        <v>112</v>
      </c>
      <c r="D67" s="282"/>
      <c r="E67" s="279" t="s">
        <v>199</v>
      </c>
      <c r="F67" s="499" t="s">
        <v>352</v>
      </c>
      <c r="G67" s="500"/>
      <c r="H67" s="500"/>
      <c r="I67" s="500"/>
      <c r="J67" s="501"/>
      <c r="K67" s="502" t="s">
        <v>354</v>
      </c>
      <c r="L67" s="502"/>
      <c r="M67" s="51" t="s">
        <v>191</v>
      </c>
      <c r="N67" s="503" t="s">
        <v>205</v>
      </c>
      <c r="O67" s="503"/>
      <c r="P67" s="504">
        <v>400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3</v>
      </c>
      <c r="B68" s="498"/>
      <c r="C68" s="104" t="s">
        <v>112</v>
      </c>
      <c r="D68" s="282"/>
      <c r="E68" s="279" t="s">
        <v>115</v>
      </c>
      <c r="F68" s="499" t="s">
        <v>353</v>
      </c>
      <c r="G68" s="500"/>
      <c r="H68" s="500"/>
      <c r="I68" s="500"/>
      <c r="J68" s="501"/>
      <c r="K68" s="502" t="s">
        <v>355</v>
      </c>
      <c r="L68" s="502"/>
      <c r="M68" s="51" t="s">
        <v>191</v>
      </c>
      <c r="N68" s="503" t="s">
        <v>128</v>
      </c>
      <c r="O68" s="503"/>
      <c r="P68" s="504">
        <v>50</v>
      </c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4</v>
      </c>
      <c r="B69" s="498"/>
      <c r="C69" s="104"/>
      <c r="D69" s="282"/>
      <c r="E69" s="279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5</v>
      </c>
      <c r="B70" s="498"/>
      <c r="C70" s="104"/>
      <c r="D70" s="282"/>
      <c r="E70" s="279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6</v>
      </c>
      <c r="B71" s="498"/>
      <c r="C71" s="104"/>
      <c r="D71" s="282"/>
      <c r="E71" s="279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7</v>
      </c>
      <c r="B72" s="498"/>
      <c r="C72" s="104"/>
      <c r="D72" s="282"/>
      <c r="E72" s="279"/>
      <c r="F72" s="499"/>
      <c r="G72" s="500"/>
      <c r="H72" s="500"/>
      <c r="I72" s="500"/>
      <c r="J72" s="501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8</v>
      </c>
      <c r="B73" s="498"/>
      <c r="C73" s="104"/>
      <c r="D73" s="282"/>
      <c r="E73" s="279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9</v>
      </c>
      <c r="B74" s="498"/>
      <c r="C74" s="104"/>
      <c r="D74" s="282"/>
      <c r="E74" s="279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5.5" customHeight="1">
      <c r="A75" s="497">
        <v>10</v>
      </c>
      <c r="B75" s="498"/>
      <c r="C75" s="104"/>
      <c r="D75" s="282"/>
      <c r="E75" s="279"/>
      <c r="F75" s="506"/>
      <c r="G75" s="502"/>
      <c r="H75" s="502"/>
      <c r="I75" s="502"/>
      <c r="J75" s="502"/>
      <c r="K75" s="502"/>
      <c r="L75" s="502"/>
      <c r="M75" s="51"/>
      <c r="N75" s="503"/>
      <c r="O75" s="503"/>
      <c r="P75" s="504"/>
      <c r="Q75" s="504"/>
      <c r="R75" s="478"/>
      <c r="S75" s="478"/>
      <c r="T75" s="478"/>
      <c r="U75" s="478"/>
      <c r="V75" s="478"/>
      <c r="W75" s="478"/>
      <c r="X75" s="478"/>
      <c r="Y75" s="478"/>
      <c r="Z75" s="478"/>
      <c r="AA75" s="478"/>
      <c r="AB75" s="502"/>
      <c r="AC75" s="502"/>
      <c r="AD75" s="505"/>
      <c r="AF75" s="50"/>
    </row>
    <row r="76" spans="1:32" ht="26.25" customHeight="1" thickBot="1">
      <c r="A76" s="507" t="s">
        <v>356</v>
      </c>
      <c r="B76" s="507"/>
      <c r="C76" s="507"/>
      <c r="D76" s="507"/>
      <c r="E76" s="507"/>
      <c r="F76" s="37"/>
      <c r="G76" s="37"/>
      <c r="H76" s="38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F76" s="50"/>
    </row>
    <row r="77" spans="1:32" ht="23.25" thickBot="1">
      <c r="A77" s="508" t="s">
        <v>127</v>
      </c>
      <c r="B77" s="509"/>
      <c r="C77" s="281" t="s">
        <v>2</v>
      </c>
      <c r="D77" s="281" t="s">
        <v>37</v>
      </c>
      <c r="E77" s="281" t="s">
        <v>126</v>
      </c>
      <c r="F77" s="509" t="s">
        <v>38</v>
      </c>
      <c r="G77" s="509"/>
      <c r="H77" s="509"/>
      <c r="I77" s="509"/>
      <c r="J77" s="509"/>
      <c r="K77" s="510" t="s">
        <v>58</v>
      </c>
      <c r="L77" s="511"/>
      <c r="M77" s="511"/>
      <c r="N77" s="511"/>
      <c r="O77" s="511"/>
      <c r="P77" s="511"/>
      <c r="Q77" s="511"/>
      <c r="R77" s="511"/>
      <c r="S77" s="512"/>
      <c r="T77" s="509" t="s">
        <v>49</v>
      </c>
      <c r="U77" s="509"/>
      <c r="V77" s="510" t="s">
        <v>50</v>
      </c>
      <c r="W77" s="512"/>
      <c r="X77" s="511" t="s">
        <v>51</v>
      </c>
      <c r="Y77" s="511"/>
      <c r="Z77" s="511"/>
      <c r="AA77" s="511"/>
      <c r="AB77" s="511"/>
      <c r="AC77" s="511"/>
      <c r="AD77" s="513"/>
      <c r="AF77" s="50"/>
    </row>
    <row r="78" spans="1:32" ht="33.75" customHeight="1">
      <c r="A78" s="522">
        <v>1</v>
      </c>
      <c r="B78" s="523"/>
      <c r="C78" s="283" t="s">
        <v>112</v>
      </c>
      <c r="D78" s="283"/>
      <c r="E78" s="65" t="s">
        <v>117</v>
      </c>
      <c r="F78" s="524" t="s">
        <v>116</v>
      </c>
      <c r="G78" s="525"/>
      <c r="H78" s="525"/>
      <c r="I78" s="525"/>
      <c r="J78" s="526"/>
      <c r="K78" s="527" t="s">
        <v>119</v>
      </c>
      <c r="L78" s="528"/>
      <c r="M78" s="528"/>
      <c r="N78" s="528"/>
      <c r="O78" s="528"/>
      <c r="P78" s="528"/>
      <c r="Q78" s="528"/>
      <c r="R78" s="528"/>
      <c r="S78" s="529"/>
      <c r="T78" s="530">
        <v>44118</v>
      </c>
      <c r="U78" s="531"/>
      <c r="V78" s="532"/>
      <c r="W78" s="532"/>
      <c r="X78" s="533"/>
      <c r="Y78" s="533"/>
      <c r="Z78" s="533"/>
      <c r="AA78" s="533"/>
      <c r="AB78" s="533"/>
      <c r="AC78" s="533"/>
      <c r="AD78" s="534"/>
      <c r="AF78" s="50"/>
    </row>
    <row r="79" spans="1:32" ht="30" customHeight="1">
      <c r="A79" s="514">
        <f>A78+1</f>
        <v>2</v>
      </c>
      <c r="B79" s="515"/>
      <c r="C79" s="282"/>
      <c r="D79" s="282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ref="A80:A84" si="19">A79+1</f>
        <v>3</v>
      </c>
      <c r="B80" s="515"/>
      <c r="C80" s="282"/>
      <c r="D80" s="282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9"/>
        <v>4</v>
      </c>
      <c r="B81" s="515"/>
      <c r="C81" s="282"/>
      <c r="D81" s="282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5</v>
      </c>
      <c r="B82" s="515"/>
      <c r="C82" s="282"/>
      <c r="D82" s="282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6</v>
      </c>
      <c r="B83" s="515"/>
      <c r="C83" s="282"/>
      <c r="D83" s="282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0" customHeight="1">
      <c r="A84" s="514">
        <f t="shared" si="19"/>
        <v>7</v>
      </c>
      <c r="B84" s="515"/>
      <c r="C84" s="282"/>
      <c r="D84" s="282"/>
      <c r="E84" s="32"/>
      <c r="F84" s="515"/>
      <c r="G84" s="515"/>
      <c r="H84" s="515"/>
      <c r="I84" s="515"/>
      <c r="J84" s="515"/>
      <c r="K84" s="516"/>
      <c r="L84" s="517"/>
      <c r="M84" s="517"/>
      <c r="N84" s="517"/>
      <c r="O84" s="517"/>
      <c r="P84" s="517"/>
      <c r="Q84" s="517"/>
      <c r="R84" s="517"/>
      <c r="S84" s="518"/>
      <c r="T84" s="519"/>
      <c r="U84" s="519"/>
      <c r="V84" s="519"/>
      <c r="W84" s="519"/>
      <c r="X84" s="520"/>
      <c r="Y84" s="520"/>
      <c r="Z84" s="520"/>
      <c r="AA84" s="520"/>
      <c r="AB84" s="520"/>
      <c r="AC84" s="520"/>
      <c r="AD84" s="521"/>
      <c r="AF84" s="50"/>
    </row>
    <row r="85" spans="1:32" ht="36" thickBot="1">
      <c r="A85" s="507" t="s">
        <v>357</v>
      </c>
      <c r="B85" s="507"/>
      <c r="C85" s="507"/>
      <c r="D85" s="507"/>
      <c r="E85" s="507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508" t="s">
        <v>111</v>
      </c>
      <c r="B86" s="509"/>
      <c r="C86" s="535" t="s">
        <v>52</v>
      </c>
      <c r="D86" s="535"/>
      <c r="E86" s="535" t="s">
        <v>53</v>
      </c>
      <c r="F86" s="535"/>
      <c r="G86" s="535"/>
      <c r="H86" s="535"/>
      <c r="I86" s="535"/>
      <c r="J86" s="535"/>
      <c r="K86" s="535" t="s">
        <v>54</v>
      </c>
      <c r="L86" s="535"/>
      <c r="M86" s="535"/>
      <c r="N86" s="535"/>
      <c r="O86" s="535"/>
      <c r="P86" s="535"/>
      <c r="Q86" s="535"/>
      <c r="R86" s="535"/>
      <c r="S86" s="535"/>
      <c r="T86" s="535" t="s">
        <v>55</v>
      </c>
      <c r="U86" s="535"/>
      <c r="V86" s="535" t="s">
        <v>56</v>
      </c>
      <c r="W86" s="535"/>
      <c r="X86" s="535"/>
      <c r="Y86" s="535" t="s">
        <v>51</v>
      </c>
      <c r="Z86" s="535"/>
      <c r="AA86" s="535"/>
      <c r="AB86" s="535"/>
      <c r="AC86" s="535"/>
      <c r="AD86" s="536"/>
      <c r="AF86" s="50"/>
    </row>
    <row r="87" spans="1:32" ht="30.75" customHeight="1">
      <c r="A87" s="522">
        <v>1</v>
      </c>
      <c r="B87" s="523"/>
      <c r="C87" s="537"/>
      <c r="D87" s="537"/>
      <c r="E87" s="537"/>
      <c r="F87" s="537"/>
      <c r="G87" s="537"/>
      <c r="H87" s="537"/>
      <c r="I87" s="537"/>
      <c r="J87" s="537"/>
      <c r="K87" s="537"/>
      <c r="L87" s="537"/>
      <c r="M87" s="537"/>
      <c r="N87" s="537"/>
      <c r="O87" s="537"/>
      <c r="P87" s="537"/>
      <c r="Q87" s="537"/>
      <c r="R87" s="537"/>
      <c r="S87" s="537"/>
      <c r="T87" s="537"/>
      <c r="U87" s="537"/>
      <c r="V87" s="538"/>
      <c r="W87" s="538"/>
      <c r="X87" s="538"/>
      <c r="Y87" s="539"/>
      <c r="Z87" s="539"/>
      <c r="AA87" s="539"/>
      <c r="AB87" s="539"/>
      <c r="AC87" s="539"/>
      <c r="AD87" s="540"/>
      <c r="AF87" s="50"/>
    </row>
    <row r="88" spans="1:32" ht="30.75" customHeight="1">
      <c r="A88" s="514">
        <v>2</v>
      </c>
      <c r="B88" s="515"/>
      <c r="C88" s="548"/>
      <c r="D88" s="548"/>
      <c r="E88" s="548"/>
      <c r="F88" s="548"/>
      <c r="G88" s="548"/>
      <c r="H88" s="548"/>
      <c r="I88" s="548"/>
      <c r="J88" s="548"/>
      <c r="K88" s="548"/>
      <c r="L88" s="548"/>
      <c r="M88" s="548"/>
      <c r="N88" s="548"/>
      <c r="O88" s="548"/>
      <c r="P88" s="548"/>
      <c r="Q88" s="548"/>
      <c r="R88" s="548"/>
      <c r="S88" s="548"/>
      <c r="T88" s="549"/>
      <c r="U88" s="549"/>
      <c r="V88" s="550"/>
      <c r="W88" s="550"/>
      <c r="X88" s="550"/>
      <c r="Y88" s="541"/>
      <c r="Z88" s="541"/>
      <c r="AA88" s="541"/>
      <c r="AB88" s="541"/>
      <c r="AC88" s="541"/>
      <c r="AD88" s="542"/>
      <c r="AF88" s="50"/>
    </row>
    <row r="89" spans="1:32" ht="30.75" customHeight="1" thickBot="1">
      <c r="A89" s="543">
        <v>3</v>
      </c>
      <c r="B89" s="544"/>
      <c r="C89" s="545"/>
      <c r="D89" s="545"/>
      <c r="E89" s="545"/>
      <c r="F89" s="545"/>
      <c r="G89" s="545"/>
      <c r="H89" s="545"/>
      <c r="I89" s="545"/>
      <c r="J89" s="545"/>
      <c r="K89" s="545"/>
      <c r="L89" s="545"/>
      <c r="M89" s="545"/>
      <c r="N89" s="545"/>
      <c r="O89" s="545"/>
      <c r="P89" s="545"/>
      <c r="Q89" s="545"/>
      <c r="R89" s="545"/>
      <c r="S89" s="545"/>
      <c r="T89" s="545"/>
      <c r="U89" s="545"/>
      <c r="V89" s="545"/>
      <c r="W89" s="545"/>
      <c r="X89" s="545"/>
      <c r="Y89" s="546"/>
      <c r="Z89" s="546"/>
      <c r="AA89" s="546"/>
      <c r="AB89" s="546"/>
      <c r="AC89" s="546"/>
      <c r="AD89" s="547"/>
      <c r="AF89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B74"/>
    <mergeCell ref="F74:J74"/>
    <mergeCell ref="K74:L74"/>
    <mergeCell ref="N74:O74"/>
    <mergeCell ref="P74:Q74"/>
    <mergeCell ref="R74:AA74"/>
    <mergeCell ref="AB74:AD74"/>
    <mergeCell ref="A73:B73"/>
    <mergeCell ref="F73:J73"/>
    <mergeCell ref="K73:L73"/>
    <mergeCell ref="N73:O73"/>
    <mergeCell ref="P73:Q73"/>
    <mergeCell ref="R73:AA73"/>
    <mergeCell ref="AB75:AD75"/>
    <mergeCell ref="A76:E76"/>
    <mergeCell ref="A77:B77"/>
    <mergeCell ref="F77:J77"/>
    <mergeCell ref="K77:S77"/>
    <mergeCell ref="T77:U77"/>
    <mergeCell ref="V77:W77"/>
    <mergeCell ref="X77:AD77"/>
    <mergeCell ref="A75:B75"/>
    <mergeCell ref="F75:J75"/>
    <mergeCell ref="K75:L75"/>
    <mergeCell ref="N75:O75"/>
    <mergeCell ref="P75:Q75"/>
    <mergeCell ref="R75:AA75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9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1707-79B4-4C1D-BCE8-53D33F6E1C25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358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296" t="s">
        <v>17</v>
      </c>
      <c r="L5" s="296" t="s">
        <v>18</v>
      </c>
      <c r="M5" s="296" t="s">
        <v>19</v>
      </c>
      <c r="N5" s="29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2268</v>
      </c>
      <c r="K6" s="15">
        <f>L6</f>
        <v>2268</v>
      </c>
      <c r="L6" s="15">
        <f>2268</f>
        <v>2268</v>
      </c>
      <c r="M6" s="15">
        <f t="shared" ref="M6:M21" si="0">L6-N6</f>
        <v>2268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10</v>
      </c>
      <c r="Q6" s="40">
        <f t="shared" ref="Q6:Q21" si="3">SUM(R6:AA6)</f>
        <v>14</v>
      </c>
      <c r="R6" s="7"/>
      <c r="S6" s="6"/>
      <c r="T6" s="16"/>
      <c r="U6" s="16"/>
      <c r="V6" s="17">
        <v>14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0.41666666666666669</v>
      </c>
      <c r="AD6" s="10">
        <f t="shared" ref="AD6:AD21" si="6">AC6*AB6*(1-O6)</f>
        <v>0.41666666666666669</v>
      </c>
      <c r="AE6" s="36">
        <f t="shared" ref="AE6:AE21" si="7">$AD$22</f>
        <v>0.73177083333333337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10614</v>
      </c>
      <c r="K7" s="15">
        <f>L7</f>
        <v>10614</v>
      </c>
      <c r="L7" s="15">
        <f>2039*2+3268*2</f>
        <v>10614</v>
      </c>
      <c r="M7" s="15">
        <f t="shared" si="0"/>
        <v>10614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0.73177083333333337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188</v>
      </c>
      <c r="D8" s="52" t="s">
        <v>225</v>
      </c>
      <c r="E8" s="53" t="s">
        <v>344</v>
      </c>
      <c r="F8" s="30" t="s">
        <v>130</v>
      </c>
      <c r="G8" s="33">
        <v>1</v>
      </c>
      <c r="H8" s="35">
        <v>24</v>
      </c>
      <c r="I8" s="7">
        <v>10600</v>
      </c>
      <c r="J8" s="5">
        <v>6303</v>
      </c>
      <c r="K8" s="15">
        <f>L8+4155</f>
        <v>10458</v>
      </c>
      <c r="L8" s="15">
        <f>3149+3154</f>
        <v>6303</v>
      </c>
      <c r="M8" s="15">
        <f t="shared" si="0"/>
        <v>6303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0.73177083333333337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4649</v>
      </c>
      <c r="K9" s="15">
        <f>L9+1344+2695+2818+1363+3398+4807+5146+5399+5363+4916+4752+2389+5076+5367+4162+3442+4709+5270+3351+4112+5541+1793</f>
        <v>91862</v>
      </c>
      <c r="L9" s="15">
        <f>2679+1970</f>
        <v>4649</v>
      </c>
      <c r="M9" s="15">
        <f t="shared" si="0"/>
        <v>4649</v>
      </c>
      <c r="N9" s="15">
        <v>0</v>
      </c>
      <c r="O9" s="58">
        <f t="shared" si="1"/>
        <v>0</v>
      </c>
      <c r="P9" s="39">
        <f t="shared" si="2"/>
        <v>21</v>
      </c>
      <c r="Q9" s="40">
        <f t="shared" si="3"/>
        <v>3</v>
      </c>
      <c r="R9" s="7"/>
      <c r="S9" s="6">
        <v>3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0.875</v>
      </c>
      <c r="AD9" s="10">
        <f t="shared" si="6"/>
        <v>0.875</v>
      </c>
      <c r="AE9" s="36">
        <f t="shared" si="7"/>
        <v>0.73177083333333337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120</v>
      </c>
      <c r="D10" s="52"/>
      <c r="E10" s="53" t="s">
        <v>242</v>
      </c>
      <c r="F10" s="30" t="s">
        <v>197</v>
      </c>
      <c r="G10" s="33">
        <v>1</v>
      </c>
      <c r="H10" s="35">
        <v>24</v>
      </c>
      <c r="I10" s="7">
        <v>97000</v>
      </c>
      <c r="J10" s="14">
        <v>6730</v>
      </c>
      <c r="K10" s="15">
        <f>L10+11152+11550+4936+5746+3850+7664</f>
        <v>51628</v>
      </c>
      <c r="L10" s="15">
        <f>597*2+2768*2</f>
        <v>6730</v>
      </c>
      <c r="M10" s="15">
        <f t="shared" si="0"/>
        <v>6730</v>
      </c>
      <c r="N10" s="15">
        <v>0</v>
      </c>
      <c r="O10" s="58">
        <f t="shared" si="1"/>
        <v>0</v>
      </c>
      <c r="P10" s="39">
        <f t="shared" si="2"/>
        <v>16</v>
      </c>
      <c r="Q10" s="40">
        <f t="shared" si="3"/>
        <v>8</v>
      </c>
      <c r="R10" s="7"/>
      <c r="S10" s="6"/>
      <c r="T10" s="16"/>
      <c r="U10" s="16"/>
      <c r="V10" s="17"/>
      <c r="W10" s="5">
        <v>8</v>
      </c>
      <c r="X10" s="16"/>
      <c r="Y10" s="16"/>
      <c r="Z10" s="16"/>
      <c r="AA10" s="18"/>
      <c r="AB10" s="8">
        <f t="shared" si="4"/>
        <v>1</v>
      </c>
      <c r="AC10" s="9">
        <f t="shared" si="5"/>
        <v>0.66666666666666663</v>
      </c>
      <c r="AD10" s="10">
        <f t="shared" si="6"/>
        <v>0.66666666666666663</v>
      </c>
      <c r="AE10" s="36">
        <f t="shared" si="7"/>
        <v>0.73177083333333337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140</v>
      </c>
      <c r="E11" s="53" t="s">
        <v>359</v>
      </c>
      <c r="F11" s="30" t="s">
        <v>146</v>
      </c>
      <c r="G11" s="33">
        <v>1</v>
      </c>
      <c r="H11" s="35">
        <v>24</v>
      </c>
      <c r="I11" s="7">
        <v>28000</v>
      </c>
      <c r="J11" s="14">
        <v>5768</v>
      </c>
      <c r="K11" s="15">
        <f>L11</f>
        <v>5768</v>
      </c>
      <c r="L11" s="15">
        <f>3405+2363</f>
        <v>5768</v>
      </c>
      <c r="M11" s="15">
        <f t="shared" si="0"/>
        <v>5768</v>
      </c>
      <c r="N11" s="15">
        <v>0</v>
      </c>
      <c r="O11" s="58">
        <f t="shared" si="1"/>
        <v>0</v>
      </c>
      <c r="P11" s="39">
        <f t="shared" si="2"/>
        <v>21</v>
      </c>
      <c r="Q11" s="40">
        <f t="shared" si="3"/>
        <v>3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3</v>
      </c>
      <c r="AB11" s="8">
        <f t="shared" si="4"/>
        <v>1</v>
      </c>
      <c r="AC11" s="9">
        <f t="shared" si="5"/>
        <v>0.875</v>
      </c>
      <c r="AD11" s="10">
        <f t="shared" si="6"/>
        <v>0.875</v>
      </c>
      <c r="AE11" s="36">
        <f t="shared" si="7"/>
        <v>0.73177083333333337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70000</v>
      </c>
      <c r="J12" s="5">
        <v>5537</v>
      </c>
      <c r="K12" s="15">
        <f>L12+4597+5041+5597+5567</f>
        <v>26339</v>
      </c>
      <c r="L12" s="15">
        <f>2770+2767</f>
        <v>5537</v>
      </c>
      <c r="M12" s="15">
        <f t="shared" si="0"/>
        <v>5537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0.73177083333333337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325</v>
      </c>
      <c r="E13" s="53" t="s">
        <v>326</v>
      </c>
      <c r="F13" s="30" t="s">
        <v>332</v>
      </c>
      <c r="G13" s="33">
        <v>1</v>
      </c>
      <c r="H13" s="35">
        <v>24</v>
      </c>
      <c r="I13" s="7">
        <v>1600</v>
      </c>
      <c r="J13" s="14">
        <v>5208</v>
      </c>
      <c r="K13" s="15">
        <f>L13+5208</f>
        <v>5208</v>
      </c>
      <c r="L13" s="15"/>
      <c r="M13" s="15">
        <f t="shared" si="0"/>
        <v>0</v>
      </c>
      <c r="N13" s="15">
        <v>0</v>
      </c>
      <c r="O13" s="58" t="str">
        <f t="shared" si="1"/>
        <v>0</v>
      </c>
      <c r="P13" s="39" t="str">
        <f t="shared" si="2"/>
        <v>0</v>
      </c>
      <c r="Q13" s="40">
        <f t="shared" si="3"/>
        <v>24</v>
      </c>
      <c r="R13" s="7"/>
      <c r="S13" s="6"/>
      <c r="T13" s="16"/>
      <c r="U13" s="16"/>
      <c r="V13" s="17"/>
      <c r="W13" s="5">
        <v>24</v>
      </c>
      <c r="X13" s="16"/>
      <c r="Y13" s="16"/>
      <c r="Z13" s="16"/>
      <c r="AA13" s="18"/>
      <c r="AB13" s="8">
        <f t="shared" si="4"/>
        <v>0</v>
      </c>
      <c r="AC13" s="9">
        <f t="shared" si="5"/>
        <v>0</v>
      </c>
      <c r="AD13" s="10">
        <f t="shared" si="6"/>
        <v>0</v>
      </c>
      <c r="AE13" s="36">
        <f t="shared" si="7"/>
        <v>0.73177083333333337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319</v>
      </c>
      <c r="F14" s="30" t="s">
        <v>142</v>
      </c>
      <c r="G14" s="33">
        <v>1</v>
      </c>
      <c r="H14" s="35">
        <v>50</v>
      </c>
      <c r="I14" s="7">
        <v>300</v>
      </c>
      <c r="J14" s="5">
        <v>342</v>
      </c>
      <c r="K14" s="15">
        <f>L14+342</f>
        <v>342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0.73177083333333337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188</v>
      </c>
      <c r="D15" s="52" t="s">
        <v>137</v>
      </c>
      <c r="E15" s="53" t="s">
        <v>338</v>
      </c>
      <c r="F15" s="12" t="s">
        <v>144</v>
      </c>
      <c r="G15" s="12">
        <v>2</v>
      </c>
      <c r="H15" s="13">
        <v>24</v>
      </c>
      <c r="I15" s="31">
        <v>27200</v>
      </c>
      <c r="J15" s="14">
        <v>12196</v>
      </c>
      <c r="K15" s="15">
        <f>L15+6538</f>
        <v>18734</v>
      </c>
      <c r="L15" s="15">
        <f>3088*2+3010*2</f>
        <v>12196</v>
      </c>
      <c r="M15" s="15">
        <f t="shared" si="0"/>
        <v>12196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0.73177083333333337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6039</v>
      </c>
      <c r="K16" s="15">
        <f>L16+4303+5850+5280+5606+5547+5173+5805+5835</f>
        <v>49438</v>
      </c>
      <c r="L16" s="15">
        <f>3131+2908</f>
        <v>6039</v>
      </c>
      <c r="M16" s="15">
        <f t="shared" si="0"/>
        <v>6039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0.73177083333333337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40475</v>
      </c>
      <c r="K17" s="15">
        <f>L17+33015+35895+37090+38775</f>
        <v>185250</v>
      </c>
      <c r="L17" s="15">
        <f>4235*5+3860*5</f>
        <v>40475</v>
      </c>
      <c r="M17" s="15">
        <f t="shared" si="0"/>
        <v>40475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0.73177083333333337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120</v>
      </c>
      <c r="D18" s="52"/>
      <c r="E18" s="53" t="s">
        <v>266</v>
      </c>
      <c r="F18" s="30" t="s">
        <v>276</v>
      </c>
      <c r="G18" s="33">
        <v>2</v>
      </c>
      <c r="H18" s="35">
        <v>24</v>
      </c>
      <c r="I18" s="7">
        <v>46500</v>
      </c>
      <c r="J18" s="14">
        <v>5254</v>
      </c>
      <c r="K18" s="15">
        <f>L18+3494+7048+8280+10326+8450+9122</f>
        <v>51974</v>
      </c>
      <c r="L18" s="15">
        <f>2627*2</f>
        <v>5254</v>
      </c>
      <c r="M18" s="15">
        <f t="shared" si="0"/>
        <v>5254</v>
      </c>
      <c r="N18" s="15">
        <v>0</v>
      </c>
      <c r="O18" s="58">
        <f t="shared" si="1"/>
        <v>0</v>
      </c>
      <c r="P18" s="39">
        <f t="shared" si="2"/>
        <v>13</v>
      </c>
      <c r="Q18" s="40">
        <f t="shared" si="3"/>
        <v>11</v>
      </c>
      <c r="R18" s="7"/>
      <c r="S18" s="6">
        <v>11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0.54166666666666663</v>
      </c>
      <c r="AD18" s="10">
        <f t="shared" si="6"/>
        <v>0.54166666666666663</v>
      </c>
      <c r="AE18" s="36">
        <f t="shared" si="7"/>
        <v>0.73177083333333337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120</v>
      </c>
      <c r="D19" s="52"/>
      <c r="E19" s="53" t="s">
        <v>304</v>
      </c>
      <c r="F19" s="30" t="s">
        <v>305</v>
      </c>
      <c r="G19" s="33">
        <v>1</v>
      </c>
      <c r="H19" s="35">
        <v>24</v>
      </c>
      <c r="I19" s="7">
        <v>13200</v>
      </c>
      <c r="J19" s="14">
        <v>2788</v>
      </c>
      <c r="K19" s="15">
        <f>L19+2646+4266+3583+4683</f>
        <v>17966</v>
      </c>
      <c r="L19" s="15">
        <v>2788</v>
      </c>
      <c r="M19" s="15">
        <f t="shared" si="0"/>
        <v>2788</v>
      </c>
      <c r="N19" s="15">
        <v>0</v>
      </c>
      <c r="O19" s="58">
        <f t="shared" si="1"/>
        <v>0</v>
      </c>
      <c r="P19" s="39">
        <f t="shared" si="2"/>
        <v>11</v>
      </c>
      <c r="Q19" s="40">
        <f t="shared" si="3"/>
        <v>13</v>
      </c>
      <c r="R19" s="7"/>
      <c r="S19" s="6"/>
      <c r="T19" s="16"/>
      <c r="U19" s="16"/>
      <c r="V19" s="17"/>
      <c r="W19" s="5">
        <v>13</v>
      </c>
      <c r="X19" s="16"/>
      <c r="Y19" s="16"/>
      <c r="Z19" s="16"/>
      <c r="AA19" s="18"/>
      <c r="AB19" s="8">
        <f t="shared" si="4"/>
        <v>1</v>
      </c>
      <c r="AC19" s="9">
        <f t="shared" si="5"/>
        <v>0.45833333333333331</v>
      </c>
      <c r="AD19" s="10">
        <f t="shared" si="6"/>
        <v>0.45833333333333331</v>
      </c>
      <c r="AE19" s="36">
        <f t="shared" si="7"/>
        <v>0.73177083333333337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5674</v>
      </c>
      <c r="K20" s="15">
        <f>L20+5680+5650+5595+4980+5238+5654+5218+5376</f>
        <v>49065</v>
      </c>
      <c r="L20" s="15">
        <f>2856+2818</f>
        <v>5674</v>
      </c>
      <c r="M20" s="15">
        <f t="shared" si="0"/>
        <v>5674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0.73177083333333337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60440</v>
      </c>
      <c r="K21" s="15">
        <f>L21+52848+58908+58380+58904</f>
        <v>289480</v>
      </c>
      <c r="L21" s="15">
        <f>7763*4+7347*4</f>
        <v>60440</v>
      </c>
      <c r="M21" s="15">
        <f t="shared" si="0"/>
        <v>60440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0.73177083333333337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1575900</v>
      </c>
      <c r="J22" s="19">
        <f t="shared" si="9"/>
        <v>180285</v>
      </c>
      <c r="K22" s="20">
        <f t="shared" si="9"/>
        <v>866394</v>
      </c>
      <c r="L22" s="21">
        <f t="shared" si="9"/>
        <v>174735</v>
      </c>
      <c r="M22" s="20">
        <f t="shared" si="9"/>
        <v>174735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281</v>
      </c>
      <c r="Q22" s="43">
        <f t="shared" si="10"/>
        <v>103</v>
      </c>
      <c r="R22" s="23">
        <f t="shared" si="10"/>
        <v>0</v>
      </c>
      <c r="S22" s="24">
        <f t="shared" si="10"/>
        <v>17</v>
      </c>
      <c r="T22" s="24">
        <f t="shared" si="10"/>
        <v>0</v>
      </c>
      <c r="U22" s="24">
        <f t="shared" si="10"/>
        <v>0</v>
      </c>
      <c r="V22" s="25">
        <f t="shared" si="10"/>
        <v>14</v>
      </c>
      <c r="W22" s="26">
        <f t="shared" si="10"/>
        <v>69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3</v>
      </c>
      <c r="AB22" s="28">
        <f>AVERAGE(AB6:AB21)</f>
        <v>0.875</v>
      </c>
      <c r="AC22" s="4">
        <f>AVERAGE(AC6:AC21)</f>
        <v>0.73177083333333337</v>
      </c>
      <c r="AD22" s="4">
        <f>AVERAGE(AD6:AD21)</f>
        <v>0.73177083333333337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360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363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295" t="s">
        <v>46</v>
      </c>
      <c r="D51" s="295" t="s">
        <v>47</v>
      </c>
      <c r="E51" s="295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295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80" t="s">
        <v>112</v>
      </c>
      <c r="B52" s="481"/>
      <c r="C52" s="291" t="s">
        <v>192</v>
      </c>
      <c r="D52" s="291" t="s">
        <v>154</v>
      </c>
      <c r="E52" s="291" t="s">
        <v>153</v>
      </c>
      <c r="F52" s="472" t="s">
        <v>187</v>
      </c>
      <c r="G52" s="473"/>
      <c r="H52" s="473"/>
      <c r="I52" s="473"/>
      <c r="J52" s="473"/>
      <c r="K52" s="473"/>
      <c r="L52" s="473"/>
      <c r="M52" s="474"/>
      <c r="N52" s="294" t="s">
        <v>112</v>
      </c>
      <c r="O52" s="288" t="s">
        <v>171</v>
      </c>
      <c r="P52" s="475" t="s">
        <v>256</v>
      </c>
      <c r="Q52" s="476"/>
      <c r="R52" s="475" t="s">
        <v>364</v>
      </c>
      <c r="S52" s="477"/>
      <c r="T52" s="477"/>
      <c r="U52" s="476"/>
      <c r="V52" s="478" t="s">
        <v>187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70" t="s">
        <v>120</v>
      </c>
      <c r="B53" s="471"/>
      <c r="C53" s="290" t="s">
        <v>214</v>
      </c>
      <c r="D53" s="290"/>
      <c r="E53" s="291" t="s">
        <v>266</v>
      </c>
      <c r="F53" s="472" t="s">
        <v>361</v>
      </c>
      <c r="G53" s="473"/>
      <c r="H53" s="473"/>
      <c r="I53" s="473"/>
      <c r="J53" s="473"/>
      <c r="K53" s="473"/>
      <c r="L53" s="473"/>
      <c r="M53" s="474"/>
      <c r="N53" s="294" t="s">
        <v>158</v>
      </c>
      <c r="O53" s="288" t="s">
        <v>243</v>
      </c>
      <c r="P53" s="475" t="s">
        <v>115</v>
      </c>
      <c r="Q53" s="476"/>
      <c r="R53" s="475" t="s">
        <v>365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70" t="s">
        <v>120</v>
      </c>
      <c r="B54" s="471"/>
      <c r="C54" s="290" t="s">
        <v>205</v>
      </c>
      <c r="D54" s="290"/>
      <c r="E54" s="291" t="s">
        <v>241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294" t="s">
        <v>118</v>
      </c>
      <c r="O54" s="288" t="s">
        <v>214</v>
      </c>
      <c r="P54" s="475" t="s">
        <v>115</v>
      </c>
      <c r="Q54" s="476"/>
      <c r="R54" s="475" t="s">
        <v>366</v>
      </c>
      <c r="S54" s="477"/>
      <c r="T54" s="477"/>
      <c r="U54" s="476"/>
      <c r="V54" s="478" t="s">
        <v>187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118</v>
      </c>
      <c r="B55" s="481"/>
      <c r="C55" s="291" t="s">
        <v>147</v>
      </c>
      <c r="D55" s="291" t="s">
        <v>143</v>
      </c>
      <c r="E55" s="291" t="s">
        <v>309</v>
      </c>
      <c r="F55" s="472" t="s">
        <v>362</v>
      </c>
      <c r="G55" s="473"/>
      <c r="H55" s="473"/>
      <c r="I55" s="473"/>
      <c r="J55" s="473"/>
      <c r="K55" s="473"/>
      <c r="L55" s="473"/>
      <c r="M55" s="474"/>
      <c r="N55" s="294" t="s">
        <v>118</v>
      </c>
      <c r="O55" s="288" t="s">
        <v>209</v>
      </c>
      <c r="P55" s="475" t="s">
        <v>368</v>
      </c>
      <c r="Q55" s="476"/>
      <c r="R55" s="475" t="s">
        <v>367</v>
      </c>
      <c r="S55" s="477"/>
      <c r="T55" s="477"/>
      <c r="U55" s="476"/>
      <c r="V55" s="478" t="s">
        <v>187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118</v>
      </c>
      <c r="B56" s="481"/>
      <c r="C56" s="291" t="s">
        <v>313</v>
      </c>
      <c r="D56" s="291" t="s">
        <v>143</v>
      </c>
      <c r="E56" s="291" t="s">
        <v>359</v>
      </c>
      <c r="F56" s="472" t="s">
        <v>187</v>
      </c>
      <c r="G56" s="473"/>
      <c r="H56" s="473"/>
      <c r="I56" s="473"/>
      <c r="J56" s="473"/>
      <c r="K56" s="473"/>
      <c r="L56" s="473"/>
      <c r="M56" s="474"/>
      <c r="N56" s="294"/>
      <c r="O56" s="288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/>
      <c r="B57" s="481"/>
      <c r="C57" s="291"/>
      <c r="D57" s="291"/>
      <c r="E57" s="291"/>
      <c r="F57" s="472"/>
      <c r="G57" s="473"/>
      <c r="H57" s="473"/>
      <c r="I57" s="473"/>
      <c r="J57" s="473"/>
      <c r="K57" s="473"/>
      <c r="L57" s="473"/>
      <c r="M57" s="474"/>
      <c r="N57" s="294"/>
      <c r="O57" s="288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70"/>
      <c r="B58" s="471"/>
      <c r="C58" s="290"/>
      <c r="D58" s="290"/>
      <c r="E58" s="291"/>
      <c r="F58" s="472"/>
      <c r="G58" s="473"/>
      <c r="H58" s="473"/>
      <c r="I58" s="473"/>
      <c r="J58" s="473"/>
      <c r="K58" s="473"/>
      <c r="L58" s="473"/>
      <c r="M58" s="474"/>
      <c r="N58" s="294"/>
      <c r="O58" s="288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291"/>
      <c r="D59" s="291"/>
      <c r="E59" s="291"/>
      <c r="F59" s="472"/>
      <c r="G59" s="473"/>
      <c r="H59" s="473"/>
      <c r="I59" s="473"/>
      <c r="J59" s="473"/>
      <c r="K59" s="473"/>
      <c r="L59" s="473"/>
      <c r="M59" s="474"/>
      <c r="N59" s="294"/>
      <c r="O59" s="288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290"/>
      <c r="D60" s="290"/>
      <c r="E60" s="291"/>
      <c r="F60" s="472"/>
      <c r="G60" s="473"/>
      <c r="H60" s="473"/>
      <c r="I60" s="473"/>
      <c r="J60" s="473"/>
      <c r="K60" s="473"/>
      <c r="L60" s="473"/>
      <c r="M60" s="474"/>
      <c r="N60" s="294"/>
      <c r="O60" s="288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292"/>
      <c r="D61" s="293"/>
      <c r="E61" s="292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369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289" t="s">
        <v>2</v>
      </c>
      <c r="D63" s="289" t="s">
        <v>37</v>
      </c>
      <c r="E63" s="289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289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284"/>
      <c r="E64" s="287" t="s">
        <v>132</v>
      </c>
      <c r="F64" s="499" t="s">
        <v>370</v>
      </c>
      <c r="G64" s="500"/>
      <c r="H64" s="500"/>
      <c r="I64" s="500"/>
      <c r="J64" s="501"/>
      <c r="K64" s="502" t="s">
        <v>133</v>
      </c>
      <c r="L64" s="502"/>
      <c r="M64" s="51" t="s">
        <v>191</v>
      </c>
      <c r="N64" s="503" t="s">
        <v>313</v>
      </c>
      <c r="O64" s="503"/>
      <c r="P64" s="504">
        <v>50</v>
      </c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/>
      <c r="D65" s="284"/>
      <c r="E65" s="287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/>
      <c r="D66" s="284"/>
      <c r="E66" s="287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/>
      <c r="D67" s="284"/>
      <c r="E67" s="287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/>
      <c r="D68" s="284"/>
      <c r="E68" s="287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/>
      <c r="D69" s="284"/>
      <c r="E69" s="287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284"/>
      <c r="E70" s="287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284"/>
      <c r="E71" s="287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284"/>
      <c r="E72" s="287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284"/>
      <c r="E73" s="287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371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286" t="s">
        <v>2</v>
      </c>
      <c r="D75" s="286" t="s">
        <v>37</v>
      </c>
      <c r="E75" s="286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285" t="s">
        <v>112</v>
      </c>
      <c r="D76" s="285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284"/>
      <c r="D77" s="284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284"/>
      <c r="D78" s="284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284"/>
      <c r="D79" s="284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284"/>
      <c r="D80" s="284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284"/>
      <c r="D81" s="284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284"/>
      <c r="D82" s="284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372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76EB-EAB6-4616-8B8D-193A7DF6CE37}">
  <dimension ref="A1:AF88"/>
  <sheetViews>
    <sheetView view="pageBreakPreview" topLeftCell="A61" zoomScale="70" zoomScaleNormal="72" zoomScaleSheetLayoutView="70" workbookViewId="0">
      <selection activeCell="K81" sqref="K81:S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373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297" t="s">
        <v>17</v>
      </c>
      <c r="L5" s="297" t="s">
        <v>18</v>
      </c>
      <c r="M5" s="297" t="s">
        <v>19</v>
      </c>
      <c r="N5" s="29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2268</v>
      </c>
      <c r="K6" s="15">
        <f>L6+2268</f>
        <v>2268</v>
      </c>
      <c r="L6" s="15"/>
      <c r="M6" s="15">
        <f t="shared" ref="M6:M22" si="0">L6-N6</f>
        <v>0</v>
      </c>
      <c r="N6" s="15">
        <v>0</v>
      </c>
      <c r="O6" s="58" t="str">
        <f t="shared" ref="O6:O23" si="1">IF(L6=0,"0",N6/L6)</f>
        <v>0</v>
      </c>
      <c r="P6" s="39" t="str">
        <f t="shared" ref="P6:P22" si="2">IF(L6=0,"0",(24-Q6))</f>
        <v>0</v>
      </c>
      <c r="Q6" s="40">
        <f t="shared" ref="Q6:Q22" si="3">SUM(R6:AA6)</f>
        <v>24</v>
      </c>
      <c r="R6" s="7"/>
      <c r="S6" s="6"/>
      <c r="T6" s="16"/>
      <c r="U6" s="16"/>
      <c r="V6" s="17">
        <v>24</v>
      </c>
      <c r="W6" s="5"/>
      <c r="X6" s="16"/>
      <c r="Y6" s="16"/>
      <c r="Z6" s="16"/>
      <c r="AA6" s="18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6">
        <f t="shared" ref="AE6:AE22" si="7">$AD$23</f>
        <v>0.57598039215686259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8368</v>
      </c>
      <c r="K7" s="15">
        <f>L7+10614</f>
        <v>18982</v>
      </c>
      <c r="L7" s="15">
        <f>2701*2+2966</f>
        <v>8368</v>
      </c>
      <c r="M7" s="15">
        <f t="shared" si="0"/>
        <v>8368</v>
      </c>
      <c r="N7" s="15">
        <v>0</v>
      </c>
      <c r="O7" s="58">
        <f t="shared" si="1"/>
        <v>0</v>
      </c>
      <c r="P7" s="39">
        <f t="shared" si="2"/>
        <v>21</v>
      </c>
      <c r="Q7" s="40">
        <f t="shared" si="3"/>
        <v>3</v>
      </c>
      <c r="R7" s="7"/>
      <c r="S7" s="6">
        <v>3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0.875</v>
      </c>
      <c r="AD7" s="10">
        <f t="shared" si="6"/>
        <v>0.875</v>
      </c>
      <c r="AE7" s="36">
        <f t="shared" si="7"/>
        <v>0.57598039215686259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188</v>
      </c>
      <c r="D8" s="52" t="s">
        <v>225</v>
      </c>
      <c r="E8" s="53" t="s">
        <v>344</v>
      </c>
      <c r="F8" s="30" t="s">
        <v>130</v>
      </c>
      <c r="G8" s="33">
        <v>1</v>
      </c>
      <c r="H8" s="35">
        <v>24</v>
      </c>
      <c r="I8" s="7">
        <v>10600</v>
      </c>
      <c r="J8" s="5">
        <v>2038</v>
      </c>
      <c r="K8" s="15">
        <f>L8+4155+6303</f>
        <v>12496</v>
      </c>
      <c r="L8" s="15">
        <f>2038</f>
        <v>2038</v>
      </c>
      <c r="M8" s="15">
        <f t="shared" si="0"/>
        <v>2038</v>
      </c>
      <c r="N8" s="15">
        <v>0</v>
      </c>
      <c r="O8" s="58">
        <f t="shared" si="1"/>
        <v>0</v>
      </c>
      <c r="P8" s="39">
        <f t="shared" si="2"/>
        <v>8</v>
      </c>
      <c r="Q8" s="40">
        <f t="shared" si="3"/>
        <v>16</v>
      </c>
      <c r="R8" s="7"/>
      <c r="S8" s="6"/>
      <c r="T8" s="16"/>
      <c r="U8" s="16"/>
      <c r="V8" s="17"/>
      <c r="W8" s="5">
        <v>16</v>
      </c>
      <c r="X8" s="16"/>
      <c r="Y8" s="16"/>
      <c r="Z8" s="16"/>
      <c r="AA8" s="18"/>
      <c r="AB8" s="8">
        <f t="shared" si="4"/>
        <v>1</v>
      </c>
      <c r="AC8" s="9">
        <f t="shared" si="5"/>
        <v>0.33333333333333331</v>
      </c>
      <c r="AD8" s="10">
        <f t="shared" si="6"/>
        <v>0.33333333333333331</v>
      </c>
      <c r="AE8" s="36">
        <f t="shared" si="7"/>
        <v>0.57598039215686259</v>
      </c>
      <c r="AF8" s="84">
        <f t="shared" si="8"/>
        <v>3</v>
      </c>
    </row>
    <row r="9" spans="1:32" ht="27" customHeight="1">
      <c r="A9" s="96">
        <v>3</v>
      </c>
      <c r="B9" s="11" t="s">
        <v>57</v>
      </c>
      <c r="C9" s="34" t="s">
        <v>118</v>
      </c>
      <c r="D9" s="52" t="s">
        <v>219</v>
      </c>
      <c r="E9" s="53" t="s">
        <v>374</v>
      </c>
      <c r="F9" s="30" t="s">
        <v>355</v>
      </c>
      <c r="G9" s="33">
        <v>1</v>
      </c>
      <c r="H9" s="35">
        <v>24</v>
      </c>
      <c r="I9" s="7">
        <v>10000</v>
      </c>
      <c r="J9" s="5">
        <v>3234</v>
      </c>
      <c r="K9" s="15">
        <f>L9</f>
        <v>3234</v>
      </c>
      <c r="L9" s="15">
        <v>3234</v>
      </c>
      <c r="M9" s="15">
        <f t="shared" ref="M9" si="9">L9-N9</f>
        <v>3234</v>
      </c>
      <c r="N9" s="15">
        <v>0</v>
      </c>
      <c r="O9" s="58">
        <f t="shared" ref="O9" si="10">IF(L9=0,"0",N9/L9)</f>
        <v>0</v>
      </c>
      <c r="P9" s="39">
        <f t="shared" ref="P9" si="11">IF(L9=0,"0",(24-Q9))</f>
        <v>14</v>
      </c>
      <c r="Q9" s="40">
        <f t="shared" ref="Q9" si="12">SUM(R9:AA9)</f>
        <v>10</v>
      </c>
      <c r="R9" s="7"/>
      <c r="S9" s="6"/>
      <c r="T9" s="16">
        <v>10</v>
      </c>
      <c r="U9" s="16"/>
      <c r="V9" s="17"/>
      <c r="W9" s="5"/>
      <c r="X9" s="16"/>
      <c r="Y9" s="16"/>
      <c r="Z9" s="16"/>
      <c r="AA9" s="18"/>
      <c r="AB9" s="8">
        <f t="shared" ref="AB9" si="13">IF(J9=0,"0",(L9/J9))</f>
        <v>1</v>
      </c>
      <c r="AC9" s="9">
        <f t="shared" ref="AC9" si="14">IF(P9=0,"0",(P9/24))</f>
        <v>0.58333333333333337</v>
      </c>
      <c r="AD9" s="10">
        <f t="shared" ref="AD9" si="15">AC9*AB9*(1-O9)</f>
        <v>0.58333333333333337</v>
      </c>
      <c r="AE9" s="36">
        <f t="shared" si="7"/>
        <v>0.57598039215686259</v>
      </c>
      <c r="AF9" s="84">
        <f t="shared" ref="AF9" si="16">A9</f>
        <v>3</v>
      </c>
    </row>
    <row r="10" spans="1:32" ht="27" customHeight="1">
      <c r="A10" s="96">
        <v>4</v>
      </c>
      <c r="B10" s="11" t="s">
        <v>57</v>
      </c>
      <c r="C10" s="34" t="s">
        <v>118</v>
      </c>
      <c r="D10" s="52" t="s">
        <v>140</v>
      </c>
      <c r="E10" s="53" t="s">
        <v>138</v>
      </c>
      <c r="F10" s="30" t="s">
        <v>135</v>
      </c>
      <c r="G10" s="12">
        <v>1</v>
      </c>
      <c r="H10" s="13">
        <v>24</v>
      </c>
      <c r="I10" s="7">
        <v>65000</v>
      </c>
      <c r="J10" s="14">
        <v>4573</v>
      </c>
      <c r="K10" s="15">
        <f>L10+1344+2695+2818+1363+3398+4807+5146+5399+5363+4916+4752+2389+5076+5367+4162+3442+4709+5270+3351+4112+5541+1793+4649</f>
        <v>96435</v>
      </c>
      <c r="L10" s="15">
        <f>1878+2695</f>
        <v>4573</v>
      </c>
      <c r="M10" s="15">
        <f t="shared" si="0"/>
        <v>4573</v>
      </c>
      <c r="N10" s="15">
        <v>0</v>
      </c>
      <c r="O10" s="58">
        <f t="shared" si="1"/>
        <v>0</v>
      </c>
      <c r="P10" s="39">
        <f t="shared" si="2"/>
        <v>22</v>
      </c>
      <c r="Q10" s="40">
        <f t="shared" si="3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0.91666666666666663</v>
      </c>
      <c r="AD10" s="10">
        <f t="shared" si="6"/>
        <v>0.91666666666666663</v>
      </c>
      <c r="AE10" s="36">
        <f t="shared" si="7"/>
        <v>0.57598039215686259</v>
      </c>
      <c r="AF10" s="84">
        <f t="shared" si="8"/>
        <v>4</v>
      </c>
    </row>
    <row r="11" spans="1:32" ht="27" customHeight="1">
      <c r="A11" s="96">
        <v>5</v>
      </c>
      <c r="B11" s="11" t="s">
        <v>57</v>
      </c>
      <c r="C11" s="11" t="s">
        <v>112</v>
      </c>
      <c r="D11" s="52" t="s">
        <v>256</v>
      </c>
      <c r="E11" s="53" t="s">
        <v>364</v>
      </c>
      <c r="F11" s="30" t="s">
        <v>146</v>
      </c>
      <c r="G11" s="33">
        <v>1</v>
      </c>
      <c r="H11" s="35">
        <v>24</v>
      </c>
      <c r="I11" s="7">
        <v>480</v>
      </c>
      <c r="J11" s="14">
        <v>642</v>
      </c>
      <c r="K11" s="15">
        <f>L11</f>
        <v>642</v>
      </c>
      <c r="L11" s="15">
        <v>642</v>
      </c>
      <c r="M11" s="15">
        <f t="shared" si="0"/>
        <v>642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6">
        <f t="shared" si="7"/>
        <v>0.57598039215686259</v>
      </c>
      <c r="AF11" s="84">
        <f t="shared" si="8"/>
        <v>5</v>
      </c>
    </row>
    <row r="12" spans="1:32" ht="27" customHeight="1">
      <c r="A12" s="96">
        <v>6</v>
      </c>
      <c r="B12" s="11" t="s">
        <v>57</v>
      </c>
      <c r="C12" s="11" t="s">
        <v>118</v>
      </c>
      <c r="D12" s="52" t="s">
        <v>140</v>
      </c>
      <c r="E12" s="53" t="s">
        <v>359</v>
      </c>
      <c r="F12" s="30" t="s">
        <v>146</v>
      </c>
      <c r="G12" s="33">
        <v>1</v>
      </c>
      <c r="H12" s="35">
        <v>24</v>
      </c>
      <c r="I12" s="7">
        <v>28000</v>
      </c>
      <c r="J12" s="14">
        <v>6023</v>
      </c>
      <c r="K12" s="15">
        <f>L12+5768</f>
        <v>11791</v>
      </c>
      <c r="L12" s="15">
        <f>3165+2858</f>
        <v>6023</v>
      </c>
      <c r="M12" s="15">
        <f t="shared" si="0"/>
        <v>6023</v>
      </c>
      <c r="N12" s="15">
        <v>0</v>
      </c>
      <c r="O12" s="58">
        <f t="shared" si="1"/>
        <v>0</v>
      </c>
      <c r="P12" s="39">
        <f t="shared" si="2"/>
        <v>24</v>
      </c>
      <c r="Q12" s="40">
        <f t="shared" si="3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1</v>
      </c>
      <c r="AD12" s="10">
        <f t="shared" si="6"/>
        <v>1</v>
      </c>
      <c r="AE12" s="36">
        <f t="shared" si="7"/>
        <v>0.57598039215686259</v>
      </c>
      <c r="AF12" s="84">
        <f t="shared" si="8"/>
        <v>6</v>
      </c>
    </row>
    <row r="13" spans="1:32" ht="27" customHeight="1">
      <c r="A13" s="96">
        <v>7</v>
      </c>
      <c r="B13" s="11" t="s">
        <v>57</v>
      </c>
      <c r="C13" s="34" t="s">
        <v>118</v>
      </c>
      <c r="D13" s="52" t="s">
        <v>115</v>
      </c>
      <c r="E13" s="53" t="s">
        <v>294</v>
      </c>
      <c r="F13" s="30" t="s">
        <v>302</v>
      </c>
      <c r="G13" s="12">
        <v>1</v>
      </c>
      <c r="H13" s="13">
        <v>22</v>
      </c>
      <c r="I13" s="31">
        <v>70000</v>
      </c>
      <c r="J13" s="5">
        <v>3364</v>
      </c>
      <c r="K13" s="15">
        <f>L13+4597+5041+5597+5567+5537</f>
        <v>29703</v>
      </c>
      <c r="L13" s="15">
        <f>2793+571</f>
        <v>3364</v>
      </c>
      <c r="M13" s="15">
        <f t="shared" si="0"/>
        <v>3364</v>
      </c>
      <c r="N13" s="15">
        <v>0</v>
      </c>
      <c r="O13" s="58">
        <f t="shared" si="1"/>
        <v>0</v>
      </c>
      <c r="P13" s="39">
        <f t="shared" si="2"/>
        <v>14</v>
      </c>
      <c r="Q13" s="40">
        <f t="shared" si="3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0.58333333333333337</v>
      </c>
      <c r="AD13" s="10">
        <f t="shared" si="6"/>
        <v>0.58333333333333337</v>
      </c>
      <c r="AE13" s="36">
        <f t="shared" si="7"/>
        <v>0.57598039215686259</v>
      </c>
      <c r="AF13" s="84">
        <f t="shared" si="8"/>
        <v>7</v>
      </c>
    </row>
    <row r="14" spans="1:32" ht="27" customHeight="1">
      <c r="A14" s="96">
        <v>8</v>
      </c>
      <c r="B14" s="11" t="s">
        <v>57</v>
      </c>
      <c r="C14" s="11" t="s">
        <v>375</v>
      </c>
      <c r="D14" s="52"/>
      <c r="E14" s="53" t="s">
        <v>376</v>
      </c>
      <c r="F14" s="30" t="s">
        <v>142</v>
      </c>
      <c r="G14" s="33">
        <v>3</v>
      </c>
      <c r="H14" s="35">
        <v>24</v>
      </c>
      <c r="I14" s="7">
        <v>2000</v>
      </c>
      <c r="J14" s="14">
        <v>6939</v>
      </c>
      <c r="K14" s="15">
        <f>L14</f>
        <v>6939</v>
      </c>
      <c r="L14" s="15">
        <f>2313*3</f>
        <v>6939</v>
      </c>
      <c r="M14" s="15">
        <f t="shared" si="0"/>
        <v>6939</v>
      </c>
      <c r="N14" s="15">
        <v>0</v>
      </c>
      <c r="O14" s="58">
        <f t="shared" si="1"/>
        <v>0</v>
      </c>
      <c r="P14" s="39">
        <f t="shared" si="2"/>
        <v>15</v>
      </c>
      <c r="Q14" s="40">
        <f t="shared" si="3"/>
        <v>9</v>
      </c>
      <c r="R14" s="7"/>
      <c r="S14" s="6"/>
      <c r="T14" s="16">
        <v>9</v>
      </c>
      <c r="U14" s="16"/>
      <c r="V14" s="17"/>
      <c r="W14" s="5"/>
      <c r="X14" s="16"/>
      <c r="Y14" s="16"/>
      <c r="Z14" s="16"/>
      <c r="AA14" s="18"/>
      <c r="AB14" s="8">
        <f t="shared" si="4"/>
        <v>1</v>
      </c>
      <c r="AC14" s="9">
        <f t="shared" si="5"/>
        <v>0.625</v>
      </c>
      <c r="AD14" s="10">
        <f t="shared" si="6"/>
        <v>0.625</v>
      </c>
      <c r="AE14" s="36">
        <f t="shared" si="7"/>
        <v>0.57598039215686259</v>
      </c>
      <c r="AF14" s="84">
        <f t="shared" si="8"/>
        <v>8</v>
      </c>
    </row>
    <row r="15" spans="1:32" ht="27" customHeight="1">
      <c r="A15" s="105">
        <v>9</v>
      </c>
      <c r="B15" s="11" t="s">
        <v>57</v>
      </c>
      <c r="C15" s="34" t="s">
        <v>158</v>
      </c>
      <c r="D15" s="52" t="s">
        <v>115</v>
      </c>
      <c r="E15" s="53" t="s">
        <v>365</v>
      </c>
      <c r="F15" s="30" t="s">
        <v>377</v>
      </c>
      <c r="G15" s="33">
        <v>1</v>
      </c>
      <c r="H15" s="35">
        <v>50</v>
      </c>
      <c r="I15" s="7">
        <v>200</v>
      </c>
      <c r="J15" s="5">
        <v>296</v>
      </c>
      <c r="K15" s="15">
        <f>L15</f>
        <v>296</v>
      </c>
      <c r="L15" s="15">
        <f>296</f>
        <v>296</v>
      </c>
      <c r="M15" s="15">
        <f t="shared" si="0"/>
        <v>296</v>
      </c>
      <c r="N15" s="15">
        <v>0</v>
      </c>
      <c r="O15" s="58">
        <f t="shared" si="1"/>
        <v>0</v>
      </c>
      <c r="P15" s="39">
        <f t="shared" si="2"/>
        <v>5</v>
      </c>
      <c r="Q15" s="40">
        <f t="shared" si="3"/>
        <v>19</v>
      </c>
      <c r="R15" s="7"/>
      <c r="S15" s="6"/>
      <c r="T15" s="16"/>
      <c r="U15" s="16"/>
      <c r="V15" s="17"/>
      <c r="W15" s="5">
        <v>19</v>
      </c>
      <c r="X15" s="16"/>
      <c r="Y15" s="16"/>
      <c r="Z15" s="16"/>
      <c r="AA15" s="18"/>
      <c r="AB15" s="8">
        <f t="shared" si="4"/>
        <v>1</v>
      </c>
      <c r="AC15" s="9">
        <f t="shared" si="5"/>
        <v>0.20833333333333334</v>
      </c>
      <c r="AD15" s="10">
        <f t="shared" si="6"/>
        <v>0.20833333333333334</v>
      </c>
      <c r="AE15" s="36">
        <f t="shared" si="7"/>
        <v>0.57598039215686259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188</v>
      </c>
      <c r="D16" s="52" t="s">
        <v>137</v>
      </c>
      <c r="E16" s="53" t="s">
        <v>338</v>
      </c>
      <c r="F16" s="12" t="s">
        <v>144</v>
      </c>
      <c r="G16" s="12">
        <v>2</v>
      </c>
      <c r="H16" s="13">
        <v>24</v>
      </c>
      <c r="I16" s="31">
        <v>27200</v>
      </c>
      <c r="J16" s="14">
        <v>10618</v>
      </c>
      <c r="K16" s="15">
        <f>L16+6538+12196</f>
        <v>29352</v>
      </c>
      <c r="L16" s="15">
        <f>2659*2+2650*2</f>
        <v>10618</v>
      </c>
      <c r="M16" s="15">
        <f t="shared" si="0"/>
        <v>10618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0.57598039215686259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219</v>
      </c>
      <c r="E17" s="53" t="s">
        <v>220</v>
      </c>
      <c r="F17" s="30" t="s">
        <v>133</v>
      </c>
      <c r="G17" s="12">
        <v>1</v>
      </c>
      <c r="H17" s="13">
        <v>24</v>
      </c>
      <c r="I17" s="7">
        <v>95000</v>
      </c>
      <c r="J17" s="14">
        <v>5589</v>
      </c>
      <c r="K17" s="15">
        <f>L17+4303+5850+5280+5606+5547+5173+5805+5835+6039</f>
        <v>55027</v>
      </c>
      <c r="L17" s="15">
        <f>2939+2650</f>
        <v>5589</v>
      </c>
      <c r="M17" s="15">
        <f t="shared" si="0"/>
        <v>5589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0.57598039215686259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188</v>
      </c>
      <c r="D18" s="52" t="s">
        <v>296</v>
      </c>
      <c r="E18" s="53" t="s">
        <v>295</v>
      </c>
      <c r="F18" s="30" t="s">
        <v>303</v>
      </c>
      <c r="G18" s="12">
        <v>5</v>
      </c>
      <c r="H18" s="13">
        <v>24</v>
      </c>
      <c r="I18" s="7">
        <v>200000</v>
      </c>
      <c r="J18" s="14">
        <v>36685</v>
      </c>
      <c r="K18" s="15">
        <f>L18+33015+35895+37090+38775+40475</f>
        <v>221935</v>
      </c>
      <c r="L18" s="15">
        <f>3901*5+3436*5</f>
        <v>36685</v>
      </c>
      <c r="M18" s="15">
        <f t="shared" si="0"/>
        <v>36685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0.57598039215686259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366</v>
      </c>
      <c r="F19" s="30" t="s">
        <v>130</v>
      </c>
      <c r="G19" s="33">
        <v>1</v>
      </c>
      <c r="H19" s="35">
        <v>24</v>
      </c>
      <c r="I19" s="7">
        <v>10000</v>
      </c>
      <c r="J19" s="14">
        <v>5254</v>
      </c>
      <c r="K19" s="15">
        <f>L19</f>
        <v>0</v>
      </c>
      <c r="L19" s="15">
        <f>0</f>
        <v>0</v>
      </c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0.57598039215686259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118</v>
      </c>
      <c r="D20" s="52" t="s">
        <v>378</v>
      </c>
      <c r="E20" s="53" t="s">
        <v>367</v>
      </c>
      <c r="F20" s="30" t="s">
        <v>135</v>
      </c>
      <c r="G20" s="33">
        <v>1</v>
      </c>
      <c r="H20" s="35">
        <v>24</v>
      </c>
      <c r="I20" s="7">
        <v>18000</v>
      </c>
      <c r="J20" s="14">
        <v>4424</v>
      </c>
      <c r="K20" s="15">
        <f>L20</f>
        <v>4424</v>
      </c>
      <c r="L20" s="15">
        <f>1864+2560</f>
        <v>4424</v>
      </c>
      <c r="M20" s="15">
        <f t="shared" si="0"/>
        <v>4424</v>
      </c>
      <c r="N20" s="15">
        <v>0</v>
      </c>
      <c r="O20" s="58">
        <f t="shared" si="1"/>
        <v>0</v>
      </c>
      <c r="P20" s="39">
        <f t="shared" si="2"/>
        <v>22</v>
      </c>
      <c r="Q20" s="40">
        <f t="shared" si="3"/>
        <v>2</v>
      </c>
      <c r="R20" s="7"/>
      <c r="S20" s="6"/>
      <c r="T20" s="16">
        <v>2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6">
        <f t="shared" si="7"/>
        <v>0.57598039215686259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148</v>
      </c>
      <c r="F21" s="30" t="s">
        <v>130</v>
      </c>
      <c r="G21" s="12">
        <v>1</v>
      </c>
      <c r="H21" s="13">
        <v>24</v>
      </c>
      <c r="I21" s="7">
        <v>62000</v>
      </c>
      <c r="J21" s="14">
        <v>2421</v>
      </c>
      <c r="K21" s="15">
        <f>L21+5680+5650+5595+4980+5238+5654+5218+5376+5674</f>
        <v>51486</v>
      </c>
      <c r="L21" s="15">
        <f>2421</f>
        <v>2421</v>
      </c>
      <c r="M21" s="15">
        <f t="shared" si="0"/>
        <v>2421</v>
      </c>
      <c r="N21" s="15">
        <v>0</v>
      </c>
      <c r="O21" s="58">
        <f t="shared" si="1"/>
        <v>0</v>
      </c>
      <c r="P21" s="39">
        <f t="shared" si="2"/>
        <v>10</v>
      </c>
      <c r="Q21" s="40">
        <f t="shared" si="3"/>
        <v>14</v>
      </c>
      <c r="R21" s="7"/>
      <c r="S21" s="6">
        <v>14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0.41666666666666669</v>
      </c>
      <c r="AD21" s="10">
        <f t="shared" si="6"/>
        <v>0.41666666666666669</v>
      </c>
      <c r="AE21" s="36">
        <f t="shared" si="7"/>
        <v>0.57598039215686259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306</v>
      </c>
      <c r="F22" s="12" t="s">
        <v>114</v>
      </c>
      <c r="G22" s="12">
        <v>4</v>
      </c>
      <c r="H22" s="35">
        <v>20</v>
      </c>
      <c r="I22" s="7">
        <v>800000</v>
      </c>
      <c r="J22" s="14">
        <v>12000</v>
      </c>
      <c r="K22" s="15">
        <f>L22+52848+58908+58380+58904+60440</f>
        <v>301480</v>
      </c>
      <c r="L22" s="15">
        <f>3000*4</f>
        <v>12000</v>
      </c>
      <c r="M22" s="15">
        <f t="shared" si="0"/>
        <v>12000</v>
      </c>
      <c r="N22" s="15">
        <v>0</v>
      </c>
      <c r="O22" s="58">
        <f t="shared" si="1"/>
        <v>0</v>
      </c>
      <c r="P22" s="39">
        <f t="shared" si="2"/>
        <v>4</v>
      </c>
      <c r="Q22" s="40">
        <f t="shared" si="3"/>
        <v>20</v>
      </c>
      <c r="R22" s="7"/>
      <c r="S22" s="6">
        <v>20</v>
      </c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0.16666666666666666</v>
      </c>
      <c r="AD22" s="10">
        <f t="shared" si="6"/>
        <v>0.16666666666666666</v>
      </c>
      <c r="AE22" s="36">
        <f t="shared" si="7"/>
        <v>0.57598039215686259</v>
      </c>
      <c r="AF22" s="84">
        <f t="shared" si="8"/>
        <v>16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2">
        <f t="shared" ref="I23:N23" si="17">SUM(I6:I22)</f>
        <v>1457980</v>
      </c>
      <c r="J23" s="19">
        <f t="shared" si="17"/>
        <v>114736</v>
      </c>
      <c r="K23" s="20">
        <f t="shared" si="17"/>
        <v>846490</v>
      </c>
      <c r="L23" s="21">
        <f t="shared" si="17"/>
        <v>107214</v>
      </c>
      <c r="M23" s="20">
        <f t="shared" si="17"/>
        <v>107214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235</v>
      </c>
      <c r="Q23" s="43">
        <f t="shared" si="18"/>
        <v>173</v>
      </c>
      <c r="R23" s="23">
        <f t="shared" si="18"/>
        <v>0</v>
      </c>
      <c r="S23" s="24">
        <f t="shared" si="18"/>
        <v>73</v>
      </c>
      <c r="T23" s="24">
        <f t="shared" si="18"/>
        <v>21</v>
      </c>
      <c r="U23" s="24">
        <f t="shared" si="18"/>
        <v>0</v>
      </c>
      <c r="V23" s="25">
        <f t="shared" si="18"/>
        <v>24</v>
      </c>
      <c r="W23" s="26">
        <f t="shared" si="18"/>
        <v>55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0</v>
      </c>
      <c r="AB23" s="28">
        <f>AVERAGE(AB6:AB22)</f>
        <v>0.88235294117647056</v>
      </c>
      <c r="AC23" s="4">
        <f>AVERAGE(AC6:AC22)</f>
        <v>0.57598039215686259</v>
      </c>
      <c r="AD23" s="4">
        <f>AVERAGE(AD6:AD22)</f>
        <v>0.57598039215686259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7" t="s">
        <v>45</v>
      </c>
      <c r="B50" s="447"/>
      <c r="C50" s="447"/>
      <c r="D50" s="447"/>
      <c r="E50" s="4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8" t="s">
        <v>379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384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298" t="s">
        <v>46</v>
      </c>
      <c r="D52" s="298" t="s">
        <v>47</v>
      </c>
      <c r="E52" s="298" t="s">
        <v>107</v>
      </c>
      <c r="F52" s="456" t="s">
        <v>106</v>
      </c>
      <c r="G52" s="457"/>
      <c r="H52" s="457"/>
      <c r="I52" s="457"/>
      <c r="J52" s="457"/>
      <c r="K52" s="457"/>
      <c r="L52" s="457"/>
      <c r="M52" s="458"/>
      <c r="N52" s="67" t="s">
        <v>110</v>
      </c>
      <c r="O52" s="298" t="s">
        <v>46</v>
      </c>
      <c r="P52" s="456" t="s">
        <v>47</v>
      </c>
      <c r="Q52" s="459"/>
      <c r="R52" s="456" t="s">
        <v>38</v>
      </c>
      <c r="S52" s="457"/>
      <c r="T52" s="457"/>
      <c r="U52" s="459"/>
      <c r="V52" s="456" t="s">
        <v>48</v>
      </c>
      <c r="W52" s="457"/>
      <c r="X52" s="457"/>
      <c r="Y52" s="457"/>
      <c r="Z52" s="457"/>
      <c r="AA52" s="457"/>
      <c r="AB52" s="457"/>
      <c r="AC52" s="457"/>
      <c r="AD52" s="458"/>
    </row>
    <row r="53" spans="1:32" ht="27" customHeight="1">
      <c r="A53" s="470" t="s">
        <v>120</v>
      </c>
      <c r="B53" s="471"/>
      <c r="C53" s="299" t="s">
        <v>205</v>
      </c>
      <c r="D53" s="299"/>
      <c r="E53" s="301" t="s">
        <v>241</v>
      </c>
      <c r="F53" s="472" t="s">
        <v>380</v>
      </c>
      <c r="G53" s="473"/>
      <c r="H53" s="473"/>
      <c r="I53" s="473"/>
      <c r="J53" s="473"/>
      <c r="K53" s="473"/>
      <c r="L53" s="473"/>
      <c r="M53" s="474"/>
      <c r="N53" s="300" t="s">
        <v>188</v>
      </c>
      <c r="O53" s="306" t="s">
        <v>171</v>
      </c>
      <c r="P53" s="475" t="s">
        <v>143</v>
      </c>
      <c r="Q53" s="476"/>
      <c r="R53" s="475" t="s">
        <v>385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70" t="s">
        <v>118</v>
      </c>
      <c r="B54" s="471"/>
      <c r="C54" s="299" t="s">
        <v>131</v>
      </c>
      <c r="D54" s="299" t="s">
        <v>219</v>
      </c>
      <c r="E54" s="301" t="s">
        <v>374</v>
      </c>
      <c r="F54" s="472" t="s">
        <v>187</v>
      </c>
      <c r="G54" s="473"/>
      <c r="H54" s="473"/>
      <c r="I54" s="473"/>
      <c r="J54" s="473"/>
      <c r="K54" s="473"/>
      <c r="L54" s="473"/>
      <c r="M54" s="474"/>
      <c r="N54" s="300" t="s">
        <v>118</v>
      </c>
      <c r="O54" s="306" t="s">
        <v>214</v>
      </c>
      <c r="P54" s="475" t="s">
        <v>115</v>
      </c>
      <c r="Q54" s="476"/>
      <c r="R54" s="475" t="s">
        <v>366</v>
      </c>
      <c r="S54" s="477"/>
      <c r="T54" s="477"/>
      <c r="U54" s="476"/>
      <c r="V54" s="478" t="s">
        <v>124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118</v>
      </c>
      <c r="B55" s="481"/>
      <c r="C55" s="301" t="s">
        <v>147</v>
      </c>
      <c r="D55" s="301" t="s">
        <v>143</v>
      </c>
      <c r="E55" s="301" t="s">
        <v>309</v>
      </c>
      <c r="F55" s="472" t="s">
        <v>362</v>
      </c>
      <c r="G55" s="473"/>
      <c r="H55" s="473"/>
      <c r="I55" s="473"/>
      <c r="J55" s="473"/>
      <c r="K55" s="473"/>
      <c r="L55" s="473"/>
      <c r="M55" s="474"/>
      <c r="N55" s="300" t="s">
        <v>120</v>
      </c>
      <c r="O55" s="306" t="s">
        <v>205</v>
      </c>
      <c r="P55" s="475"/>
      <c r="Q55" s="476"/>
      <c r="R55" s="475" t="s">
        <v>241</v>
      </c>
      <c r="S55" s="477"/>
      <c r="T55" s="477"/>
      <c r="U55" s="476"/>
      <c r="V55" s="478" t="s">
        <v>124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112</v>
      </c>
      <c r="B56" s="481"/>
      <c r="C56" s="301" t="s">
        <v>171</v>
      </c>
      <c r="D56" s="301" t="s">
        <v>256</v>
      </c>
      <c r="E56" s="301" t="s">
        <v>364</v>
      </c>
      <c r="F56" s="472" t="s">
        <v>187</v>
      </c>
      <c r="G56" s="473"/>
      <c r="H56" s="473"/>
      <c r="I56" s="473"/>
      <c r="J56" s="473"/>
      <c r="K56" s="473"/>
      <c r="L56" s="473"/>
      <c r="M56" s="474"/>
      <c r="N56" s="300" t="s">
        <v>112</v>
      </c>
      <c r="O56" s="306" t="s">
        <v>182</v>
      </c>
      <c r="P56" s="475" t="s">
        <v>115</v>
      </c>
      <c r="Q56" s="476"/>
      <c r="R56" s="475" t="s">
        <v>148</v>
      </c>
      <c r="S56" s="477"/>
      <c r="T56" s="477"/>
      <c r="U56" s="476"/>
      <c r="V56" s="478" t="s">
        <v>124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118</v>
      </c>
      <c r="B57" s="481"/>
      <c r="C57" s="301" t="s">
        <v>149</v>
      </c>
      <c r="D57" s="301" t="s">
        <v>115</v>
      </c>
      <c r="E57" s="301" t="s">
        <v>294</v>
      </c>
      <c r="F57" s="472" t="s">
        <v>381</v>
      </c>
      <c r="G57" s="473"/>
      <c r="H57" s="473"/>
      <c r="I57" s="473"/>
      <c r="J57" s="473"/>
      <c r="K57" s="473"/>
      <c r="L57" s="473"/>
      <c r="M57" s="474"/>
      <c r="N57" s="300" t="s">
        <v>118</v>
      </c>
      <c r="O57" s="306" t="s">
        <v>147</v>
      </c>
      <c r="P57" s="475" t="s">
        <v>143</v>
      </c>
      <c r="Q57" s="476"/>
      <c r="R57" s="475" t="s">
        <v>309</v>
      </c>
      <c r="S57" s="477"/>
      <c r="T57" s="477"/>
      <c r="U57" s="476"/>
      <c r="V57" s="478" t="s">
        <v>124</v>
      </c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118</v>
      </c>
      <c r="B58" s="481"/>
      <c r="C58" s="301" t="s">
        <v>214</v>
      </c>
      <c r="D58" s="301" t="s">
        <v>115</v>
      </c>
      <c r="E58" s="301" t="s">
        <v>366</v>
      </c>
      <c r="F58" s="472" t="s">
        <v>278</v>
      </c>
      <c r="G58" s="473"/>
      <c r="H58" s="473"/>
      <c r="I58" s="473"/>
      <c r="J58" s="473"/>
      <c r="K58" s="473"/>
      <c r="L58" s="473"/>
      <c r="M58" s="474"/>
      <c r="N58" s="300" t="s">
        <v>113</v>
      </c>
      <c r="O58" s="306" t="s">
        <v>386</v>
      </c>
      <c r="P58" s="475"/>
      <c r="Q58" s="476"/>
      <c r="R58" s="475" t="s">
        <v>306</v>
      </c>
      <c r="S58" s="477"/>
      <c r="T58" s="477"/>
      <c r="U58" s="476"/>
      <c r="V58" s="478" t="s">
        <v>124</v>
      </c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70" t="s">
        <v>118</v>
      </c>
      <c r="B59" s="471"/>
      <c r="C59" s="299" t="s">
        <v>209</v>
      </c>
      <c r="D59" s="299" t="s">
        <v>382</v>
      </c>
      <c r="E59" s="301" t="s">
        <v>367</v>
      </c>
      <c r="F59" s="472" t="s">
        <v>187</v>
      </c>
      <c r="G59" s="473"/>
      <c r="H59" s="473"/>
      <c r="I59" s="473"/>
      <c r="J59" s="473"/>
      <c r="K59" s="473"/>
      <c r="L59" s="473"/>
      <c r="M59" s="474"/>
      <c r="N59" s="300"/>
      <c r="O59" s="306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80" t="s">
        <v>112</v>
      </c>
      <c r="B60" s="481"/>
      <c r="C60" s="301" t="s">
        <v>182</v>
      </c>
      <c r="D60" s="301" t="s">
        <v>115</v>
      </c>
      <c r="E60" s="301" t="s">
        <v>148</v>
      </c>
      <c r="F60" s="472" t="s">
        <v>383</v>
      </c>
      <c r="G60" s="473"/>
      <c r="H60" s="473"/>
      <c r="I60" s="473"/>
      <c r="J60" s="473"/>
      <c r="K60" s="473"/>
      <c r="L60" s="473"/>
      <c r="M60" s="474"/>
      <c r="N60" s="300"/>
      <c r="O60" s="306"/>
      <c r="P60" s="475"/>
      <c r="Q60" s="476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 t="s">
        <v>158</v>
      </c>
      <c r="B61" s="471"/>
      <c r="C61" s="299" t="s">
        <v>243</v>
      </c>
      <c r="D61" s="299" t="s">
        <v>115</v>
      </c>
      <c r="E61" s="301" t="s">
        <v>365</v>
      </c>
      <c r="F61" s="472" t="s">
        <v>187</v>
      </c>
      <c r="G61" s="473"/>
      <c r="H61" s="473"/>
      <c r="I61" s="473"/>
      <c r="J61" s="473"/>
      <c r="K61" s="473"/>
      <c r="L61" s="473"/>
      <c r="M61" s="474"/>
      <c r="N61" s="300"/>
      <c r="O61" s="306"/>
      <c r="P61" s="481"/>
      <c r="Q61" s="481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  <c r="AF61" s="84">
        <f>8*3000</f>
        <v>24000</v>
      </c>
    </row>
    <row r="62" spans="1:32" ht="27" customHeight="1" thickBot="1">
      <c r="A62" s="482" t="s">
        <v>113</v>
      </c>
      <c r="B62" s="483"/>
      <c r="C62" s="302" t="s">
        <v>386</v>
      </c>
      <c r="D62" s="303"/>
      <c r="E62" s="302" t="s">
        <v>306</v>
      </c>
      <c r="F62" s="484" t="s">
        <v>387</v>
      </c>
      <c r="G62" s="485"/>
      <c r="H62" s="485"/>
      <c r="I62" s="485"/>
      <c r="J62" s="485"/>
      <c r="K62" s="485"/>
      <c r="L62" s="485"/>
      <c r="M62" s="486"/>
      <c r="N62" s="111"/>
      <c r="O62" s="103"/>
      <c r="P62" s="487"/>
      <c r="Q62" s="487"/>
      <c r="R62" s="487"/>
      <c r="S62" s="487"/>
      <c r="T62" s="487"/>
      <c r="U62" s="487"/>
      <c r="V62" s="488"/>
      <c r="W62" s="488"/>
      <c r="X62" s="488"/>
      <c r="Y62" s="488"/>
      <c r="Z62" s="488"/>
      <c r="AA62" s="488"/>
      <c r="AB62" s="488"/>
      <c r="AC62" s="488"/>
      <c r="AD62" s="489"/>
      <c r="AF62" s="84">
        <f>16*3000</f>
        <v>48000</v>
      </c>
    </row>
    <row r="63" spans="1:32" ht="27.75" thickBot="1">
      <c r="A63" s="490" t="s">
        <v>388</v>
      </c>
      <c r="B63" s="490"/>
      <c r="C63" s="490"/>
      <c r="D63" s="490"/>
      <c r="E63" s="49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1" t="s">
        <v>111</v>
      </c>
      <c r="B64" s="492"/>
      <c r="C64" s="304" t="s">
        <v>2</v>
      </c>
      <c r="D64" s="304" t="s">
        <v>37</v>
      </c>
      <c r="E64" s="304" t="s">
        <v>3</v>
      </c>
      <c r="F64" s="492" t="s">
        <v>109</v>
      </c>
      <c r="G64" s="492"/>
      <c r="H64" s="492"/>
      <c r="I64" s="492"/>
      <c r="J64" s="492"/>
      <c r="K64" s="492" t="s">
        <v>39</v>
      </c>
      <c r="L64" s="492"/>
      <c r="M64" s="304" t="s">
        <v>40</v>
      </c>
      <c r="N64" s="492" t="s">
        <v>41</v>
      </c>
      <c r="O64" s="492"/>
      <c r="P64" s="493" t="s">
        <v>42</v>
      </c>
      <c r="Q64" s="494"/>
      <c r="R64" s="493" t="s">
        <v>43</v>
      </c>
      <c r="S64" s="495"/>
      <c r="T64" s="495"/>
      <c r="U64" s="495"/>
      <c r="V64" s="495"/>
      <c r="W64" s="495"/>
      <c r="X64" s="495"/>
      <c r="Y64" s="495"/>
      <c r="Z64" s="495"/>
      <c r="AA64" s="494"/>
      <c r="AB64" s="492" t="s">
        <v>44</v>
      </c>
      <c r="AC64" s="492"/>
      <c r="AD64" s="496"/>
      <c r="AF64" s="84">
        <f>SUM(AF61:AF63)</f>
        <v>96000</v>
      </c>
    </row>
    <row r="65" spans="1:32" ht="25.5" customHeight="1">
      <c r="A65" s="497">
        <v>1</v>
      </c>
      <c r="B65" s="498"/>
      <c r="C65" s="104" t="s">
        <v>112</v>
      </c>
      <c r="D65" s="308"/>
      <c r="E65" s="305" t="s">
        <v>390</v>
      </c>
      <c r="F65" s="499" t="s">
        <v>389</v>
      </c>
      <c r="G65" s="500"/>
      <c r="H65" s="500"/>
      <c r="I65" s="500"/>
      <c r="J65" s="501"/>
      <c r="K65" s="502" t="s">
        <v>391</v>
      </c>
      <c r="L65" s="502"/>
      <c r="M65" s="51" t="s">
        <v>249</v>
      </c>
      <c r="N65" s="503" t="s">
        <v>392</v>
      </c>
      <c r="O65" s="503"/>
      <c r="P65" s="504">
        <v>200</v>
      </c>
      <c r="Q65" s="504"/>
      <c r="R65" s="478" t="s">
        <v>393</v>
      </c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2</v>
      </c>
      <c r="B66" s="498"/>
      <c r="C66" s="104" t="s">
        <v>112</v>
      </c>
      <c r="D66" s="308"/>
      <c r="E66" s="305" t="s">
        <v>143</v>
      </c>
      <c r="F66" s="499" t="s">
        <v>394</v>
      </c>
      <c r="G66" s="500"/>
      <c r="H66" s="500"/>
      <c r="I66" s="500"/>
      <c r="J66" s="501"/>
      <c r="K66" s="502" t="s">
        <v>146</v>
      </c>
      <c r="L66" s="502"/>
      <c r="M66" s="51" t="s">
        <v>249</v>
      </c>
      <c r="N66" s="503" t="s">
        <v>395</v>
      </c>
      <c r="O66" s="503"/>
      <c r="P66" s="504">
        <v>200</v>
      </c>
      <c r="Q66" s="504"/>
      <c r="R66" s="478" t="s">
        <v>396</v>
      </c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3</v>
      </c>
      <c r="B67" s="498"/>
      <c r="C67" s="104" t="s">
        <v>188</v>
      </c>
      <c r="D67" s="308"/>
      <c r="E67" s="305" t="s">
        <v>225</v>
      </c>
      <c r="F67" s="499" t="s">
        <v>397</v>
      </c>
      <c r="G67" s="500"/>
      <c r="H67" s="500"/>
      <c r="I67" s="500"/>
      <c r="J67" s="501"/>
      <c r="K67" s="502" t="s">
        <v>197</v>
      </c>
      <c r="L67" s="502"/>
      <c r="M67" s="51" t="s">
        <v>249</v>
      </c>
      <c r="N67" s="503" t="s">
        <v>395</v>
      </c>
      <c r="O67" s="503"/>
      <c r="P67" s="504">
        <v>50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4</v>
      </c>
      <c r="B68" s="498"/>
      <c r="C68" s="104"/>
      <c r="D68" s="308"/>
      <c r="E68" s="305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5</v>
      </c>
      <c r="B69" s="498"/>
      <c r="C69" s="104"/>
      <c r="D69" s="308"/>
      <c r="E69" s="305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6</v>
      </c>
      <c r="B70" s="498"/>
      <c r="C70" s="104"/>
      <c r="D70" s="308"/>
      <c r="E70" s="305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7</v>
      </c>
      <c r="B71" s="498"/>
      <c r="C71" s="104"/>
      <c r="D71" s="308"/>
      <c r="E71" s="305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8</v>
      </c>
      <c r="B72" s="498"/>
      <c r="C72" s="104"/>
      <c r="D72" s="308"/>
      <c r="E72" s="305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9</v>
      </c>
      <c r="B73" s="498"/>
      <c r="C73" s="104"/>
      <c r="D73" s="308"/>
      <c r="E73" s="305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10</v>
      </c>
      <c r="B74" s="498"/>
      <c r="C74" s="104"/>
      <c r="D74" s="308"/>
      <c r="E74" s="305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6.25" customHeight="1" thickBot="1">
      <c r="A75" s="507" t="s">
        <v>398</v>
      </c>
      <c r="B75" s="507"/>
      <c r="C75" s="507"/>
      <c r="D75" s="507"/>
      <c r="E75" s="50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8" t="s">
        <v>127</v>
      </c>
      <c r="B76" s="509"/>
      <c r="C76" s="307" t="s">
        <v>2</v>
      </c>
      <c r="D76" s="307" t="s">
        <v>37</v>
      </c>
      <c r="E76" s="307" t="s">
        <v>126</v>
      </c>
      <c r="F76" s="509" t="s">
        <v>38</v>
      </c>
      <c r="G76" s="509"/>
      <c r="H76" s="509"/>
      <c r="I76" s="509"/>
      <c r="J76" s="509"/>
      <c r="K76" s="510" t="s">
        <v>58</v>
      </c>
      <c r="L76" s="511"/>
      <c r="M76" s="511"/>
      <c r="N76" s="511"/>
      <c r="O76" s="511"/>
      <c r="P76" s="511"/>
      <c r="Q76" s="511"/>
      <c r="R76" s="511"/>
      <c r="S76" s="512"/>
      <c r="T76" s="509" t="s">
        <v>49</v>
      </c>
      <c r="U76" s="509"/>
      <c r="V76" s="510" t="s">
        <v>50</v>
      </c>
      <c r="W76" s="512"/>
      <c r="X76" s="511" t="s">
        <v>51</v>
      </c>
      <c r="Y76" s="511"/>
      <c r="Z76" s="511"/>
      <c r="AA76" s="511"/>
      <c r="AB76" s="511"/>
      <c r="AC76" s="511"/>
      <c r="AD76" s="513"/>
      <c r="AF76" s="50"/>
    </row>
    <row r="77" spans="1:32" ht="33.75" customHeight="1">
      <c r="A77" s="522">
        <v>1</v>
      </c>
      <c r="B77" s="523"/>
      <c r="C77" s="309" t="s">
        <v>112</v>
      </c>
      <c r="D77" s="309"/>
      <c r="E77" s="65" t="s">
        <v>117</v>
      </c>
      <c r="F77" s="524" t="s">
        <v>116</v>
      </c>
      <c r="G77" s="525"/>
      <c r="H77" s="525"/>
      <c r="I77" s="525"/>
      <c r="J77" s="526"/>
      <c r="K77" s="527" t="s">
        <v>119</v>
      </c>
      <c r="L77" s="528"/>
      <c r="M77" s="528"/>
      <c r="N77" s="528"/>
      <c r="O77" s="528"/>
      <c r="P77" s="528"/>
      <c r="Q77" s="528"/>
      <c r="R77" s="528"/>
      <c r="S77" s="529"/>
      <c r="T77" s="530">
        <v>44118</v>
      </c>
      <c r="U77" s="531"/>
      <c r="V77" s="532"/>
      <c r="W77" s="532"/>
      <c r="X77" s="533"/>
      <c r="Y77" s="533"/>
      <c r="Z77" s="533"/>
      <c r="AA77" s="533"/>
      <c r="AB77" s="533"/>
      <c r="AC77" s="533"/>
      <c r="AD77" s="534"/>
      <c r="AF77" s="50"/>
    </row>
    <row r="78" spans="1:32" ht="30" customHeight="1">
      <c r="A78" s="514">
        <f>A77+1</f>
        <v>2</v>
      </c>
      <c r="B78" s="515"/>
      <c r="C78" s="308"/>
      <c r="D78" s="308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ref="A79:A83" si="19">A78+1</f>
        <v>3</v>
      </c>
      <c r="B79" s="515"/>
      <c r="C79" s="308"/>
      <c r="D79" s="308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9"/>
        <v>4</v>
      </c>
      <c r="B80" s="515"/>
      <c r="C80" s="308"/>
      <c r="D80" s="308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9"/>
        <v>5</v>
      </c>
      <c r="B81" s="515"/>
      <c r="C81" s="308"/>
      <c r="D81" s="308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6</v>
      </c>
      <c r="B82" s="515"/>
      <c r="C82" s="308"/>
      <c r="D82" s="308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7</v>
      </c>
      <c r="B83" s="515"/>
      <c r="C83" s="308"/>
      <c r="D83" s="308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6" thickBot="1">
      <c r="A84" s="507" t="s">
        <v>399</v>
      </c>
      <c r="B84" s="507"/>
      <c r="C84" s="507"/>
      <c r="D84" s="507"/>
      <c r="E84" s="50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8" t="s">
        <v>111</v>
      </c>
      <c r="B85" s="509"/>
      <c r="C85" s="535" t="s">
        <v>52</v>
      </c>
      <c r="D85" s="535"/>
      <c r="E85" s="535" t="s">
        <v>53</v>
      </c>
      <c r="F85" s="535"/>
      <c r="G85" s="535"/>
      <c r="H85" s="535"/>
      <c r="I85" s="535"/>
      <c r="J85" s="535"/>
      <c r="K85" s="535" t="s">
        <v>54</v>
      </c>
      <c r="L85" s="535"/>
      <c r="M85" s="535"/>
      <c r="N85" s="535"/>
      <c r="O85" s="535"/>
      <c r="P85" s="535"/>
      <c r="Q85" s="535"/>
      <c r="R85" s="535"/>
      <c r="S85" s="535"/>
      <c r="T85" s="535" t="s">
        <v>55</v>
      </c>
      <c r="U85" s="535"/>
      <c r="V85" s="535" t="s">
        <v>56</v>
      </c>
      <c r="W85" s="535"/>
      <c r="X85" s="535"/>
      <c r="Y85" s="535" t="s">
        <v>51</v>
      </c>
      <c r="Z85" s="535"/>
      <c r="AA85" s="535"/>
      <c r="AB85" s="535"/>
      <c r="AC85" s="535"/>
      <c r="AD85" s="536"/>
      <c r="AF85" s="50"/>
    </row>
    <row r="86" spans="1:32" ht="30.75" customHeight="1">
      <c r="A86" s="522">
        <v>1</v>
      </c>
      <c r="B86" s="523"/>
      <c r="C86" s="537"/>
      <c r="D86" s="537"/>
      <c r="E86" s="537"/>
      <c r="F86" s="537"/>
      <c r="G86" s="537"/>
      <c r="H86" s="537"/>
      <c r="I86" s="537"/>
      <c r="J86" s="537"/>
      <c r="K86" s="537"/>
      <c r="L86" s="537"/>
      <c r="M86" s="537"/>
      <c r="N86" s="537"/>
      <c r="O86" s="537"/>
      <c r="P86" s="537"/>
      <c r="Q86" s="537"/>
      <c r="R86" s="537"/>
      <c r="S86" s="537"/>
      <c r="T86" s="537"/>
      <c r="U86" s="537"/>
      <c r="V86" s="538"/>
      <c r="W86" s="538"/>
      <c r="X86" s="538"/>
      <c r="Y86" s="539"/>
      <c r="Z86" s="539"/>
      <c r="AA86" s="539"/>
      <c r="AB86" s="539"/>
      <c r="AC86" s="539"/>
      <c r="AD86" s="540"/>
      <c r="AF86" s="50"/>
    </row>
    <row r="87" spans="1:32" ht="30.75" customHeight="1">
      <c r="A87" s="514">
        <v>2</v>
      </c>
      <c r="B87" s="51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9"/>
      <c r="U87" s="549"/>
      <c r="V87" s="550"/>
      <c r="W87" s="550"/>
      <c r="X87" s="550"/>
      <c r="Y87" s="541"/>
      <c r="Z87" s="541"/>
      <c r="AA87" s="541"/>
      <c r="AB87" s="541"/>
      <c r="AC87" s="541"/>
      <c r="AD87" s="542"/>
      <c r="AF87" s="50"/>
    </row>
    <row r="88" spans="1:32" ht="30.75" customHeight="1" thickBot="1">
      <c r="A88" s="543">
        <v>3</v>
      </c>
      <c r="B88" s="544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6"/>
      <c r="Z88" s="546"/>
      <c r="AA88" s="546"/>
      <c r="AB88" s="546"/>
      <c r="AC88" s="546"/>
      <c r="AD88" s="547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6008-57BE-4DB9-9ED4-8F2836BA6875}">
  <dimension ref="A1:AF87"/>
  <sheetViews>
    <sheetView view="pageBreakPreview" zoomScale="70" zoomScaleNormal="72" zoomScaleSheetLayoutView="70" workbookViewId="0">
      <selection activeCell="F68" sqref="F68:J6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400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322" t="s">
        <v>17</v>
      </c>
      <c r="L5" s="322" t="s">
        <v>18</v>
      </c>
      <c r="M5" s="322" t="s">
        <v>19</v>
      </c>
      <c r="N5" s="32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2273</v>
      </c>
      <c r="K6" s="15">
        <f>L6+2268</f>
        <v>4541</v>
      </c>
      <c r="L6" s="15">
        <v>2273</v>
      </c>
      <c r="M6" s="15">
        <f t="shared" ref="M6:M21" si="0">L6-N6</f>
        <v>2273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11</v>
      </c>
      <c r="Q6" s="40">
        <f t="shared" ref="Q6:Q21" si="3">SUM(R6:AA6)</f>
        <v>13</v>
      </c>
      <c r="R6" s="7"/>
      <c r="S6" s="6"/>
      <c r="T6" s="16"/>
      <c r="U6" s="16"/>
      <c r="V6" s="17">
        <v>13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0.45833333333333331</v>
      </c>
      <c r="AD6" s="10">
        <f t="shared" ref="AD6:AD21" si="6">AC6*AB6*(1-O6)</f>
        <v>0.45833333333333331</v>
      </c>
      <c r="AE6" s="36">
        <f t="shared" ref="AE6:AE21" si="7">$AD$22</f>
        <v>0.671875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10244</v>
      </c>
      <c r="K7" s="15">
        <f>L7+10614+8368</f>
        <v>29226</v>
      </c>
      <c r="L7" s="15">
        <f>2818*2+2304*2</f>
        <v>10244</v>
      </c>
      <c r="M7" s="15">
        <f t="shared" si="0"/>
        <v>10244</v>
      </c>
      <c r="N7" s="15">
        <v>0</v>
      </c>
      <c r="O7" s="58">
        <f t="shared" si="1"/>
        <v>0</v>
      </c>
      <c r="P7" s="39">
        <f t="shared" si="2"/>
        <v>23</v>
      </c>
      <c r="Q7" s="40">
        <f t="shared" si="3"/>
        <v>1</v>
      </c>
      <c r="R7" s="7"/>
      <c r="S7" s="6">
        <v>1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6">
        <f t="shared" si="7"/>
        <v>0.671875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219</v>
      </c>
      <c r="E8" s="53" t="s">
        <v>374</v>
      </c>
      <c r="F8" s="30" t="s">
        <v>355</v>
      </c>
      <c r="G8" s="33">
        <v>1</v>
      </c>
      <c r="H8" s="35">
        <v>24</v>
      </c>
      <c r="I8" s="7">
        <v>10000</v>
      </c>
      <c r="J8" s="5">
        <v>5199</v>
      </c>
      <c r="K8" s="15">
        <f>L8+3234</f>
        <v>8433</v>
      </c>
      <c r="L8" s="15">
        <f>2887+2312</f>
        <v>5199</v>
      </c>
      <c r="M8" s="15">
        <f t="shared" si="0"/>
        <v>5199</v>
      </c>
      <c r="N8" s="15">
        <v>0</v>
      </c>
      <c r="O8" s="58">
        <f t="shared" si="1"/>
        <v>0</v>
      </c>
      <c r="P8" s="39">
        <f t="shared" si="2"/>
        <v>22</v>
      </c>
      <c r="Q8" s="40">
        <f t="shared" si="3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0.91666666666666663</v>
      </c>
      <c r="AD8" s="10">
        <f t="shared" si="6"/>
        <v>0.91666666666666663</v>
      </c>
      <c r="AE8" s="36">
        <f t="shared" si="7"/>
        <v>0.671875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4828</v>
      </c>
      <c r="K9" s="15">
        <f>L9+1344+2695+2818+1363+3398+4807+5146+5399+5363+4916+4752+2389+5076+5367+4162+3442+4709+5270+3351+4112+5541+1793+4649+4573</f>
        <v>101263</v>
      </c>
      <c r="L9" s="15">
        <f>2694+2134</f>
        <v>4828</v>
      </c>
      <c r="M9" s="15">
        <f t="shared" si="0"/>
        <v>4828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0.671875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188</v>
      </c>
      <c r="D10" s="52" t="s">
        <v>140</v>
      </c>
      <c r="E10" s="53" t="s">
        <v>385</v>
      </c>
      <c r="F10" s="30" t="s">
        <v>125</v>
      </c>
      <c r="G10" s="33">
        <v>4</v>
      </c>
      <c r="H10" s="35">
        <v>24</v>
      </c>
      <c r="I10" s="7">
        <v>10000</v>
      </c>
      <c r="J10" s="14">
        <v>10964</v>
      </c>
      <c r="K10" s="15">
        <f>L10</f>
        <v>10964</v>
      </c>
      <c r="L10" s="15">
        <f>2741*4</f>
        <v>10964</v>
      </c>
      <c r="M10" s="15">
        <f t="shared" si="0"/>
        <v>10964</v>
      </c>
      <c r="N10" s="15">
        <v>0</v>
      </c>
      <c r="O10" s="58">
        <f t="shared" si="1"/>
        <v>0</v>
      </c>
      <c r="P10" s="39">
        <f t="shared" si="2"/>
        <v>10</v>
      </c>
      <c r="Q10" s="40">
        <f t="shared" si="3"/>
        <v>14</v>
      </c>
      <c r="R10" s="7"/>
      <c r="S10" s="6"/>
      <c r="T10" s="16"/>
      <c r="U10" s="16"/>
      <c r="V10" s="17"/>
      <c r="W10" s="5">
        <v>14</v>
      </c>
      <c r="X10" s="16"/>
      <c r="Y10" s="16"/>
      <c r="Z10" s="16"/>
      <c r="AA10" s="18"/>
      <c r="AB10" s="8">
        <f t="shared" si="4"/>
        <v>1</v>
      </c>
      <c r="AC10" s="9">
        <f t="shared" si="5"/>
        <v>0.41666666666666669</v>
      </c>
      <c r="AD10" s="10">
        <f t="shared" si="6"/>
        <v>0.41666666666666669</v>
      </c>
      <c r="AE10" s="36">
        <f t="shared" si="7"/>
        <v>0.671875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140</v>
      </c>
      <c r="E11" s="53" t="s">
        <v>359</v>
      </c>
      <c r="F11" s="30" t="s">
        <v>146</v>
      </c>
      <c r="G11" s="33">
        <v>1</v>
      </c>
      <c r="H11" s="35">
        <v>24</v>
      </c>
      <c r="I11" s="7">
        <v>28000</v>
      </c>
      <c r="J11" s="14">
        <v>6181</v>
      </c>
      <c r="K11" s="15">
        <f>L11+5768+6023</f>
        <v>17972</v>
      </c>
      <c r="L11" s="15">
        <f>3139+3042</f>
        <v>6181</v>
      </c>
      <c r="M11" s="15">
        <f t="shared" si="0"/>
        <v>6181</v>
      </c>
      <c r="N11" s="15">
        <v>0</v>
      </c>
      <c r="O11" s="58">
        <f t="shared" si="1"/>
        <v>0</v>
      </c>
      <c r="P11" s="39">
        <f t="shared" si="2"/>
        <v>24</v>
      </c>
      <c r="Q11" s="40">
        <f t="shared" si="3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1</v>
      </c>
      <c r="AD11" s="10">
        <f t="shared" si="6"/>
        <v>1</v>
      </c>
      <c r="AE11" s="36">
        <f t="shared" si="7"/>
        <v>0.671875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70000</v>
      </c>
      <c r="J12" s="5">
        <v>5103</v>
      </c>
      <c r="K12" s="15">
        <f>L12+4597+5041+5597+5567+5537+3364</f>
        <v>34806</v>
      </c>
      <c r="L12" s="15">
        <f>2324+2779</f>
        <v>5103</v>
      </c>
      <c r="M12" s="15">
        <f t="shared" si="0"/>
        <v>5103</v>
      </c>
      <c r="N12" s="15">
        <v>0</v>
      </c>
      <c r="O12" s="58">
        <f t="shared" si="1"/>
        <v>0</v>
      </c>
      <c r="P12" s="39">
        <f t="shared" si="2"/>
        <v>23</v>
      </c>
      <c r="Q12" s="40">
        <f t="shared" si="3"/>
        <v>1</v>
      </c>
      <c r="R12" s="7"/>
      <c r="S12" s="6">
        <v>1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0.95833333333333337</v>
      </c>
      <c r="AD12" s="10">
        <f t="shared" si="6"/>
        <v>0.95833333333333337</v>
      </c>
      <c r="AE12" s="36">
        <f t="shared" si="7"/>
        <v>0.671875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375</v>
      </c>
      <c r="D13" s="52"/>
      <c r="E13" s="53" t="s">
        <v>376</v>
      </c>
      <c r="F13" s="30" t="s">
        <v>142</v>
      </c>
      <c r="G13" s="33">
        <v>3</v>
      </c>
      <c r="H13" s="35">
        <v>24</v>
      </c>
      <c r="I13" s="7">
        <v>2000</v>
      </c>
      <c r="J13" s="14">
        <v>13308</v>
      </c>
      <c r="K13" s="15">
        <f>L13+6939</f>
        <v>20247</v>
      </c>
      <c r="L13" s="15">
        <f>2069*3+2367*3</f>
        <v>13308</v>
      </c>
      <c r="M13" s="15">
        <f t="shared" si="0"/>
        <v>13308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0.671875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158</v>
      </c>
      <c r="D14" s="52" t="s">
        <v>115</v>
      </c>
      <c r="E14" s="53" t="s">
        <v>365</v>
      </c>
      <c r="F14" s="30" t="s">
        <v>377</v>
      </c>
      <c r="G14" s="33">
        <v>1</v>
      </c>
      <c r="H14" s="35">
        <v>50</v>
      </c>
      <c r="I14" s="7">
        <v>200</v>
      </c>
      <c r="J14" s="5">
        <v>296</v>
      </c>
      <c r="K14" s="15">
        <f>L14+296</f>
        <v>296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0.671875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188</v>
      </c>
      <c r="D15" s="52" t="s">
        <v>137</v>
      </c>
      <c r="E15" s="53" t="s">
        <v>338</v>
      </c>
      <c r="F15" s="12" t="s">
        <v>144</v>
      </c>
      <c r="G15" s="12">
        <v>2</v>
      </c>
      <c r="H15" s="13">
        <v>24</v>
      </c>
      <c r="I15" s="31">
        <v>27200</v>
      </c>
      <c r="J15" s="14">
        <v>10618</v>
      </c>
      <c r="K15" s="15">
        <f>L15+6538+12196+10618</f>
        <v>29352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0.671875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5810</v>
      </c>
      <c r="K16" s="15">
        <f>L16+4303+5850+5280+5606+5547+5173+5805+5835+6039+5589</f>
        <v>60837</v>
      </c>
      <c r="L16" s="15">
        <f>2919+2891</f>
        <v>5810</v>
      </c>
      <c r="M16" s="15">
        <f t="shared" si="0"/>
        <v>5810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0.671875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38795</v>
      </c>
      <c r="K17" s="15">
        <f>L17+33015+35895+37090+38775+40475+36685</f>
        <v>260730</v>
      </c>
      <c r="L17" s="15">
        <f>3892*5+3867*5</f>
        <v>38795</v>
      </c>
      <c r="M17" s="15">
        <f t="shared" si="0"/>
        <v>38795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0.671875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366</v>
      </c>
      <c r="F18" s="30" t="s">
        <v>130</v>
      </c>
      <c r="G18" s="33">
        <v>1</v>
      </c>
      <c r="H18" s="35">
        <v>24</v>
      </c>
      <c r="I18" s="7">
        <v>10000</v>
      </c>
      <c r="J18" s="14">
        <v>2502</v>
      </c>
      <c r="K18" s="15">
        <f>L18</f>
        <v>2502</v>
      </c>
      <c r="L18" s="15">
        <f>2502</f>
        <v>2502</v>
      </c>
      <c r="M18" s="15">
        <f t="shared" si="0"/>
        <v>2502</v>
      </c>
      <c r="N18" s="15">
        <v>0</v>
      </c>
      <c r="O18" s="58">
        <f t="shared" si="1"/>
        <v>0</v>
      </c>
      <c r="P18" s="39">
        <f t="shared" si="2"/>
        <v>13</v>
      </c>
      <c r="Q18" s="40">
        <f t="shared" si="3"/>
        <v>11</v>
      </c>
      <c r="R18" s="7"/>
      <c r="S18" s="6">
        <v>11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0.54166666666666663</v>
      </c>
      <c r="AD18" s="10">
        <f t="shared" si="6"/>
        <v>0.54166666666666663</v>
      </c>
      <c r="AE18" s="36">
        <f t="shared" si="7"/>
        <v>0.671875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378</v>
      </c>
      <c r="E19" s="53" t="s">
        <v>367</v>
      </c>
      <c r="F19" s="30" t="s">
        <v>135</v>
      </c>
      <c r="G19" s="33">
        <v>1</v>
      </c>
      <c r="H19" s="35">
        <v>24</v>
      </c>
      <c r="I19" s="7">
        <v>18000</v>
      </c>
      <c r="J19" s="14">
        <v>5113</v>
      </c>
      <c r="K19" s="15">
        <f>L19+4424</f>
        <v>9537</v>
      </c>
      <c r="L19" s="15">
        <f>2521+2592</f>
        <v>5113</v>
      </c>
      <c r="M19" s="15">
        <f t="shared" si="0"/>
        <v>5113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0.671875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2785</v>
      </c>
      <c r="K20" s="15">
        <f>L20+5680+5650+5595+4980+5238+5654+5218+5376+5674+2421</f>
        <v>54271</v>
      </c>
      <c r="L20" s="15">
        <f>2785</f>
        <v>2785</v>
      </c>
      <c r="M20" s="15">
        <f t="shared" si="0"/>
        <v>2785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6">
        <f t="shared" si="7"/>
        <v>0.671875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12000</v>
      </c>
      <c r="K21" s="15">
        <f>L21+52848+58908+58380+58904+60440+12000</f>
        <v>301480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0.671875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1456900</v>
      </c>
      <c r="J22" s="19">
        <f t="shared" si="9"/>
        <v>136019</v>
      </c>
      <c r="K22" s="20">
        <f t="shared" si="9"/>
        <v>946457</v>
      </c>
      <c r="L22" s="21">
        <f t="shared" si="9"/>
        <v>113105</v>
      </c>
      <c r="M22" s="20">
        <f t="shared" si="9"/>
        <v>113105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258</v>
      </c>
      <c r="Q22" s="43">
        <f t="shared" si="10"/>
        <v>126</v>
      </c>
      <c r="R22" s="23">
        <f t="shared" si="10"/>
        <v>0</v>
      </c>
      <c r="S22" s="24">
        <f t="shared" si="10"/>
        <v>51</v>
      </c>
      <c r="T22" s="24">
        <f t="shared" si="10"/>
        <v>0</v>
      </c>
      <c r="U22" s="24">
        <f t="shared" si="10"/>
        <v>0</v>
      </c>
      <c r="V22" s="25">
        <f t="shared" si="10"/>
        <v>13</v>
      </c>
      <c r="W22" s="26">
        <f t="shared" si="10"/>
        <v>62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0</v>
      </c>
      <c r="AB22" s="28">
        <f>AVERAGE(AB6:AB21)</f>
        <v>0.8125</v>
      </c>
      <c r="AC22" s="4">
        <f>AVERAGE(AC6:AC21)</f>
        <v>0.671875</v>
      </c>
      <c r="AD22" s="4">
        <f>AVERAGE(AD6:AD21)</f>
        <v>0.671875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401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406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321" t="s">
        <v>46</v>
      </c>
      <c r="D51" s="321" t="s">
        <v>47</v>
      </c>
      <c r="E51" s="321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321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70" t="s">
        <v>120</v>
      </c>
      <c r="B52" s="471"/>
      <c r="C52" s="316" t="s">
        <v>205</v>
      </c>
      <c r="D52" s="316"/>
      <c r="E52" s="317" t="s">
        <v>241</v>
      </c>
      <c r="F52" s="472" t="s">
        <v>402</v>
      </c>
      <c r="G52" s="473"/>
      <c r="H52" s="473"/>
      <c r="I52" s="473"/>
      <c r="J52" s="473"/>
      <c r="K52" s="473"/>
      <c r="L52" s="473"/>
      <c r="M52" s="474"/>
      <c r="N52" s="320" t="s">
        <v>118</v>
      </c>
      <c r="O52" s="314" t="s">
        <v>147</v>
      </c>
      <c r="P52" s="475" t="s">
        <v>143</v>
      </c>
      <c r="Q52" s="476"/>
      <c r="R52" s="475" t="s">
        <v>309</v>
      </c>
      <c r="S52" s="477"/>
      <c r="T52" s="477"/>
      <c r="U52" s="476"/>
      <c r="V52" s="478" t="s">
        <v>124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70" t="s">
        <v>118</v>
      </c>
      <c r="B53" s="471"/>
      <c r="C53" s="316" t="s">
        <v>131</v>
      </c>
      <c r="D53" s="316" t="s">
        <v>219</v>
      </c>
      <c r="E53" s="317" t="s">
        <v>374</v>
      </c>
      <c r="F53" s="472" t="s">
        <v>403</v>
      </c>
      <c r="G53" s="473"/>
      <c r="H53" s="473"/>
      <c r="I53" s="473"/>
      <c r="J53" s="473"/>
      <c r="K53" s="473"/>
      <c r="L53" s="473"/>
      <c r="M53" s="474"/>
      <c r="N53" s="320" t="s">
        <v>113</v>
      </c>
      <c r="O53" s="314" t="s">
        <v>386</v>
      </c>
      <c r="P53" s="475"/>
      <c r="Q53" s="476"/>
      <c r="R53" s="475" t="s">
        <v>306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118</v>
      </c>
      <c r="B54" s="481"/>
      <c r="C54" s="317" t="s">
        <v>147</v>
      </c>
      <c r="D54" s="317" t="s">
        <v>143</v>
      </c>
      <c r="E54" s="317" t="s">
        <v>309</v>
      </c>
      <c r="F54" s="472" t="s">
        <v>362</v>
      </c>
      <c r="G54" s="473"/>
      <c r="H54" s="473"/>
      <c r="I54" s="473"/>
      <c r="J54" s="473"/>
      <c r="K54" s="473"/>
      <c r="L54" s="473"/>
      <c r="M54" s="474"/>
      <c r="N54" s="320" t="s">
        <v>118</v>
      </c>
      <c r="O54" s="314" t="s">
        <v>128</v>
      </c>
      <c r="P54" s="475" t="s">
        <v>258</v>
      </c>
      <c r="Q54" s="476"/>
      <c r="R54" s="475" t="s">
        <v>259</v>
      </c>
      <c r="S54" s="477"/>
      <c r="T54" s="477"/>
      <c r="U54" s="476"/>
      <c r="V54" s="478" t="s">
        <v>407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188</v>
      </c>
      <c r="B55" s="481"/>
      <c r="C55" s="317" t="s">
        <v>171</v>
      </c>
      <c r="D55" s="317" t="s">
        <v>143</v>
      </c>
      <c r="E55" s="317" t="s">
        <v>385</v>
      </c>
      <c r="F55" s="472" t="s">
        <v>187</v>
      </c>
      <c r="G55" s="473"/>
      <c r="H55" s="473"/>
      <c r="I55" s="473"/>
      <c r="J55" s="473"/>
      <c r="K55" s="473"/>
      <c r="L55" s="473"/>
      <c r="M55" s="474"/>
      <c r="N55" s="320" t="s">
        <v>112</v>
      </c>
      <c r="O55" s="314" t="s">
        <v>243</v>
      </c>
      <c r="P55" s="475" t="s">
        <v>115</v>
      </c>
      <c r="Q55" s="476"/>
      <c r="R55" s="475" t="s">
        <v>408</v>
      </c>
      <c r="S55" s="477"/>
      <c r="T55" s="477"/>
      <c r="U55" s="476"/>
      <c r="V55" s="478" t="s">
        <v>187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118</v>
      </c>
      <c r="B56" s="481"/>
      <c r="C56" s="317" t="s">
        <v>149</v>
      </c>
      <c r="D56" s="317" t="s">
        <v>115</v>
      </c>
      <c r="E56" s="317" t="s">
        <v>294</v>
      </c>
      <c r="F56" s="472" t="s">
        <v>222</v>
      </c>
      <c r="G56" s="473"/>
      <c r="H56" s="473"/>
      <c r="I56" s="473"/>
      <c r="J56" s="473"/>
      <c r="K56" s="473"/>
      <c r="L56" s="473"/>
      <c r="M56" s="474"/>
      <c r="N56" s="320" t="s">
        <v>118</v>
      </c>
      <c r="O56" s="314" t="s">
        <v>211</v>
      </c>
      <c r="P56" s="475" t="s">
        <v>219</v>
      </c>
      <c r="Q56" s="476"/>
      <c r="R56" s="475" t="s">
        <v>220</v>
      </c>
      <c r="S56" s="477"/>
      <c r="T56" s="477"/>
      <c r="U56" s="476"/>
      <c r="V56" s="478" t="s">
        <v>279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118</v>
      </c>
      <c r="B57" s="481"/>
      <c r="C57" s="317" t="s">
        <v>214</v>
      </c>
      <c r="D57" s="317" t="s">
        <v>115</v>
      </c>
      <c r="E57" s="317" t="s">
        <v>366</v>
      </c>
      <c r="F57" s="472" t="s">
        <v>404</v>
      </c>
      <c r="G57" s="473"/>
      <c r="H57" s="473"/>
      <c r="I57" s="473"/>
      <c r="J57" s="473"/>
      <c r="K57" s="473"/>
      <c r="L57" s="473"/>
      <c r="M57" s="474"/>
      <c r="N57" s="320"/>
      <c r="O57" s="314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112</v>
      </c>
      <c r="B58" s="481"/>
      <c r="C58" s="317" t="s">
        <v>182</v>
      </c>
      <c r="D58" s="317" t="s">
        <v>115</v>
      </c>
      <c r="E58" s="317" t="s">
        <v>148</v>
      </c>
      <c r="F58" s="472" t="s">
        <v>405</v>
      </c>
      <c r="G58" s="473"/>
      <c r="H58" s="473"/>
      <c r="I58" s="473"/>
      <c r="J58" s="473"/>
      <c r="K58" s="473"/>
      <c r="L58" s="473"/>
      <c r="M58" s="474"/>
      <c r="N58" s="320"/>
      <c r="O58" s="314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 t="s">
        <v>112</v>
      </c>
      <c r="B59" s="481"/>
      <c r="C59" s="317" t="s">
        <v>192</v>
      </c>
      <c r="D59" s="317" t="s">
        <v>154</v>
      </c>
      <c r="E59" s="317" t="s">
        <v>153</v>
      </c>
      <c r="F59" s="472" t="s">
        <v>187</v>
      </c>
      <c r="G59" s="473"/>
      <c r="H59" s="473"/>
      <c r="I59" s="473"/>
      <c r="J59" s="473"/>
      <c r="K59" s="473"/>
      <c r="L59" s="473"/>
      <c r="M59" s="474"/>
      <c r="N59" s="320"/>
      <c r="O59" s="314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316"/>
      <c r="D60" s="316"/>
      <c r="E60" s="317"/>
      <c r="F60" s="472"/>
      <c r="G60" s="473"/>
      <c r="H60" s="473"/>
      <c r="I60" s="473"/>
      <c r="J60" s="473"/>
      <c r="K60" s="473"/>
      <c r="L60" s="473"/>
      <c r="M60" s="474"/>
      <c r="N60" s="320"/>
      <c r="O60" s="314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318"/>
      <c r="D61" s="319"/>
      <c r="E61" s="318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409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315" t="s">
        <v>2</v>
      </c>
      <c r="D63" s="315" t="s">
        <v>37</v>
      </c>
      <c r="E63" s="315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315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310"/>
      <c r="E64" s="313" t="s">
        <v>390</v>
      </c>
      <c r="F64" s="499" t="s">
        <v>389</v>
      </c>
      <c r="G64" s="500"/>
      <c r="H64" s="500"/>
      <c r="I64" s="500"/>
      <c r="J64" s="501"/>
      <c r="K64" s="502" t="s">
        <v>391</v>
      </c>
      <c r="L64" s="502"/>
      <c r="M64" s="51" t="s">
        <v>249</v>
      </c>
      <c r="N64" s="503" t="s">
        <v>392</v>
      </c>
      <c r="O64" s="503"/>
      <c r="P64" s="504">
        <v>200</v>
      </c>
      <c r="Q64" s="504"/>
      <c r="R64" s="478" t="s">
        <v>393</v>
      </c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 t="s">
        <v>112</v>
      </c>
      <c r="D65" s="310"/>
      <c r="E65" s="313" t="s">
        <v>143</v>
      </c>
      <c r="F65" s="499" t="s">
        <v>394</v>
      </c>
      <c r="G65" s="500"/>
      <c r="H65" s="500"/>
      <c r="I65" s="500"/>
      <c r="J65" s="501"/>
      <c r="K65" s="502" t="s">
        <v>146</v>
      </c>
      <c r="L65" s="502"/>
      <c r="M65" s="51" t="s">
        <v>249</v>
      </c>
      <c r="N65" s="503" t="s">
        <v>395</v>
      </c>
      <c r="O65" s="503"/>
      <c r="P65" s="504">
        <v>200</v>
      </c>
      <c r="Q65" s="504"/>
      <c r="R65" s="478" t="s">
        <v>396</v>
      </c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 t="s">
        <v>188</v>
      </c>
      <c r="D66" s="310"/>
      <c r="E66" s="313" t="s">
        <v>225</v>
      </c>
      <c r="F66" s="499" t="s">
        <v>397</v>
      </c>
      <c r="G66" s="500"/>
      <c r="H66" s="500"/>
      <c r="I66" s="500"/>
      <c r="J66" s="501"/>
      <c r="K66" s="502" t="s">
        <v>197</v>
      </c>
      <c r="L66" s="502"/>
      <c r="M66" s="51" t="s">
        <v>249</v>
      </c>
      <c r="N66" s="503" t="s">
        <v>395</v>
      </c>
      <c r="O66" s="503"/>
      <c r="P66" s="504">
        <v>50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/>
      <c r="D67" s="310"/>
      <c r="E67" s="313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/>
      <c r="D68" s="310"/>
      <c r="E68" s="313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/>
      <c r="D69" s="310"/>
      <c r="E69" s="313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310"/>
      <c r="E70" s="313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310"/>
      <c r="E71" s="313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310"/>
      <c r="E72" s="313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310"/>
      <c r="E73" s="313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410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312" t="s">
        <v>2</v>
      </c>
      <c r="D75" s="312" t="s">
        <v>37</v>
      </c>
      <c r="E75" s="312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311" t="s">
        <v>112</v>
      </c>
      <c r="D76" s="311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310"/>
      <c r="D77" s="310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310"/>
      <c r="D78" s="310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310"/>
      <c r="D79" s="310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310"/>
      <c r="D80" s="310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310"/>
      <c r="D81" s="310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310"/>
      <c r="D82" s="310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411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E418-2A80-489F-BA30-2BE89530A54A}">
  <dimension ref="A1:AF87"/>
  <sheetViews>
    <sheetView view="pageBreakPreview" topLeftCell="A51" zoomScale="70" zoomScaleNormal="72" zoomScaleSheetLayoutView="70" workbookViewId="0">
      <selection activeCell="F58" sqref="F58:M5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412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323" t="s">
        <v>17</v>
      </c>
      <c r="L5" s="323" t="s">
        <v>18</v>
      </c>
      <c r="M5" s="323" t="s">
        <v>19</v>
      </c>
      <c r="N5" s="32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1563</v>
      </c>
      <c r="K6" s="15">
        <f>L6+2268+2273</f>
        <v>6104</v>
      </c>
      <c r="L6" s="15">
        <v>1563</v>
      </c>
      <c r="M6" s="15">
        <f t="shared" ref="M6:M21" si="0">L6-N6</f>
        <v>1563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8</v>
      </c>
      <c r="Q6" s="40">
        <f t="shared" ref="Q6:Q21" si="3">SUM(R6:AA6)</f>
        <v>16</v>
      </c>
      <c r="R6" s="7"/>
      <c r="S6" s="6"/>
      <c r="T6" s="16"/>
      <c r="U6" s="16"/>
      <c r="V6" s="17">
        <v>16</v>
      </c>
      <c r="W6" s="5"/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0.33333333333333331</v>
      </c>
      <c r="AD6" s="10">
        <f t="shared" ref="AD6:AD21" si="6">AC6*AB6*(1-O6)</f>
        <v>0.33333333333333331</v>
      </c>
      <c r="AE6" s="36">
        <f t="shared" ref="AE6:AE21" si="7">$AD$22</f>
        <v>0.59895833333333337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7142</v>
      </c>
      <c r="K7" s="15">
        <f>L7+10614+8368+10244</f>
        <v>36368</v>
      </c>
      <c r="L7" s="15">
        <f>2812*2+759*2</f>
        <v>7142</v>
      </c>
      <c r="M7" s="15">
        <f t="shared" si="0"/>
        <v>7142</v>
      </c>
      <c r="N7" s="15">
        <v>0</v>
      </c>
      <c r="O7" s="58">
        <f t="shared" si="1"/>
        <v>0</v>
      </c>
      <c r="P7" s="39">
        <f t="shared" si="2"/>
        <v>17</v>
      </c>
      <c r="Q7" s="40">
        <f t="shared" si="3"/>
        <v>7</v>
      </c>
      <c r="R7" s="7"/>
      <c r="S7" s="6">
        <v>7</v>
      </c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0.70833333333333337</v>
      </c>
      <c r="AD7" s="10">
        <f t="shared" si="6"/>
        <v>0.70833333333333337</v>
      </c>
      <c r="AE7" s="36">
        <f t="shared" si="7"/>
        <v>0.59895833333333337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118</v>
      </c>
      <c r="D8" s="52" t="s">
        <v>219</v>
      </c>
      <c r="E8" s="53" t="s">
        <v>374</v>
      </c>
      <c r="F8" s="30" t="s">
        <v>355</v>
      </c>
      <c r="G8" s="33">
        <v>1</v>
      </c>
      <c r="H8" s="35">
        <v>24</v>
      </c>
      <c r="I8" s="7">
        <v>10000</v>
      </c>
      <c r="J8" s="5">
        <v>5600</v>
      </c>
      <c r="K8" s="15">
        <f>L8+3234+5199</f>
        <v>14033</v>
      </c>
      <c r="L8" s="15">
        <f>2794+2806</f>
        <v>5600</v>
      </c>
      <c r="M8" s="15">
        <f t="shared" si="0"/>
        <v>5600</v>
      </c>
      <c r="N8" s="15">
        <v>0</v>
      </c>
      <c r="O8" s="58">
        <f t="shared" si="1"/>
        <v>0</v>
      </c>
      <c r="P8" s="39">
        <f t="shared" si="2"/>
        <v>24</v>
      </c>
      <c r="Q8" s="40">
        <f t="shared" si="3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4"/>
        <v>1</v>
      </c>
      <c r="AC8" s="9">
        <f t="shared" si="5"/>
        <v>1</v>
      </c>
      <c r="AD8" s="10">
        <f t="shared" si="6"/>
        <v>1</v>
      </c>
      <c r="AE8" s="36">
        <f t="shared" si="7"/>
        <v>0.59895833333333337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4143</v>
      </c>
      <c r="K9" s="15">
        <f>L9+1344+2695+2818+1363+3398+4807+5146+5399+5363+4916+4752+2389+5076+5367+4162+3442+4709+5270+3351+4112+5541+1793+4649+4573+4828</f>
        <v>105406</v>
      </c>
      <c r="L9" s="15">
        <f>2706+1437</f>
        <v>4143</v>
      </c>
      <c r="M9" s="15">
        <f t="shared" si="0"/>
        <v>4143</v>
      </c>
      <c r="N9" s="15">
        <v>0</v>
      </c>
      <c r="O9" s="58">
        <f t="shared" si="1"/>
        <v>0</v>
      </c>
      <c r="P9" s="39">
        <f t="shared" si="2"/>
        <v>18</v>
      </c>
      <c r="Q9" s="40">
        <f t="shared" si="3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0.75</v>
      </c>
      <c r="AD9" s="10">
        <f t="shared" si="6"/>
        <v>0.75</v>
      </c>
      <c r="AE9" s="36">
        <f t="shared" si="7"/>
        <v>0.59895833333333337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188</v>
      </c>
      <c r="D10" s="52" t="s">
        <v>140</v>
      </c>
      <c r="E10" s="53" t="s">
        <v>385</v>
      </c>
      <c r="F10" s="30" t="s">
        <v>125</v>
      </c>
      <c r="G10" s="33">
        <v>4</v>
      </c>
      <c r="H10" s="35">
        <v>24</v>
      </c>
      <c r="I10" s="7">
        <v>10000</v>
      </c>
      <c r="J10" s="14">
        <v>10964</v>
      </c>
      <c r="K10" s="15">
        <f>L10+10964</f>
        <v>10964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0.59895833333333337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140</v>
      </c>
      <c r="E11" s="53" t="s">
        <v>359</v>
      </c>
      <c r="F11" s="30" t="s">
        <v>146</v>
      </c>
      <c r="G11" s="33">
        <v>1</v>
      </c>
      <c r="H11" s="35">
        <v>24</v>
      </c>
      <c r="I11" s="7">
        <v>28000</v>
      </c>
      <c r="J11" s="14">
        <v>6181</v>
      </c>
      <c r="K11" s="15">
        <f>L11+5768+6023+6181</f>
        <v>17972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0.59895833333333337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70000</v>
      </c>
      <c r="J12" s="5">
        <v>4208</v>
      </c>
      <c r="K12" s="15">
        <f>L12+4597+5041+5597+5567+5537+3364+5103</f>
        <v>39014</v>
      </c>
      <c r="L12" s="15">
        <f>2302+1906</f>
        <v>4208</v>
      </c>
      <c r="M12" s="15">
        <f t="shared" si="0"/>
        <v>4208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0.59895833333333337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258</v>
      </c>
      <c r="E13" s="53" t="s">
        <v>259</v>
      </c>
      <c r="F13" s="30" t="s">
        <v>142</v>
      </c>
      <c r="G13" s="33">
        <v>1</v>
      </c>
      <c r="H13" s="35">
        <v>24</v>
      </c>
      <c r="I13" s="7">
        <v>600</v>
      </c>
      <c r="J13" s="14">
        <v>704</v>
      </c>
      <c r="K13" s="15">
        <f>L13</f>
        <v>704</v>
      </c>
      <c r="L13" s="15">
        <v>704</v>
      </c>
      <c r="M13" s="15">
        <f t="shared" si="0"/>
        <v>704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6">
        <f t="shared" si="7"/>
        <v>0.59895833333333337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408</v>
      </c>
      <c r="F14" s="30" t="s">
        <v>413</v>
      </c>
      <c r="G14" s="33">
        <v>1</v>
      </c>
      <c r="H14" s="35">
        <v>50</v>
      </c>
      <c r="I14" s="7">
        <v>300</v>
      </c>
      <c r="J14" s="5">
        <v>452</v>
      </c>
      <c r="K14" s="15">
        <f>L14</f>
        <v>452</v>
      </c>
      <c r="L14" s="15">
        <v>452</v>
      </c>
      <c r="M14" s="15">
        <f t="shared" si="0"/>
        <v>452</v>
      </c>
      <c r="N14" s="15">
        <v>0</v>
      </c>
      <c r="O14" s="58">
        <f t="shared" si="1"/>
        <v>0</v>
      </c>
      <c r="P14" s="39">
        <f t="shared" si="2"/>
        <v>6</v>
      </c>
      <c r="Q14" s="40">
        <f t="shared" si="3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4"/>
        <v>1</v>
      </c>
      <c r="AC14" s="9">
        <f t="shared" si="5"/>
        <v>0.25</v>
      </c>
      <c r="AD14" s="10">
        <f t="shared" si="6"/>
        <v>0.25</v>
      </c>
      <c r="AE14" s="36">
        <f t="shared" si="7"/>
        <v>0.59895833333333337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188</v>
      </c>
      <c r="D15" s="52" t="s">
        <v>137</v>
      </c>
      <c r="E15" s="53" t="s">
        <v>338</v>
      </c>
      <c r="F15" s="12" t="s">
        <v>144</v>
      </c>
      <c r="G15" s="12">
        <v>2</v>
      </c>
      <c r="H15" s="13">
        <v>24</v>
      </c>
      <c r="I15" s="31">
        <v>27200</v>
      </c>
      <c r="J15" s="14">
        <v>10618</v>
      </c>
      <c r="K15" s="15">
        <f>L15+6538+12196+10618</f>
        <v>29352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0.59895833333333337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3971</v>
      </c>
      <c r="K16" s="15">
        <f>L16+4303+5850+5280+5606+5547+5173+5805+5835+6039+5589+5810</f>
        <v>64808</v>
      </c>
      <c r="L16" s="15">
        <f>2905+1066</f>
        <v>3971</v>
      </c>
      <c r="M16" s="15">
        <f t="shared" si="0"/>
        <v>3971</v>
      </c>
      <c r="N16" s="15">
        <v>0</v>
      </c>
      <c r="O16" s="58">
        <f t="shared" si="1"/>
        <v>0</v>
      </c>
      <c r="P16" s="39">
        <f t="shared" si="2"/>
        <v>18</v>
      </c>
      <c r="Q16" s="40">
        <f t="shared" si="3"/>
        <v>6</v>
      </c>
      <c r="R16" s="7"/>
      <c r="S16" s="6">
        <v>6</v>
      </c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0.75</v>
      </c>
      <c r="AD16" s="10">
        <f t="shared" si="6"/>
        <v>0.75</v>
      </c>
      <c r="AE16" s="36">
        <f t="shared" si="7"/>
        <v>0.59895833333333337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38720</v>
      </c>
      <c r="K17" s="15">
        <f>L17+33015+35895+37090+38775+40475+36685+38795</f>
        <v>299450</v>
      </c>
      <c r="L17" s="15">
        <f>3871*5+3873*5</f>
        <v>38720</v>
      </c>
      <c r="M17" s="15">
        <f t="shared" si="0"/>
        <v>38720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0.59895833333333337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366</v>
      </c>
      <c r="F18" s="30" t="s">
        <v>130</v>
      </c>
      <c r="G18" s="33">
        <v>1</v>
      </c>
      <c r="H18" s="35">
        <v>24</v>
      </c>
      <c r="I18" s="7">
        <v>10000</v>
      </c>
      <c r="J18" s="14">
        <v>5484</v>
      </c>
      <c r="K18" s="15">
        <f>L18+2502</f>
        <v>7986</v>
      </c>
      <c r="L18" s="15">
        <f>2772+2712</f>
        <v>5484</v>
      </c>
      <c r="M18" s="15">
        <f t="shared" si="0"/>
        <v>5484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0.59895833333333337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378</v>
      </c>
      <c r="E19" s="53" t="s">
        <v>367</v>
      </c>
      <c r="F19" s="30" t="s">
        <v>135</v>
      </c>
      <c r="G19" s="33">
        <v>1</v>
      </c>
      <c r="H19" s="35">
        <v>24</v>
      </c>
      <c r="I19" s="7">
        <v>18000</v>
      </c>
      <c r="J19" s="14">
        <v>4751</v>
      </c>
      <c r="K19" s="15">
        <f>L19+4424+5113</f>
        <v>14288</v>
      </c>
      <c r="L19" s="15">
        <f>2150+2601</f>
        <v>4751</v>
      </c>
      <c r="M19" s="15">
        <f t="shared" si="0"/>
        <v>4751</v>
      </c>
      <c r="N19" s="15">
        <v>0</v>
      </c>
      <c r="O19" s="58">
        <f t="shared" si="1"/>
        <v>0</v>
      </c>
      <c r="P19" s="39">
        <f t="shared" si="2"/>
        <v>22</v>
      </c>
      <c r="Q19" s="40">
        <f t="shared" si="3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6">
        <f t="shared" si="7"/>
        <v>0.59895833333333337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5649</v>
      </c>
      <c r="K20" s="15">
        <f>L20+5680+5650+5595+4980+5238+5654+5218+5376+5674+2421+2785</f>
        <v>59920</v>
      </c>
      <c r="L20" s="15">
        <f>2822+2827</f>
        <v>5649</v>
      </c>
      <c r="M20" s="15">
        <f t="shared" si="0"/>
        <v>5649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0.59895833333333337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48800</v>
      </c>
      <c r="K21" s="15">
        <f>L21+52848+58908+58380+58904+60440+12000</f>
        <v>350280</v>
      </c>
      <c r="L21" s="15">
        <f>7216*4+4984*4</f>
        <v>48800</v>
      </c>
      <c r="M21" s="15">
        <f t="shared" si="0"/>
        <v>48800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0.59895833333333337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1455600</v>
      </c>
      <c r="J22" s="19">
        <f t="shared" si="9"/>
        <v>158950</v>
      </c>
      <c r="K22" s="20">
        <f t="shared" si="9"/>
        <v>1057101</v>
      </c>
      <c r="L22" s="21">
        <f t="shared" si="9"/>
        <v>131187</v>
      </c>
      <c r="M22" s="20">
        <f t="shared" si="9"/>
        <v>131187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230</v>
      </c>
      <c r="Q22" s="43">
        <f t="shared" si="10"/>
        <v>154</v>
      </c>
      <c r="R22" s="23">
        <f t="shared" si="10"/>
        <v>0</v>
      </c>
      <c r="S22" s="24">
        <f t="shared" si="10"/>
        <v>28</v>
      </c>
      <c r="T22" s="24">
        <f t="shared" si="10"/>
        <v>0</v>
      </c>
      <c r="U22" s="24">
        <f t="shared" si="10"/>
        <v>0</v>
      </c>
      <c r="V22" s="25">
        <f t="shared" si="10"/>
        <v>16</v>
      </c>
      <c r="W22" s="26">
        <f t="shared" si="10"/>
        <v>86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24</v>
      </c>
      <c r="AB22" s="28">
        <f>AVERAGE(AB6:AB21)</f>
        <v>0.8125</v>
      </c>
      <c r="AC22" s="4">
        <f>AVERAGE(AC6:AC21)</f>
        <v>0.59895833333333337</v>
      </c>
      <c r="AD22" s="4">
        <f>AVERAGE(AD6:AD21)</f>
        <v>0.59895833333333337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414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418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324" t="s">
        <v>46</v>
      </c>
      <c r="D51" s="324" t="s">
        <v>47</v>
      </c>
      <c r="E51" s="324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324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80" t="s">
        <v>112</v>
      </c>
      <c r="B52" s="481"/>
      <c r="C52" s="327" t="s">
        <v>192</v>
      </c>
      <c r="D52" s="327" t="s">
        <v>154</v>
      </c>
      <c r="E52" s="327" t="s">
        <v>153</v>
      </c>
      <c r="F52" s="472" t="s">
        <v>187</v>
      </c>
      <c r="G52" s="473"/>
      <c r="H52" s="473"/>
      <c r="I52" s="473"/>
      <c r="J52" s="473"/>
      <c r="K52" s="473"/>
      <c r="L52" s="473"/>
      <c r="M52" s="474"/>
      <c r="N52" s="326" t="s">
        <v>118</v>
      </c>
      <c r="O52" s="332" t="s">
        <v>149</v>
      </c>
      <c r="P52" s="475" t="s">
        <v>115</v>
      </c>
      <c r="Q52" s="476"/>
      <c r="R52" s="475" t="s">
        <v>294</v>
      </c>
      <c r="S52" s="477"/>
      <c r="T52" s="477"/>
      <c r="U52" s="476"/>
      <c r="V52" s="478" t="s">
        <v>124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70" t="s">
        <v>120</v>
      </c>
      <c r="B53" s="471"/>
      <c r="C53" s="325" t="s">
        <v>205</v>
      </c>
      <c r="D53" s="325"/>
      <c r="E53" s="327" t="s">
        <v>241</v>
      </c>
      <c r="F53" s="472" t="s">
        <v>415</v>
      </c>
      <c r="G53" s="473"/>
      <c r="H53" s="473"/>
      <c r="I53" s="473"/>
      <c r="J53" s="473"/>
      <c r="K53" s="473"/>
      <c r="L53" s="473"/>
      <c r="M53" s="474"/>
      <c r="N53" s="326" t="s">
        <v>375</v>
      </c>
      <c r="O53" s="332" t="s">
        <v>268</v>
      </c>
      <c r="P53" s="475"/>
      <c r="Q53" s="476"/>
      <c r="R53" s="475" t="s">
        <v>419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118</v>
      </c>
      <c r="B54" s="481"/>
      <c r="C54" s="327" t="s">
        <v>147</v>
      </c>
      <c r="D54" s="327" t="s">
        <v>143</v>
      </c>
      <c r="E54" s="327" t="s">
        <v>309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326"/>
      <c r="O54" s="332"/>
      <c r="P54" s="475"/>
      <c r="Q54" s="476"/>
      <c r="R54" s="475"/>
      <c r="S54" s="477"/>
      <c r="T54" s="477"/>
      <c r="U54" s="476"/>
      <c r="V54" s="478"/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118</v>
      </c>
      <c r="B55" s="481"/>
      <c r="C55" s="327" t="s">
        <v>149</v>
      </c>
      <c r="D55" s="327" t="s">
        <v>115</v>
      </c>
      <c r="E55" s="327" t="s">
        <v>294</v>
      </c>
      <c r="F55" s="472" t="s">
        <v>207</v>
      </c>
      <c r="G55" s="473"/>
      <c r="H55" s="473"/>
      <c r="I55" s="473"/>
      <c r="J55" s="473"/>
      <c r="K55" s="473"/>
      <c r="L55" s="473"/>
      <c r="M55" s="474"/>
      <c r="N55" s="326"/>
      <c r="O55" s="332"/>
      <c r="P55" s="475"/>
      <c r="Q55" s="476"/>
      <c r="R55" s="475"/>
      <c r="S55" s="477"/>
      <c r="T55" s="477"/>
      <c r="U55" s="476"/>
      <c r="V55" s="478"/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118</v>
      </c>
      <c r="B56" s="481"/>
      <c r="C56" s="327" t="s">
        <v>128</v>
      </c>
      <c r="D56" s="327" t="s">
        <v>258</v>
      </c>
      <c r="E56" s="327" t="s">
        <v>259</v>
      </c>
      <c r="F56" s="472" t="s">
        <v>407</v>
      </c>
      <c r="G56" s="473"/>
      <c r="H56" s="473"/>
      <c r="I56" s="473"/>
      <c r="J56" s="473"/>
      <c r="K56" s="473"/>
      <c r="L56" s="473"/>
      <c r="M56" s="474"/>
      <c r="N56" s="326"/>
      <c r="O56" s="332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112</v>
      </c>
      <c r="B57" s="481"/>
      <c r="C57" s="327" t="s">
        <v>243</v>
      </c>
      <c r="D57" s="327" t="s">
        <v>115</v>
      </c>
      <c r="E57" s="327" t="s">
        <v>408</v>
      </c>
      <c r="F57" s="472" t="s">
        <v>187</v>
      </c>
      <c r="G57" s="473"/>
      <c r="H57" s="473"/>
      <c r="I57" s="473"/>
      <c r="J57" s="473"/>
      <c r="K57" s="473"/>
      <c r="L57" s="473"/>
      <c r="M57" s="474"/>
      <c r="N57" s="326"/>
      <c r="O57" s="332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118</v>
      </c>
      <c r="B58" s="481"/>
      <c r="C58" s="327" t="s">
        <v>211</v>
      </c>
      <c r="D58" s="327" t="s">
        <v>219</v>
      </c>
      <c r="E58" s="327" t="s">
        <v>220</v>
      </c>
      <c r="F58" s="472" t="s">
        <v>279</v>
      </c>
      <c r="G58" s="473"/>
      <c r="H58" s="473"/>
      <c r="I58" s="473"/>
      <c r="J58" s="473"/>
      <c r="K58" s="473"/>
      <c r="L58" s="473"/>
      <c r="M58" s="474"/>
      <c r="N58" s="326"/>
      <c r="O58" s="332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 t="s">
        <v>118</v>
      </c>
      <c r="B59" s="481"/>
      <c r="C59" s="327" t="s">
        <v>209</v>
      </c>
      <c r="D59" s="327" t="s">
        <v>417</v>
      </c>
      <c r="E59" s="327" t="s">
        <v>367</v>
      </c>
      <c r="F59" s="472" t="s">
        <v>416</v>
      </c>
      <c r="G59" s="473"/>
      <c r="H59" s="473"/>
      <c r="I59" s="473"/>
      <c r="J59" s="473"/>
      <c r="K59" s="473"/>
      <c r="L59" s="473"/>
      <c r="M59" s="474"/>
      <c r="N59" s="326"/>
      <c r="O59" s="332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 t="s">
        <v>113</v>
      </c>
      <c r="B60" s="471"/>
      <c r="C60" s="325" t="s">
        <v>386</v>
      </c>
      <c r="D60" s="325"/>
      <c r="E60" s="327" t="s">
        <v>306</v>
      </c>
      <c r="F60" s="472" t="s">
        <v>124</v>
      </c>
      <c r="G60" s="473"/>
      <c r="H60" s="473"/>
      <c r="I60" s="473"/>
      <c r="J60" s="473"/>
      <c r="K60" s="473"/>
      <c r="L60" s="473"/>
      <c r="M60" s="474"/>
      <c r="N60" s="326"/>
      <c r="O60" s="332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328"/>
      <c r="D61" s="329"/>
      <c r="E61" s="328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420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330" t="s">
        <v>2</v>
      </c>
      <c r="D63" s="330" t="s">
        <v>37</v>
      </c>
      <c r="E63" s="330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330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188</v>
      </c>
      <c r="D64" s="334"/>
      <c r="E64" s="331" t="s">
        <v>132</v>
      </c>
      <c r="F64" s="499" t="s">
        <v>421</v>
      </c>
      <c r="G64" s="500"/>
      <c r="H64" s="500"/>
      <c r="I64" s="500"/>
      <c r="J64" s="501"/>
      <c r="K64" s="502" t="s">
        <v>144</v>
      </c>
      <c r="L64" s="502"/>
      <c r="M64" s="51" t="s">
        <v>249</v>
      </c>
      <c r="N64" s="503" t="s">
        <v>268</v>
      </c>
      <c r="O64" s="503"/>
      <c r="P64" s="504">
        <v>50</v>
      </c>
      <c r="Q64" s="504"/>
      <c r="R64" s="478" t="s">
        <v>422</v>
      </c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 t="s">
        <v>112</v>
      </c>
      <c r="D65" s="334"/>
      <c r="E65" s="331" t="s">
        <v>258</v>
      </c>
      <c r="F65" s="499" t="s">
        <v>423</v>
      </c>
      <c r="G65" s="500"/>
      <c r="H65" s="500"/>
      <c r="I65" s="500"/>
      <c r="J65" s="501"/>
      <c r="K65" s="502" t="s">
        <v>134</v>
      </c>
      <c r="L65" s="502"/>
      <c r="M65" s="51" t="s">
        <v>249</v>
      </c>
      <c r="N65" s="503" t="s">
        <v>424</v>
      </c>
      <c r="O65" s="503"/>
      <c r="P65" s="504">
        <v>50</v>
      </c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 t="s">
        <v>112</v>
      </c>
      <c r="D66" s="334"/>
      <c r="E66" s="331" t="s">
        <v>258</v>
      </c>
      <c r="F66" s="499" t="s">
        <v>425</v>
      </c>
      <c r="G66" s="500"/>
      <c r="H66" s="500"/>
      <c r="I66" s="500"/>
      <c r="J66" s="501"/>
      <c r="K66" s="502" t="s">
        <v>426</v>
      </c>
      <c r="L66" s="502"/>
      <c r="M66" s="51" t="s">
        <v>249</v>
      </c>
      <c r="N66" s="503" t="s">
        <v>424</v>
      </c>
      <c r="O66" s="503"/>
      <c r="P66" s="504">
        <v>200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 t="s">
        <v>112</v>
      </c>
      <c r="D67" s="334"/>
      <c r="E67" s="331" t="s">
        <v>199</v>
      </c>
      <c r="F67" s="499" t="s">
        <v>427</v>
      </c>
      <c r="G67" s="500"/>
      <c r="H67" s="500"/>
      <c r="I67" s="500"/>
      <c r="J67" s="501"/>
      <c r="K67" s="502" t="s">
        <v>426</v>
      </c>
      <c r="L67" s="502"/>
      <c r="M67" s="51" t="s">
        <v>249</v>
      </c>
      <c r="N67" s="503" t="s">
        <v>395</v>
      </c>
      <c r="O67" s="503"/>
      <c r="P67" s="504">
        <v>400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 t="s">
        <v>120</v>
      </c>
      <c r="D68" s="334"/>
      <c r="E68" s="331"/>
      <c r="F68" s="499" t="s">
        <v>428</v>
      </c>
      <c r="G68" s="500"/>
      <c r="H68" s="500"/>
      <c r="I68" s="500"/>
      <c r="J68" s="501"/>
      <c r="K68" s="502" t="s">
        <v>276</v>
      </c>
      <c r="L68" s="502"/>
      <c r="M68" s="51" t="s">
        <v>249</v>
      </c>
      <c r="N68" s="503" t="s">
        <v>395</v>
      </c>
      <c r="O68" s="503"/>
      <c r="P68" s="504">
        <v>100</v>
      </c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 t="s">
        <v>120</v>
      </c>
      <c r="D69" s="334"/>
      <c r="E69" s="331"/>
      <c r="F69" s="499" t="s">
        <v>429</v>
      </c>
      <c r="G69" s="500"/>
      <c r="H69" s="500"/>
      <c r="I69" s="500"/>
      <c r="J69" s="501"/>
      <c r="K69" s="502" t="s">
        <v>276</v>
      </c>
      <c r="L69" s="502"/>
      <c r="M69" s="51" t="s">
        <v>249</v>
      </c>
      <c r="N69" s="503" t="s">
        <v>395</v>
      </c>
      <c r="O69" s="503"/>
      <c r="P69" s="504">
        <v>100</v>
      </c>
      <c r="Q69" s="504"/>
      <c r="R69" s="478" t="s">
        <v>432</v>
      </c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334"/>
      <c r="E70" s="331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334"/>
      <c r="E71" s="331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334"/>
      <c r="E72" s="331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334"/>
      <c r="E73" s="331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430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333" t="s">
        <v>2</v>
      </c>
      <c r="D75" s="333" t="s">
        <v>37</v>
      </c>
      <c r="E75" s="333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335" t="s">
        <v>112</v>
      </c>
      <c r="D76" s="335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334"/>
      <c r="D77" s="334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334"/>
      <c r="D78" s="334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334"/>
      <c r="D79" s="334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334"/>
      <c r="D80" s="334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334"/>
      <c r="D81" s="334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334"/>
      <c r="D82" s="334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431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10A-FB46-4DF5-BCF7-BBC699E0A239}">
  <dimension ref="A1:AF87"/>
  <sheetViews>
    <sheetView view="pageBreakPreview" topLeftCell="A64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433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348" t="s">
        <v>17</v>
      </c>
      <c r="L5" s="348" t="s">
        <v>18</v>
      </c>
      <c r="M5" s="348" t="s">
        <v>19</v>
      </c>
      <c r="N5" s="34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1563</v>
      </c>
      <c r="K6" s="15">
        <f>L6+2268+2273+1563</f>
        <v>6104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0.55989751127577314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11264</v>
      </c>
      <c r="K7" s="15">
        <f>L7+10614+8368+10244+7142</f>
        <v>47632</v>
      </c>
      <c r="L7" s="15">
        <f>2826*2+2806*2</f>
        <v>11264</v>
      </c>
      <c r="M7" s="15">
        <f t="shared" si="0"/>
        <v>11264</v>
      </c>
      <c r="N7" s="15">
        <v>0</v>
      </c>
      <c r="O7" s="58">
        <f t="shared" si="1"/>
        <v>0</v>
      </c>
      <c r="P7" s="39">
        <f t="shared" si="2"/>
        <v>24</v>
      </c>
      <c r="Q7" s="40">
        <f t="shared" si="3"/>
        <v>0</v>
      </c>
      <c r="R7" s="7"/>
      <c r="S7" s="6"/>
      <c r="T7" s="16"/>
      <c r="U7" s="16"/>
      <c r="V7" s="17"/>
      <c r="W7" s="5"/>
      <c r="X7" s="16"/>
      <c r="Y7" s="16"/>
      <c r="Z7" s="16"/>
      <c r="AA7" s="18"/>
      <c r="AB7" s="8">
        <f t="shared" si="4"/>
        <v>1</v>
      </c>
      <c r="AC7" s="9">
        <f t="shared" si="5"/>
        <v>1</v>
      </c>
      <c r="AD7" s="10">
        <f t="shared" si="6"/>
        <v>1</v>
      </c>
      <c r="AE7" s="36">
        <f t="shared" si="7"/>
        <v>0.55989751127577314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199</v>
      </c>
      <c r="E8" s="53" t="s">
        <v>434</v>
      </c>
      <c r="F8" s="30" t="s">
        <v>133</v>
      </c>
      <c r="G8" s="33">
        <v>2</v>
      </c>
      <c r="H8" s="35">
        <v>24</v>
      </c>
      <c r="I8" s="7">
        <v>1000</v>
      </c>
      <c r="J8" s="5">
        <v>1000</v>
      </c>
      <c r="K8" s="15">
        <f>L8</f>
        <v>1000</v>
      </c>
      <c r="L8" s="15">
        <v>1000</v>
      </c>
      <c r="M8" s="15">
        <f t="shared" si="0"/>
        <v>1000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/>
      <c r="T8" s="16"/>
      <c r="U8" s="16"/>
      <c r="V8" s="17"/>
      <c r="W8" s="5"/>
      <c r="X8" s="16"/>
      <c r="Y8" s="16"/>
      <c r="Z8" s="16"/>
      <c r="AA8" s="18">
        <v>20</v>
      </c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6">
        <f t="shared" si="7"/>
        <v>0.55989751127577314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5461</v>
      </c>
      <c r="K9" s="15">
        <f>L9+1344+2695+2818+1363+3398+4807+5146+5399+5363+4916+4752+2389+5076+5367+4162+3442+4709+5270+3351+4112+5541+1793+4649+4573+4828+4143</f>
        <v>110867</v>
      </c>
      <c r="L9" s="15">
        <f>2708+2753</f>
        <v>5461</v>
      </c>
      <c r="M9" s="15">
        <f t="shared" si="0"/>
        <v>5461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0.55989751127577314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188</v>
      </c>
      <c r="D10" s="52" t="s">
        <v>140</v>
      </c>
      <c r="E10" s="53" t="s">
        <v>385</v>
      </c>
      <c r="F10" s="30" t="s">
        <v>125</v>
      </c>
      <c r="G10" s="33">
        <v>4</v>
      </c>
      <c r="H10" s="35">
        <v>24</v>
      </c>
      <c r="I10" s="7">
        <v>10000</v>
      </c>
      <c r="J10" s="14">
        <v>10964</v>
      </c>
      <c r="K10" s="15">
        <f>L10+10964</f>
        <v>10964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>
        <v>24</v>
      </c>
      <c r="X10" s="16"/>
      <c r="Y10" s="16"/>
      <c r="Z10" s="16"/>
      <c r="AA10" s="18"/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0.55989751127577314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118</v>
      </c>
      <c r="D11" s="52" t="s">
        <v>140</v>
      </c>
      <c r="E11" s="53" t="s">
        <v>359</v>
      </c>
      <c r="F11" s="30" t="s">
        <v>146</v>
      </c>
      <c r="G11" s="33">
        <v>1</v>
      </c>
      <c r="H11" s="35">
        <v>24</v>
      </c>
      <c r="I11" s="7">
        <v>28000</v>
      </c>
      <c r="J11" s="14">
        <v>6181</v>
      </c>
      <c r="K11" s="15">
        <f>L11+5768+6023+6181</f>
        <v>17972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24</v>
      </c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0.55989751127577314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70000</v>
      </c>
      <c r="J12" s="5">
        <v>3250</v>
      </c>
      <c r="K12" s="15">
        <f>L12+4597+5041+5597+5567+5537+3364+5103+4208</f>
        <v>42264</v>
      </c>
      <c r="L12" s="15">
        <f>2797+453</f>
        <v>3250</v>
      </c>
      <c r="M12" s="15">
        <f t="shared" si="0"/>
        <v>3250</v>
      </c>
      <c r="N12" s="15">
        <v>0</v>
      </c>
      <c r="O12" s="58">
        <f t="shared" si="1"/>
        <v>0</v>
      </c>
      <c r="P12" s="39">
        <f t="shared" si="2"/>
        <v>16</v>
      </c>
      <c r="Q12" s="40">
        <f t="shared" si="3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0.66666666666666663</v>
      </c>
      <c r="AD12" s="10">
        <f t="shared" si="6"/>
        <v>0.66666666666666663</v>
      </c>
      <c r="AE12" s="36">
        <f t="shared" si="7"/>
        <v>0.55989751127577314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115</v>
      </c>
      <c r="E13" s="53" t="s">
        <v>438</v>
      </c>
      <c r="F13" s="30" t="s">
        <v>142</v>
      </c>
      <c r="G13" s="33">
        <v>1</v>
      </c>
      <c r="H13" s="35">
        <v>24</v>
      </c>
      <c r="I13" s="7">
        <v>600</v>
      </c>
      <c r="J13" s="14">
        <v>600</v>
      </c>
      <c r="K13" s="15">
        <f>L13</f>
        <v>600</v>
      </c>
      <c r="L13" s="15">
        <v>600</v>
      </c>
      <c r="M13" s="15">
        <f t="shared" si="0"/>
        <v>600</v>
      </c>
      <c r="N13" s="15">
        <v>0</v>
      </c>
      <c r="O13" s="58">
        <f t="shared" si="1"/>
        <v>0</v>
      </c>
      <c r="P13" s="39">
        <f t="shared" si="2"/>
        <v>4</v>
      </c>
      <c r="Q13" s="40">
        <f t="shared" si="3"/>
        <v>20</v>
      </c>
      <c r="R13" s="7"/>
      <c r="S13" s="6"/>
      <c r="T13" s="16"/>
      <c r="U13" s="16"/>
      <c r="V13" s="17"/>
      <c r="W13" s="5">
        <v>20</v>
      </c>
      <c r="X13" s="16"/>
      <c r="Y13" s="16"/>
      <c r="Z13" s="16"/>
      <c r="AA13" s="18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6">
        <f t="shared" si="7"/>
        <v>0.55989751127577314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408</v>
      </c>
      <c r="F14" s="30" t="s">
        <v>413</v>
      </c>
      <c r="G14" s="33">
        <v>1</v>
      </c>
      <c r="H14" s="35">
        <v>50</v>
      </c>
      <c r="I14" s="7">
        <v>300</v>
      </c>
      <c r="J14" s="5">
        <v>452</v>
      </c>
      <c r="K14" s="15">
        <f>L14+452</f>
        <v>452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0.55989751127577314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375</v>
      </c>
      <c r="D15" s="52"/>
      <c r="E15" s="53" t="s">
        <v>435</v>
      </c>
      <c r="F15" s="12">
        <v>8301</v>
      </c>
      <c r="G15" s="12" t="s">
        <v>436</v>
      </c>
      <c r="H15" s="13">
        <v>24</v>
      </c>
      <c r="I15" s="31">
        <v>2000</v>
      </c>
      <c r="J15" s="14">
        <v>4244</v>
      </c>
      <c r="K15" s="15">
        <f>L15</f>
        <v>4244</v>
      </c>
      <c r="L15" s="15">
        <f>1551+2693</f>
        <v>4244</v>
      </c>
      <c r="M15" s="15">
        <f t="shared" si="0"/>
        <v>4244</v>
      </c>
      <c r="N15" s="15">
        <v>0</v>
      </c>
      <c r="O15" s="58">
        <f t="shared" si="1"/>
        <v>0</v>
      </c>
      <c r="P15" s="39">
        <f t="shared" si="2"/>
        <v>21</v>
      </c>
      <c r="Q15" s="40">
        <f t="shared" si="3"/>
        <v>3</v>
      </c>
      <c r="R15" s="7"/>
      <c r="S15" s="6"/>
      <c r="T15" s="16">
        <v>3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0.875</v>
      </c>
      <c r="AD15" s="10">
        <f t="shared" si="6"/>
        <v>0.875</v>
      </c>
      <c r="AE15" s="36">
        <f t="shared" si="7"/>
        <v>0.55989751127577314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5819</v>
      </c>
      <c r="K16" s="15">
        <f>L16+4303+5850+5280+5606+5547+5173+5805+5835+6039+5589+5810+3971</f>
        <v>70627</v>
      </c>
      <c r="L16" s="15">
        <f>2898+2921</f>
        <v>5819</v>
      </c>
      <c r="M16" s="15">
        <f t="shared" si="0"/>
        <v>5819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0.55989751127577314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10864</v>
      </c>
      <c r="K17" s="15">
        <f>L17+33015+35895+37090+38775+40475+36685+38795+38720</f>
        <v>310315</v>
      </c>
      <c r="L17" s="15">
        <f>2173*5</f>
        <v>10865</v>
      </c>
      <c r="M17" s="15">
        <f t="shared" si="0"/>
        <v>10865</v>
      </c>
      <c r="N17" s="15">
        <v>0</v>
      </c>
      <c r="O17" s="58">
        <f t="shared" si="1"/>
        <v>0</v>
      </c>
      <c r="P17" s="39">
        <f t="shared" si="2"/>
        <v>7</v>
      </c>
      <c r="Q17" s="40">
        <f t="shared" si="3"/>
        <v>17</v>
      </c>
      <c r="R17" s="7"/>
      <c r="S17" s="6"/>
      <c r="T17" s="16"/>
      <c r="U17" s="16"/>
      <c r="V17" s="17"/>
      <c r="W17" s="5">
        <v>17</v>
      </c>
      <c r="X17" s="16"/>
      <c r="Y17" s="16"/>
      <c r="Z17" s="16"/>
      <c r="AA17" s="18"/>
      <c r="AB17" s="8">
        <f t="shared" si="4"/>
        <v>1.0000920471281296</v>
      </c>
      <c r="AC17" s="9">
        <f t="shared" si="5"/>
        <v>0.29166666666666669</v>
      </c>
      <c r="AD17" s="10">
        <f t="shared" si="6"/>
        <v>0.29169351374570451</v>
      </c>
      <c r="AE17" s="36">
        <f t="shared" si="7"/>
        <v>0.55989751127577314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366</v>
      </c>
      <c r="F18" s="30" t="s">
        <v>130</v>
      </c>
      <c r="G18" s="33">
        <v>1</v>
      </c>
      <c r="H18" s="35">
        <v>24</v>
      </c>
      <c r="I18" s="7">
        <v>10000</v>
      </c>
      <c r="J18" s="14">
        <v>5080</v>
      </c>
      <c r="K18" s="15">
        <f>L18+2502+5484</f>
        <v>13066</v>
      </c>
      <c r="L18" s="15">
        <f>2312+2768</f>
        <v>5080</v>
      </c>
      <c r="M18" s="15">
        <f t="shared" si="0"/>
        <v>5080</v>
      </c>
      <c r="N18" s="15">
        <v>0</v>
      </c>
      <c r="O18" s="58">
        <f t="shared" si="1"/>
        <v>0</v>
      </c>
      <c r="P18" s="39">
        <f t="shared" si="2"/>
        <v>22</v>
      </c>
      <c r="Q18" s="40">
        <f t="shared" si="3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0.91666666666666663</v>
      </c>
      <c r="AD18" s="10">
        <f t="shared" si="6"/>
        <v>0.91666666666666663</v>
      </c>
      <c r="AE18" s="36">
        <f t="shared" si="7"/>
        <v>0.55989751127577314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378</v>
      </c>
      <c r="E19" s="53" t="s">
        <v>367</v>
      </c>
      <c r="F19" s="30" t="s">
        <v>135</v>
      </c>
      <c r="G19" s="33">
        <v>1</v>
      </c>
      <c r="H19" s="35">
        <v>24</v>
      </c>
      <c r="I19" s="7">
        <v>18000</v>
      </c>
      <c r="J19" s="14">
        <v>5219</v>
      </c>
      <c r="K19" s="15">
        <f>L19+4424+5113+4751</f>
        <v>19507</v>
      </c>
      <c r="L19" s="15">
        <f>2572+2647</f>
        <v>5219</v>
      </c>
      <c r="M19" s="15">
        <f t="shared" si="0"/>
        <v>5219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0.55989751127577314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5670</v>
      </c>
      <c r="K20" s="15">
        <f>L20+5680+5650+5595+4980+5238+5654+5218+5376+5674+2421+2785+5649</f>
        <v>65590</v>
      </c>
      <c r="L20" s="15">
        <f>2847+2823</f>
        <v>5670</v>
      </c>
      <c r="M20" s="15">
        <f t="shared" si="0"/>
        <v>5670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0.55989751127577314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57140</v>
      </c>
      <c r="K21" s="15">
        <f>L21+52848+58908+58380+58904+60440+12000+48800</f>
        <v>407420</v>
      </c>
      <c r="L21" s="15">
        <f>7087*4+7198*4</f>
        <v>57140</v>
      </c>
      <c r="M21" s="15">
        <f t="shared" si="0"/>
        <v>57140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0.55989751127577314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1421400</v>
      </c>
      <c r="J22" s="19">
        <f t="shared" si="9"/>
        <v>134771</v>
      </c>
      <c r="K22" s="20">
        <f t="shared" si="9"/>
        <v>1128624</v>
      </c>
      <c r="L22" s="21">
        <f t="shared" si="9"/>
        <v>115612</v>
      </c>
      <c r="M22" s="20">
        <f t="shared" si="9"/>
        <v>115612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215</v>
      </c>
      <c r="Q22" s="43">
        <f t="shared" si="10"/>
        <v>169</v>
      </c>
      <c r="R22" s="23">
        <f t="shared" si="10"/>
        <v>0</v>
      </c>
      <c r="S22" s="24">
        <f t="shared" si="10"/>
        <v>13</v>
      </c>
      <c r="T22" s="24">
        <f t="shared" si="10"/>
        <v>3</v>
      </c>
      <c r="U22" s="24">
        <f t="shared" si="10"/>
        <v>0</v>
      </c>
      <c r="V22" s="25">
        <f t="shared" si="10"/>
        <v>0</v>
      </c>
      <c r="W22" s="26">
        <f t="shared" si="10"/>
        <v>85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68</v>
      </c>
      <c r="AB22" s="28">
        <f>AVERAGE(AB6:AB21)</f>
        <v>0.75000575294550809</v>
      </c>
      <c r="AC22" s="4">
        <f>AVERAGE(AC6:AC21)</f>
        <v>0.55989583333333337</v>
      </c>
      <c r="AD22" s="4">
        <f>AVERAGE(AD6:AD21)</f>
        <v>0.55989751127577314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437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439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347" t="s">
        <v>46</v>
      </c>
      <c r="D51" s="347" t="s">
        <v>47</v>
      </c>
      <c r="E51" s="347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347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80" t="s">
        <v>112</v>
      </c>
      <c r="B52" s="481"/>
      <c r="C52" s="343" t="s">
        <v>131</v>
      </c>
      <c r="D52" s="343" t="s">
        <v>199</v>
      </c>
      <c r="E52" s="343" t="s">
        <v>434</v>
      </c>
      <c r="F52" s="472" t="s">
        <v>407</v>
      </c>
      <c r="G52" s="473"/>
      <c r="H52" s="473"/>
      <c r="I52" s="473"/>
      <c r="J52" s="473"/>
      <c r="K52" s="473"/>
      <c r="L52" s="473"/>
      <c r="M52" s="474"/>
      <c r="N52" s="346" t="s">
        <v>188</v>
      </c>
      <c r="O52" s="340" t="s">
        <v>184</v>
      </c>
      <c r="P52" s="475"/>
      <c r="Q52" s="476"/>
      <c r="R52" s="475" t="s">
        <v>296</v>
      </c>
      <c r="S52" s="477"/>
      <c r="T52" s="477"/>
      <c r="U52" s="476"/>
      <c r="V52" s="478" t="s">
        <v>124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80" t="s">
        <v>118</v>
      </c>
      <c r="B53" s="481"/>
      <c r="C53" s="343" t="s">
        <v>149</v>
      </c>
      <c r="D53" s="343" t="s">
        <v>115</v>
      </c>
      <c r="E53" s="343" t="s">
        <v>294</v>
      </c>
      <c r="F53" s="472" t="s">
        <v>124</v>
      </c>
      <c r="G53" s="473"/>
      <c r="H53" s="473"/>
      <c r="I53" s="473"/>
      <c r="J53" s="473"/>
      <c r="K53" s="473"/>
      <c r="L53" s="473"/>
      <c r="M53" s="474"/>
      <c r="N53" s="346" t="s">
        <v>112</v>
      </c>
      <c r="O53" s="340" t="s">
        <v>131</v>
      </c>
      <c r="P53" s="475" t="s">
        <v>137</v>
      </c>
      <c r="Q53" s="476"/>
      <c r="R53" s="475" t="s">
        <v>440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118</v>
      </c>
      <c r="B54" s="481"/>
      <c r="C54" s="343" t="s">
        <v>128</v>
      </c>
      <c r="D54" s="343" t="s">
        <v>115</v>
      </c>
      <c r="E54" s="343" t="s">
        <v>285</v>
      </c>
      <c r="F54" s="472" t="s">
        <v>407</v>
      </c>
      <c r="G54" s="473"/>
      <c r="H54" s="473"/>
      <c r="I54" s="473"/>
      <c r="J54" s="473"/>
      <c r="K54" s="473"/>
      <c r="L54" s="473"/>
      <c r="M54" s="474"/>
      <c r="N54" s="346"/>
      <c r="O54" s="340"/>
      <c r="P54" s="475"/>
      <c r="Q54" s="476"/>
      <c r="R54" s="475"/>
      <c r="S54" s="477"/>
      <c r="T54" s="477"/>
      <c r="U54" s="476"/>
      <c r="V54" s="478"/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375</v>
      </c>
      <c r="B55" s="481"/>
      <c r="C55" s="343" t="s">
        <v>268</v>
      </c>
      <c r="D55" s="343"/>
      <c r="E55" s="343" t="s">
        <v>435</v>
      </c>
      <c r="F55" s="472" t="s">
        <v>187</v>
      </c>
      <c r="G55" s="473"/>
      <c r="H55" s="473"/>
      <c r="I55" s="473"/>
      <c r="J55" s="473"/>
      <c r="K55" s="473"/>
      <c r="L55" s="473"/>
      <c r="M55" s="474"/>
      <c r="N55" s="346"/>
      <c r="O55" s="340"/>
      <c r="P55" s="475"/>
      <c r="Q55" s="476"/>
      <c r="R55" s="475"/>
      <c r="S55" s="477"/>
      <c r="T55" s="477"/>
      <c r="U55" s="476"/>
      <c r="V55" s="478"/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188</v>
      </c>
      <c r="B56" s="481"/>
      <c r="C56" s="343" t="s">
        <v>184</v>
      </c>
      <c r="D56" s="343"/>
      <c r="E56" s="343" t="s">
        <v>296</v>
      </c>
      <c r="F56" s="472" t="s">
        <v>204</v>
      </c>
      <c r="G56" s="473"/>
      <c r="H56" s="473"/>
      <c r="I56" s="473"/>
      <c r="J56" s="473"/>
      <c r="K56" s="473"/>
      <c r="L56" s="473"/>
      <c r="M56" s="474"/>
      <c r="N56" s="346"/>
      <c r="O56" s="340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118</v>
      </c>
      <c r="B57" s="481"/>
      <c r="C57" s="343" t="s">
        <v>214</v>
      </c>
      <c r="D57" s="343" t="s">
        <v>115</v>
      </c>
      <c r="E57" s="343" t="s">
        <v>366</v>
      </c>
      <c r="F57" s="472" t="s">
        <v>183</v>
      </c>
      <c r="G57" s="473"/>
      <c r="H57" s="473"/>
      <c r="I57" s="473"/>
      <c r="J57" s="473"/>
      <c r="K57" s="473"/>
      <c r="L57" s="473"/>
      <c r="M57" s="474"/>
      <c r="N57" s="346"/>
      <c r="O57" s="340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/>
      <c r="B58" s="481"/>
      <c r="C58" s="343"/>
      <c r="D58" s="343"/>
      <c r="E58" s="343"/>
      <c r="F58" s="472"/>
      <c r="G58" s="473"/>
      <c r="H58" s="473"/>
      <c r="I58" s="473"/>
      <c r="J58" s="473"/>
      <c r="K58" s="473"/>
      <c r="L58" s="473"/>
      <c r="M58" s="474"/>
      <c r="N58" s="346"/>
      <c r="O58" s="340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343"/>
      <c r="D59" s="343"/>
      <c r="E59" s="343"/>
      <c r="F59" s="472"/>
      <c r="G59" s="473"/>
      <c r="H59" s="473"/>
      <c r="I59" s="473"/>
      <c r="J59" s="473"/>
      <c r="K59" s="473"/>
      <c r="L59" s="473"/>
      <c r="M59" s="474"/>
      <c r="N59" s="346"/>
      <c r="O59" s="340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342"/>
      <c r="D60" s="342"/>
      <c r="E60" s="343"/>
      <c r="F60" s="472"/>
      <c r="G60" s="473"/>
      <c r="H60" s="473"/>
      <c r="I60" s="473"/>
      <c r="J60" s="473"/>
      <c r="K60" s="473"/>
      <c r="L60" s="473"/>
      <c r="M60" s="474"/>
      <c r="N60" s="346"/>
      <c r="O60" s="340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344"/>
      <c r="D61" s="345"/>
      <c r="E61" s="344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441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341" t="s">
        <v>2</v>
      </c>
      <c r="D63" s="341" t="s">
        <v>37</v>
      </c>
      <c r="E63" s="341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341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336"/>
      <c r="E64" s="339" t="s">
        <v>258</v>
      </c>
      <c r="F64" s="499" t="s">
        <v>153</v>
      </c>
      <c r="G64" s="500"/>
      <c r="H64" s="500"/>
      <c r="I64" s="500"/>
      <c r="J64" s="501"/>
      <c r="K64" s="502" t="s">
        <v>134</v>
      </c>
      <c r="L64" s="502"/>
      <c r="M64" s="51" t="s">
        <v>191</v>
      </c>
      <c r="N64" s="503" t="s">
        <v>192</v>
      </c>
      <c r="O64" s="503"/>
      <c r="P64" s="504">
        <v>200</v>
      </c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 t="s">
        <v>112</v>
      </c>
      <c r="D65" s="336"/>
      <c r="E65" s="339" t="s">
        <v>258</v>
      </c>
      <c r="F65" s="499" t="s">
        <v>196</v>
      </c>
      <c r="G65" s="500"/>
      <c r="H65" s="500"/>
      <c r="I65" s="500"/>
      <c r="J65" s="501"/>
      <c r="K65" s="502" t="s">
        <v>134</v>
      </c>
      <c r="L65" s="502"/>
      <c r="M65" s="51" t="s">
        <v>447</v>
      </c>
      <c r="N65" s="503" t="s">
        <v>192</v>
      </c>
      <c r="O65" s="503"/>
      <c r="P65" s="504">
        <v>200</v>
      </c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 t="s">
        <v>188</v>
      </c>
      <c r="D66" s="336"/>
      <c r="E66" s="339" t="s">
        <v>201</v>
      </c>
      <c r="F66" s="499" t="s">
        <v>442</v>
      </c>
      <c r="G66" s="500"/>
      <c r="H66" s="500"/>
      <c r="I66" s="500"/>
      <c r="J66" s="501"/>
      <c r="K66" s="502" t="s">
        <v>144</v>
      </c>
      <c r="L66" s="502"/>
      <c r="M66" s="51" t="s">
        <v>249</v>
      </c>
      <c r="N66" s="503" t="s">
        <v>192</v>
      </c>
      <c r="O66" s="503"/>
      <c r="P66" s="504">
        <v>50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 t="s">
        <v>120</v>
      </c>
      <c r="D67" s="336"/>
      <c r="E67" s="339"/>
      <c r="F67" s="499" t="s">
        <v>443</v>
      </c>
      <c r="G67" s="500"/>
      <c r="H67" s="500"/>
      <c r="I67" s="500"/>
      <c r="J67" s="501"/>
      <c r="K67" s="502" t="s">
        <v>197</v>
      </c>
      <c r="L67" s="502"/>
      <c r="M67" s="51" t="s">
        <v>249</v>
      </c>
      <c r="N67" s="503" t="s">
        <v>131</v>
      </c>
      <c r="O67" s="503"/>
      <c r="P67" s="504">
        <v>100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 t="s">
        <v>112</v>
      </c>
      <c r="D68" s="336"/>
      <c r="E68" s="339" t="s">
        <v>199</v>
      </c>
      <c r="F68" s="499" t="s">
        <v>434</v>
      </c>
      <c r="G68" s="500"/>
      <c r="H68" s="500"/>
      <c r="I68" s="500"/>
      <c r="J68" s="501"/>
      <c r="K68" s="502" t="s">
        <v>133</v>
      </c>
      <c r="L68" s="502"/>
      <c r="M68" s="51" t="s">
        <v>448</v>
      </c>
      <c r="N68" s="503" t="s">
        <v>131</v>
      </c>
      <c r="O68" s="503"/>
      <c r="P68" s="504">
        <v>100</v>
      </c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 t="s">
        <v>188</v>
      </c>
      <c r="D69" s="336"/>
      <c r="E69" s="339" t="s">
        <v>115</v>
      </c>
      <c r="F69" s="499" t="s">
        <v>444</v>
      </c>
      <c r="G69" s="500"/>
      <c r="H69" s="500"/>
      <c r="I69" s="500"/>
      <c r="J69" s="501"/>
      <c r="K69" s="502" t="s">
        <v>446</v>
      </c>
      <c r="L69" s="502"/>
      <c r="M69" s="51" t="s">
        <v>249</v>
      </c>
      <c r="N69" s="503" t="s">
        <v>313</v>
      </c>
      <c r="O69" s="503"/>
      <c r="P69" s="504">
        <v>50</v>
      </c>
      <c r="Q69" s="504"/>
      <c r="R69" s="478" t="s">
        <v>449</v>
      </c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 t="s">
        <v>118</v>
      </c>
      <c r="D70" s="336"/>
      <c r="E70" s="339" t="s">
        <v>115</v>
      </c>
      <c r="F70" s="499" t="s">
        <v>285</v>
      </c>
      <c r="G70" s="500"/>
      <c r="H70" s="500"/>
      <c r="I70" s="500"/>
      <c r="J70" s="501"/>
      <c r="K70" s="502">
        <v>7301</v>
      </c>
      <c r="L70" s="502"/>
      <c r="M70" s="51" t="s">
        <v>448</v>
      </c>
      <c r="N70" s="503" t="s">
        <v>128</v>
      </c>
      <c r="O70" s="503"/>
      <c r="P70" s="504">
        <v>50</v>
      </c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 t="s">
        <v>112</v>
      </c>
      <c r="D71" s="336"/>
      <c r="E71" s="339" t="s">
        <v>115</v>
      </c>
      <c r="F71" s="506" t="s">
        <v>445</v>
      </c>
      <c r="G71" s="502"/>
      <c r="H71" s="502"/>
      <c r="I71" s="502"/>
      <c r="J71" s="502"/>
      <c r="K71" s="502" t="s">
        <v>146</v>
      </c>
      <c r="L71" s="502"/>
      <c r="M71" s="51" t="s">
        <v>249</v>
      </c>
      <c r="N71" s="503" t="s">
        <v>395</v>
      </c>
      <c r="O71" s="503"/>
      <c r="P71" s="504">
        <v>200</v>
      </c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336"/>
      <c r="E72" s="339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336"/>
      <c r="E73" s="339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450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338" t="s">
        <v>2</v>
      </c>
      <c r="D75" s="338" t="s">
        <v>37</v>
      </c>
      <c r="E75" s="338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337" t="s">
        <v>112</v>
      </c>
      <c r="D76" s="337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336"/>
      <c r="D77" s="336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336"/>
      <c r="D78" s="336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336"/>
      <c r="D79" s="336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336"/>
      <c r="D80" s="336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336"/>
      <c r="D81" s="336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336"/>
      <c r="D82" s="336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451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C0F6-668F-4175-B279-CEBBEF993F1F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452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349" t="s">
        <v>17</v>
      </c>
      <c r="L5" s="349" t="s">
        <v>18</v>
      </c>
      <c r="M5" s="349" t="s">
        <v>19</v>
      </c>
      <c r="N5" s="34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1563</v>
      </c>
      <c r="K6" s="15">
        <f>L6+2268+2273+1563</f>
        <v>6104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0.62760416666666674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7152</v>
      </c>
      <c r="K7" s="15">
        <f>L7+10614+8368+10244+7142+11264</f>
        <v>54784</v>
      </c>
      <c r="L7" s="15">
        <f>763*2+2813*2</f>
        <v>7152</v>
      </c>
      <c r="M7" s="15">
        <f t="shared" si="0"/>
        <v>7152</v>
      </c>
      <c r="N7" s="15">
        <v>0</v>
      </c>
      <c r="O7" s="58">
        <f t="shared" si="1"/>
        <v>0</v>
      </c>
      <c r="P7" s="39">
        <f t="shared" si="2"/>
        <v>17</v>
      </c>
      <c r="Q7" s="40">
        <f t="shared" si="3"/>
        <v>7</v>
      </c>
      <c r="R7" s="7"/>
      <c r="S7" s="6"/>
      <c r="T7" s="16"/>
      <c r="U7" s="16"/>
      <c r="V7" s="17"/>
      <c r="W7" s="5">
        <v>7</v>
      </c>
      <c r="X7" s="16"/>
      <c r="Y7" s="16"/>
      <c r="Z7" s="16"/>
      <c r="AA7" s="18"/>
      <c r="AB7" s="8">
        <f t="shared" si="4"/>
        <v>1</v>
      </c>
      <c r="AC7" s="9">
        <f t="shared" si="5"/>
        <v>0.70833333333333337</v>
      </c>
      <c r="AD7" s="10">
        <f t="shared" si="6"/>
        <v>0.70833333333333337</v>
      </c>
      <c r="AE7" s="36">
        <f t="shared" si="7"/>
        <v>0.62760416666666674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137</v>
      </c>
      <c r="E8" s="53" t="s">
        <v>440</v>
      </c>
      <c r="F8" s="30" t="s">
        <v>133</v>
      </c>
      <c r="G8" s="33">
        <v>2</v>
      </c>
      <c r="H8" s="35">
        <v>24</v>
      </c>
      <c r="I8" s="7">
        <v>1000</v>
      </c>
      <c r="J8" s="5">
        <v>1000</v>
      </c>
      <c r="K8" s="15">
        <f>L8+1000</f>
        <v>2000</v>
      </c>
      <c r="L8" s="15">
        <v>1000</v>
      </c>
      <c r="M8" s="15">
        <f t="shared" si="0"/>
        <v>1000</v>
      </c>
      <c r="N8" s="15">
        <v>0</v>
      </c>
      <c r="O8" s="58">
        <f t="shared" si="1"/>
        <v>0</v>
      </c>
      <c r="P8" s="39">
        <f t="shared" si="2"/>
        <v>4</v>
      </c>
      <c r="Q8" s="40">
        <f t="shared" si="3"/>
        <v>20</v>
      </c>
      <c r="R8" s="7"/>
      <c r="S8" s="6"/>
      <c r="T8" s="16"/>
      <c r="U8" s="16"/>
      <c r="V8" s="17"/>
      <c r="W8" s="5"/>
      <c r="X8" s="16"/>
      <c r="Y8" s="16"/>
      <c r="Z8" s="16"/>
      <c r="AA8" s="18">
        <v>20</v>
      </c>
      <c r="AB8" s="8">
        <f t="shared" si="4"/>
        <v>1</v>
      </c>
      <c r="AC8" s="9">
        <f t="shared" si="5"/>
        <v>0.16666666666666666</v>
      </c>
      <c r="AD8" s="10">
        <f t="shared" si="6"/>
        <v>0.16666666666666666</v>
      </c>
      <c r="AE8" s="36">
        <f t="shared" si="7"/>
        <v>0.62760416666666674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5507</v>
      </c>
      <c r="K9" s="15">
        <f>L9+1344+2695+2818+1363+3398+4807+5146+5399+5363+4916+4752+2389+5076+5367+4162+3442+4709+5270+3351+4112+5541+1793+4649+4573+4828+4143+5461</f>
        <v>116374</v>
      </c>
      <c r="L9" s="15">
        <f>2773+2734</f>
        <v>5507</v>
      </c>
      <c r="M9" s="15">
        <f t="shared" si="0"/>
        <v>5507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0.62760416666666674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188</v>
      </c>
      <c r="D10" s="52" t="s">
        <v>140</v>
      </c>
      <c r="E10" s="53" t="s">
        <v>385</v>
      </c>
      <c r="F10" s="30" t="s">
        <v>125</v>
      </c>
      <c r="G10" s="33">
        <v>4</v>
      </c>
      <c r="H10" s="35">
        <v>24</v>
      </c>
      <c r="I10" s="7">
        <v>10000</v>
      </c>
      <c r="J10" s="14">
        <v>10964</v>
      </c>
      <c r="K10" s="15">
        <f>L10+10964</f>
        <v>10964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0.62760416666666674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233</v>
      </c>
      <c r="E11" s="53" t="s">
        <v>453</v>
      </c>
      <c r="F11" s="30" t="s">
        <v>146</v>
      </c>
      <c r="G11" s="33">
        <v>1</v>
      </c>
      <c r="H11" s="35">
        <v>24</v>
      </c>
      <c r="I11" s="7">
        <v>1500</v>
      </c>
      <c r="J11" s="14">
        <v>2861</v>
      </c>
      <c r="K11" s="15">
        <f>L11</f>
        <v>2861</v>
      </c>
      <c r="L11" s="15">
        <f>2861</f>
        <v>2861</v>
      </c>
      <c r="M11" s="15">
        <f t="shared" si="0"/>
        <v>2861</v>
      </c>
      <c r="N11" s="15">
        <v>0</v>
      </c>
      <c r="O11" s="58">
        <f t="shared" si="1"/>
        <v>0</v>
      </c>
      <c r="P11" s="39">
        <f t="shared" si="2"/>
        <v>16</v>
      </c>
      <c r="Q11" s="40">
        <f t="shared" si="3"/>
        <v>8</v>
      </c>
      <c r="R11" s="7"/>
      <c r="S11" s="6"/>
      <c r="T11" s="16">
        <v>8</v>
      </c>
      <c r="U11" s="16"/>
      <c r="V11" s="17"/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0.66666666666666663</v>
      </c>
      <c r="AD11" s="10">
        <f t="shared" si="6"/>
        <v>0.66666666666666663</v>
      </c>
      <c r="AE11" s="36">
        <f t="shared" si="7"/>
        <v>0.62760416666666674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70000</v>
      </c>
      <c r="J12" s="5">
        <v>4473</v>
      </c>
      <c r="K12" s="15">
        <f>L12+4597+5041+5597+5567+5537+3364+5103+4208+3250</f>
        <v>46737</v>
      </c>
      <c r="L12" s="15">
        <f>1700+2773</f>
        <v>4473</v>
      </c>
      <c r="M12" s="15">
        <f t="shared" si="0"/>
        <v>4473</v>
      </c>
      <c r="N12" s="15">
        <v>0</v>
      </c>
      <c r="O12" s="58">
        <f t="shared" si="1"/>
        <v>0</v>
      </c>
      <c r="P12" s="39">
        <f t="shared" si="2"/>
        <v>20</v>
      </c>
      <c r="Q12" s="40">
        <f t="shared" si="3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0.83333333333333337</v>
      </c>
      <c r="AD12" s="10">
        <f t="shared" si="6"/>
        <v>0.83333333333333337</v>
      </c>
      <c r="AE12" s="36">
        <f t="shared" si="7"/>
        <v>0.62760416666666674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256</v>
      </c>
      <c r="E13" s="53" t="s">
        <v>454</v>
      </c>
      <c r="F13" s="30" t="s">
        <v>125</v>
      </c>
      <c r="G13" s="33">
        <v>1</v>
      </c>
      <c r="H13" s="35">
        <v>24</v>
      </c>
      <c r="I13" s="7">
        <v>18000</v>
      </c>
      <c r="J13" s="14">
        <v>3083</v>
      </c>
      <c r="K13" s="15">
        <f>L13</f>
        <v>3083</v>
      </c>
      <c r="L13" s="15">
        <f>670+2413</f>
        <v>3083</v>
      </c>
      <c r="M13" s="15">
        <f t="shared" si="0"/>
        <v>3083</v>
      </c>
      <c r="N13" s="15">
        <v>0</v>
      </c>
      <c r="O13" s="58">
        <f t="shared" si="1"/>
        <v>0</v>
      </c>
      <c r="P13" s="39">
        <f t="shared" si="2"/>
        <v>16</v>
      </c>
      <c r="Q13" s="40">
        <f t="shared" si="3"/>
        <v>8</v>
      </c>
      <c r="R13" s="7"/>
      <c r="S13" s="6">
        <v>8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0.66666666666666663</v>
      </c>
      <c r="AD13" s="10">
        <f t="shared" si="6"/>
        <v>0.66666666666666663</v>
      </c>
      <c r="AE13" s="36">
        <f t="shared" si="7"/>
        <v>0.62760416666666674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408</v>
      </c>
      <c r="F14" s="30" t="s">
        <v>413</v>
      </c>
      <c r="G14" s="33">
        <v>1</v>
      </c>
      <c r="H14" s="35">
        <v>50</v>
      </c>
      <c r="I14" s="7">
        <v>300</v>
      </c>
      <c r="J14" s="5">
        <v>452</v>
      </c>
      <c r="K14" s="15">
        <f>L14+452</f>
        <v>452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0.62760416666666674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375</v>
      </c>
      <c r="D15" s="52"/>
      <c r="E15" s="53" t="s">
        <v>435</v>
      </c>
      <c r="F15" s="12">
        <v>8301</v>
      </c>
      <c r="G15" s="12" t="s">
        <v>436</v>
      </c>
      <c r="H15" s="13">
        <v>24</v>
      </c>
      <c r="I15" s="31">
        <v>2000</v>
      </c>
      <c r="J15" s="14">
        <v>5660</v>
      </c>
      <c r="K15" s="15">
        <f>L15+4244</f>
        <v>9904</v>
      </c>
      <c r="L15" s="15">
        <f>2750+252+2658</f>
        <v>5660</v>
      </c>
      <c r="M15" s="15">
        <f t="shared" si="0"/>
        <v>5660</v>
      </c>
      <c r="N15" s="15">
        <v>0</v>
      </c>
      <c r="O15" s="58">
        <f t="shared" si="1"/>
        <v>0</v>
      </c>
      <c r="P15" s="39">
        <f t="shared" si="2"/>
        <v>24</v>
      </c>
      <c r="Q15" s="40">
        <f t="shared" si="3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1</v>
      </c>
      <c r="AD15" s="10">
        <f t="shared" si="6"/>
        <v>1</v>
      </c>
      <c r="AE15" s="36">
        <f t="shared" si="7"/>
        <v>0.62760416666666674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5852</v>
      </c>
      <c r="K16" s="15">
        <f>L16+4303+5850+5280+5606+5547+5173+5805+5835+6039+5589+5810+3971+5819</f>
        <v>76479</v>
      </c>
      <c r="L16" s="15">
        <f>2949+2903</f>
        <v>5852</v>
      </c>
      <c r="M16" s="15">
        <f t="shared" si="0"/>
        <v>5852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0.62760416666666674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10864</v>
      </c>
      <c r="K17" s="15">
        <f>L17+33015+35895+37090+38775+40475+36685+38795+38720+10865</f>
        <v>310315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0.62760416666666674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366</v>
      </c>
      <c r="F18" s="30" t="s">
        <v>130</v>
      </c>
      <c r="G18" s="33">
        <v>1</v>
      </c>
      <c r="H18" s="35">
        <v>24</v>
      </c>
      <c r="I18" s="7">
        <v>10000</v>
      </c>
      <c r="J18" s="14">
        <v>5539</v>
      </c>
      <c r="K18" s="15">
        <f>L18+2502+5484+5080</f>
        <v>18605</v>
      </c>
      <c r="L18" s="15">
        <f>2787+2752</f>
        <v>5539</v>
      </c>
      <c r="M18" s="15">
        <f t="shared" si="0"/>
        <v>5539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0.62760416666666674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378</v>
      </c>
      <c r="E19" s="53" t="s">
        <v>367</v>
      </c>
      <c r="F19" s="30" t="s">
        <v>135</v>
      </c>
      <c r="G19" s="33">
        <v>1</v>
      </c>
      <c r="H19" s="35">
        <v>24</v>
      </c>
      <c r="I19" s="7">
        <v>18000</v>
      </c>
      <c r="J19" s="14">
        <v>5257</v>
      </c>
      <c r="K19" s="15">
        <f>L19+4424+5113+4751+5219</f>
        <v>24764</v>
      </c>
      <c r="L19" s="15">
        <f>2656+2601</f>
        <v>5257</v>
      </c>
      <c r="M19" s="15">
        <f t="shared" si="0"/>
        <v>5257</v>
      </c>
      <c r="N19" s="15">
        <v>0</v>
      </c>
      <c r="O19" s="58">
        <f t="shared" si="1"/>
        <v>0</v>
      </c>
      <c r="P19" s="39">
        <f t="shared" si="2"/>
        <v>24</v>
      </c>
      <c r="Q19" s="40">
        <f t="shared" si="3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1</v>
      </c>
      <c r="AD19" s="10">
        <f t="shared" si="6"/>
        <v>1</v>
      </c>
      <c r="AE19" s="36">
        <f t="shared" si="7"/>
        <v>0.62760416666666674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5687</v>
      </c>
      <c r="K20" s="15">
        <f>L20+5680+5650+5595+4980+5238+5654+5218+5376+5674+2421+2785+5649+5670</f>
        <v>71277</v>
      </c>
      <c r="L20" s="15">
        <f>2819+2868</f>
        <v>5687</v>
      </c>
      <c r="M20" s="15">
        <f t="shared" si="0"/>
        <v>5687</v>
      </c>
      <c r="N20" s="15">
        <v>0</v>
      </c>
      <c r="O20" s="58">
        <f t="shared" si="1"/>
        <v>0</v>
      </c>
      <c r="P20" s="39">
        <f t="shared" si="2"/>
        <v>24</v>
      </c>
      <c r="Q20" s="40">
        <f t="shared" si="3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1</v>
      </c>
      <c r="AD20" s="10">
        <f t="shared" si="6"/>
        <v>1</v>
      </c>
      <c r="AE20" s="36">
        <f t="shared" si="7"/>
        <v>0.62760416666666674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58388</v>
      </c>
      <c r="K21" s="15">
        <f>L21+52848+58908+58380+58904+60440+12000+48800+57140</f>
        <v>465808</v>
      </c>
      <c r="L21" s="15">
        <f>7184*4+7413*4</f>
        <v>58388</v>
      </c>
      <c r="M21" s="15">
        <f t="shared" si="0"/>
        <v>58388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0.62760416666666674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1412300</v>
      </c>
      <c r="J22" s="19">
        <f t="shared" si="9"/>
        <v>134302</v>
      </c>
      <c r="K22" s="20">
        <f t="shared" si="9"/>
        <v>1220511</v>
      </c>
      <c r="L22" s="21">
        <f t="shared" si="9"/>
        <v>110459</v>
      </c>
      <c r="M22" s="20">
        <f t="shared" si="9"/>
        <v>110459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241</v>
      </c>
      <c r="Q22" s="43">
        <f t="shared" si="10"/>
        <v>143</v>
      </c>
      <c r="R22" s="23">
        <f t="shared" si="10"/>
        <v>0</v>
      </c>
      <c r="S22" s="24">
        <f t="shared" si="10"/>
        <v>36</v>
      </c>
      <c r="T22" s="24">
        <f t="shared" si="10"/>
        <v>8</v>
      </c>
      <c r="U22" s="24">
        <f t="shared" si="10"/>
        <v>0</v>
      </c>
      <c r="V22" s="25">
        <f t="shared" si="10"/>
        <v>0</v>
      </c>
      <c r="W22" s="26">
        <f t="shared" si="10"/>
        <v>31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68</v>
      </c>
      <c r="AB22" s="28">
        <f>AVERAGE(AB6:AB21)</f>
        <v>0.75</v>
      </c>
      <c r="AC22" s="4">
        <f>AVERAGE(AC6:AC21)</f>
        <v>0.62760416666666674</v>
      </c>
      <c r="AD22" s="4">
        <f>AVERAGE(AD6:AD21)</f>
        <v>0.62760416666666674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455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457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350" t="s">
        <v>46</v>
      </c>
      <c r="D51" s="350" t="s">
        <v>47</v>
      </c>
      <c r="E51" s="350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350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80" t="s">
        <v>112</v>
      </c>
      <c r="B52" s="481"/>
      <c r="C52" s="353" t="s">
        <v>131</v>
      </c>
      <c r="D52" s="353" t="s">
        <v>137</v>
      </c>
      <c r="E52" s="353" t="s">
        <v>440</v>
      </c>
      <c r="F52" s="472" t="s">
        <v>407</v>
      </c>
      <c r="G52" s="473"/>
      <c r="H52" s="473"/>
      <c r="I52" s="473"/>
      <c r="J52" s="473"/>
      <c r="K52" s="473"/>
      <c r="L52" s="473"/>
      <c r="M52" s="474"/>
      <c r="N52" s="352" t="s">
        <v>188</v>
      </c>
      <c r="O52" s="358" t="s">
        <v>184</v>
      </c>
      <c r="P52" s="475"/>
      <c r="Q52" s="476"/>
      <c r="R52" s="475" t="s">
        <v>296</v>
      </c>
      <c r="S52" s="477"/>
      <c r="T52" s="477"/>
      <c r="U52" s="476"/>
      <c r="V52" s="478" t="s">
        <v>124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80" t="s">
        <v>118</v>
      </c>
      <c r="B53" s="481"/>
      <c r="C53" s="353" t="s">
        <v>149</v>
      </c>
      <c r="D53" s="353" t="s">
        <v>115</v>
      </c>
      <c r="E53" s="353" t="s">
        <v>294</v>
      </c>
      <c r="F53" s="472" t="s">
        <v>207</v>
      </c>
      <c r="G53" s="473"/>
      <c r="H53" s="473"/>
      <c r="I53" s="473"/>
      <c r="J53" s="473"/>
      <c r="K53" s="473"/>
      <c r="L53" s="473"/>
      <c r="M53" s="474"/>
      <c r="N53" s="352" t="s">
        <v>118</v>
      </c>
      <c r="O53" s="358" t="s">
        <v>149</v>
      </c>
      <c r="P53" s="475" t="s">
        <v>115</v>
      </c>
      <c r="Q53" s="476"/>
      <c r="R53" s="475" t="s">
        <v>294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118</v>
      </c>
      <c r="B54" s="481"/>
      <c r="C54" s="353" t="s">
        <v>128</v>
      </c>
      <c r="D54" s="353" t="s">
        <v>256</v>
      </c>
      <c r="E54" s="353" t="s">
        <v>454</v>
      </c>
      <c r="F54" s="472" t="s">
        <v>456</v>
      </c>
      <c r="G54" s="473"/>
      <c r="H54" s="473"/>
      <c r="I54" s="473"/>
      <c r="J54" s="473"/>
      <c r="K54" s="473"/>
      <c r="L54" s="473"/>
      <c r="M54" s="474"/>
      <c r="N54" s="352"/>
      <c r="O54" s="358"/>
      <c r="P54" s="475"/>
      <c r="Q54" s="476"/>
      <c r="R54" s="475"/>
      <c r="S54" s="477"/>
      <c r="T54" s="477"/>
      <c r="U54" s="476"/>
      <c r="V54" s="478"/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112</v>
      </c>
      <c r="B55" s="481"/>
      <c r="C55" s="353" t="s">
        <v>313</v>
      </c>
      <c r="D55" s="353" t="s">
        <v>233</v>
      </c>
      <c r="E55" s="353" t="s">
        <v>228</v>
      </c>
      <c r="F55" s="472" t="s">
        <v>187</v>
      </c>
      <c r="G55" s="473"/>
      <c r="H55" s="473"/>
      <c r="I55" s="473"/>
      <c r="J55" s="473"/>
      <c r="K55" s="473"/>
      <c r="L55" s="473"/>
      <c r="M55" s="474"/>
      <c r="N55" s="352"/>
      <c r="O55" s="358"/>
      <c r="P55" s="475"/>
      <c r="Q55" s="476"/>
      <c r="R55" s="475"/>
      <c r="S55" s="477"/>
      <c r="T55" s="477"/>
      <c r="U55" s="476"/>
      <c r="V55" s="478"/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/>
      <c r="B56" s="481"/>
      <c r="C56" s="353"/>
      <c r="D56" s="353"/>
      <c r="E56" s="353"/>
      <c r="F56" s="472"/>
      <c r="G56" s="473"/>
      <c r="H56" s="473"/>
      <c r="I56" s="473"/>
      <c r="J56" s="473"/>
      <c r="K56" s="473"/>
      <c r="L56" s="473"/>
      <c r="M56" s="474"/>
      <c r="N56" s="352"/>
      <c r="O56" s="358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/>
      <c r="B57" s="481"/>
      <c r="C57" s="353"/>
      <c r="D57" s="353"/>
      <c r="E57" s="353"/>
      <c r="F57" s="472"/>
      <c r="G57" s="473"/>
      <c r="H57" s="473"/>
      <c r="I57" s="473"/>
      <c r="J57" s="473"/>
      <c r="K57" s="473"/>
      <c r="L57" s="473"/>
      <c r="M57" s="474"/>
      <c r="N57" s="352"/>
      <c r="O57" s="358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/>
      <c r="B58" s="481"/>
      <c r="C58" s="353"/>
      <c r="D58" s="353"/>
      <c r="E58" s="353"/>
      <c r="F58" s="472"/>
      <c r="G58" s="473"/>
      <c r="H58" s="473"/>
      <c r="I58" s="473"/>
      <c r="J58" s="473"/>
      <c r="K58" s="473"/>
      <c r="L58" s="473"/>
      <c r="M58" s="474"/>
      <c r="N58" s="352"/>
      <c r="O58" s="358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353"/>
      <c r="D59" s="353"/>
      <c r="E59" s="353"/>
      <c r="F59" s="472"/>
      <c r="G59" s="473"/>
      <c r="H59" s="473"/>
      <c r="I59" s="473"/>
      <c r="J59" s="473"/>
      <c r="K59" s="473"/>
      <c r="L59" s="473"/>
      <c r="M59" s="474"/>
      <c r="N59" s="352"/>
      <c r="O59" s="358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351"/>
      <c r="D60" s="351"/>
      <c r="E60" s="353"/>
      <c r="F60" s="472"/>
      <c r="G60" s="473"/>
      <c r="H60" s="473"/>
      <c r="I60" s="473"/>
      <c r="J60" s="473"/>
      <c r="K60" s="473"/>
      <c r="L60" s="473"/>
      <c r="M60" s="474"/>
      <c r="N60" s="352"/>
      <c r="O60" s="358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354"/>
      <c r="D61" s="355"/>
      <c r="E61" s="354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458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356" t="s">
        <v>2</v>
      </c>
      <c r="D63" s="356" t="s">
        <v>37</v>
      </c>
      <c r="E63" s="356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356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360"/>
      <c r="E64" s="357" t="s">
        <v>137</v>
      </c>
      <c r="F64" s="499" t="s">
        <v>440</v>
      </c>
      <c r="G64" s="500"/>
      <c r="H64" s="500"/>
      <c r="I64" s="500"/>
      <c r="J64" s="501"/>
      <c r="K64" s="502" t="s">
        <v>133</v>
      </c>
      <c r="L64" s="502"/>
      <c r="M64" s="51" t="s">
        <v>448</v>
      </c>
      <c r="N64" s="503" t="s">
        <v>131</v>
      </c>
      <c r="O64" s="503"/>
      <c r="P64" s="504">
        <v>100</v>
      </c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 t="s">
        <v>118</v>
      </c>
      <c r="D65" s="360"/>
      <c r="E65" s="357" t="s">
        <v>143</v>
      </c>
      <c r="F65" s="499" t="s">
        <v>459</v>
      </c>
      <c r="G65" s="500"/>
      <c r="H65" s="500"/>
      <c r="I65" s="500"/>
      <c r="J65" s="501"/>
      <c r="K65" s="502" t="s">
        <v>463</v>
      </c>
      <c r="L65" s="502"/>
      <c r="M65" s="51" t="s">
        <v>249</v>
      </c>
      <c r="N65" s="503" t="s">
        <v>131</v>
      </c>
      <c r="O65" s="503"/>
      <c r="P65" s="504">
        <v>100</v>
      </c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 t="s">
        <v>112</v>
      </c>
      <c r="D66" s="360"/>
      <c r="E66" s="357" t="s">
        <v>390</v>
      </c>
      <c r="F66" s="499" t="s">
        <v>460</v>
      </c>
      <c r="G66" s="500"/>
      <c r="H66" s="500"/>
      <c r="I66" s="500"/>
      <c r="J66" s="501"/>
      <c r="K66" s="502" t="s">
        <v>125</v>
      </c>
      <c r="L66" s="502"/>
      <c r="M66" s="51" t="s">
        <v>249</v>
      </c>
      <c r="N66" s="503" t="s">
        <v>131</v>
      </c>
      <c r="O66" s="503"/>
      <c r="P66" s="504">
        <v>100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 t="s">
        <v>112</v>
      </c>
      <c r="D67" s="360"/>
      <c r="E67" s="357" t="s">
        <v>137</v>
      </c>
      <c r="F67" s="499" t="s">
        <v>461</v>
      </c>
      <c r="G67" s="500"/>
      <c r="H67" s="500"/>
      <c r="I67" s="500"/>
      <c r="J67" s="501"/>
      <c r="K67" s="502" t="s">
        <v>133</v>
      </c>
      <c r="L67" s="502"/>
      <c r="M67" s="51" t="s">
        <v>249</v>
      </c>
      <c r="N67" s="503" t="s">
        <v>171</v>
      </c>
      <c r="O67" s="503"/>
      <c r="P67" s="504">
        <f>7*60</f>
        <v>420</v>
      </c>
      <c r="Q67" s="504"/>
      <c r="R67" s="478" t="s">
        <v>464</v>
      </c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 t="s">
        <v>112</v>
      </c>
      <c r="D68" s="360"/>
      <c r="E68" s="357" t="s">
        <v>143</v>
      </c>
      <c r="F68" s="499" t="s">
        <v>462</v>
      </c>
      <c r="G68" s="500"/>
      <c r="H68" s="500"/>
      <c r="I68" s="500"/>
      <c r="J68" s="501"/>
      <c r="K68" s="502" t="s">
        <v>146</v>
      </c>
      <c r="L68" s="502"/>
      <c r="M68" s="51" t="s">
        <v>249</v>
      </c>
      <c r="N68" s="503" t="s">
        <v>171</v>
      </c>
      <c r="O68" s="503"/>
      <c r="P68" s="504">
        <v>100</v>
      </c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/>
      <c r="D69" s="360"/>
      <c r="E69" s="357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360"/>
      <c r="E70" s="357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360"/>
      <c r="E71" s="357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360"/>
      <c r="E72" s="357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360"/>
      <c r="E73" s="357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465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359" t="s">
        <v>2</v>
      </c>
      <c r="D75" s="359" t="s">
        <v>37</v>
      </c>
      <c r="E75" s="359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361" t="s">
        <v>112</v>
      </c>
      <c r="D76" s="361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360"/>
      <c r="D77" s="360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360"/>
      <c r="D78" s="360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360"/>
      <c r="D79" s="360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360"/>
      <c r="D80" s="360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360"/>
      <c r="D81" s="360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360"/>
      <c r="D82" s="360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466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7B63-7056-44E8-86AD-07A8A8776476}">
  <dimension ref="A1:AF87"/>
  <sheetViews>
    <sheetView view="pageBreakPreview" zoomScale="70" zoomScaleNormal="72" zoomScaleSheetLayoutView="70" workbookViewId="0">
      <selection activeCell="K81" sqref="K81:S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467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374" t="s">
        <v>17</v>
      </c>
      <c r="L5" s="374" t="s">
        <v>18</v>
      </c>
      <c r="M5" s="374" t="s">
        <v>19</v>
      </c>
      <c r="N5" s="37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153</v>
      </c>
      <c r="F6" s="30" t="s">
        <v>134</v>
      </c>
      <c r="G6" s="12">
        <v>1</v>
      </c>
      <c r="H6" s="13">
        <v>24</v>
      </c>
      <c r="I6" s="7">
        <v>13000</v>
      </c>
      <c r="J6" s="14">
        <v>1563</v>
      </c>
      <c r="K6" s="15">
        <f>L6+2268+2273+1563</f>
        <v>6104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0.25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7152</v>
      </c>
      <c r="K7" s="15">
        <f>L7+10614+8368+10244+7142+11264+7152</f>
        <v>54784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0.25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137</v>
      </c>
      <c r="E8" s="53" t="s">
        <v>440</v>
      </c>
      <c r="F8" s="30" t="s">
        <v>133</v>
      </c>
      <c r="G8" s="33">
        <v>2</v>
      </c>
      <c r="H8" s="35">
        <v>24</v>
      </c>
      <c r="I8" s="7">
        <v>1000</v>
      </c>
      <c r="J8" s="5">
        <v>1000</v>
      </c>
      <c r="K8" s="15">
        <f>L8+1000+1000</f>
        <v>2000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0.25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v>65000</v>
      </c>
      <c r="J9" s="14">
        <v>2538</v>
      </c>
      <c r="K9" s="15">
        <f>L9+1344+2695+2818+1363+3398+4807+5146+5399+5363+4916+4752+2389+5076+5367+4162+3442+4709+5270+3351+4112+5541+1793+4649+4573+4828+4143+5461+5507</f>
        <v>118912</v>
      </c>
      <c r="L9" s="15">
        <v>2538</v>
      </c>
      <c r="M9" s="15">
        <f t="shared" si="0"/>
        <v>2538</v>
      </c>
      <c r="N9" s="15">
        <v>0</v>
      </c>
      <c r="O9" s="58">
        <f t="shared" si="1"/>
        <v>0</v>
      </c>
      <c r="P9" s="39">
        <f t="shared" si="2"/>
        <v>12</v>
      </c>
      <c r="Q9" s="40">
        <f t="shared" si="3"/>
        <v>12</v>
      </c>
      <c r="R9" s="7"/>
      <c r="S9" s="6"/>
      <c r="T9" s="16"/>
      <c r="U9" s="16"/>
      <c r="V9" s="17">
        <v>12</v>
      </c>
      <c r="W9" s="5"/>
      <c r="X9" s="16"/>
      <c r="Y9" s="16"/>
      <c r="Z9" s="16"/>
      <c r="AA9" s="18"/>
      <c r="AB9" s="8">
        <f t="shared" si="4"/>
        <v>1</v>
      </c>
      <c r="AC9" s="9">
        <f t="shared" si="5"/>
        <v>0.5</v>
      </c>
      <c r="AD9" s="10">
        <f t="shared" si="6"/>
        <v>0.5</v>
      </c>
      <c r="AE9" s="36">
        <f t="shared" si="7"/>
        <v>0.25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188</v>
      </c>
      <c r="D10" s="52" t="s">
        <v>140</v>
      </c>
      <c r="E10" s="53" t="s">
        <v>385</v>
      </c>
      <c r="F10" s="30" t="s">
        <v>125</v>
      </c>
      <c r="G10" s="33">
        <v>4</v>
      </c>
      <c r="H10" s="35">
        <v>24</v>
      </c>
      <c r="I10" s="7">
        <v>10000</v>
      </c>
      <c r="J10" s="14">
        <v>10964</v>
      </c>
      <c r="K10" s="15">
        <f>L10+10964</f>
        <v>10964</v>
      </c>
      <c r="L10" s="15"/>
      <c r="M10" s="15">
        <f t="shared" si="0"/>
        <v>0</v>
      </c>
      <c r="N10" s="15">
        <v>0</v>
      </c>
      <c r="O10" s="58" t="str">
        <f t="shared" si="1"/>
        <v>0</v>
      </c>
      <c r="P10" s="39" t="str">
        <f t="shared" si="2"/>
        <v>0</v>
      </c>
      <c r="Q10" s="40">
        <f t="shared" si="3"/>
        <v>24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24</v>
      </c>
      <c r="AB10" s="8">
        <f t="shared" si="4"/>
        <v>0</v>
      </c>
      <c r="AC10" s="9">
        <f t="shared" si="5"/>
        <v>0</v>
      </c>
      <c r="AD10" s="10">
        <f t="shared" si="6"/>
        <v>0</v>
      </c>
      <c r="AE10" s="36">
        <f t="shared" si="7"/>
        <v>0.25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233</v>
      </c>
      <c r="E11" s="53" t="s">
        <v>453</v>
      </c>
      <c r="F11" s="30" t="s">
        <v>146</v>
      </c>
      <c r="G11" s="33">
        <v>1</v>
      </c>
      <c r="H11" s="35">
        <v>24</v>
      </c>
      <c r="I11" s="7">
        <v>1500</v>
      </c>
      <c r="J11" s="14">
        <v>2581</v>
      </c>
      <c r="K11" s="15">
        <f>L11+2861</f>
        <v>5442</v>
      </c>
      <c r="L11" s="15">
        <v>2581</v>
      </c>
      <c r="M11" s="15">
        <f t="shared" si="0"/>
        <v>2581</v>
      </c>
      <c r="N11" s="15">
        <v>0</v>
      </c>
      <c r="O11" s="58">
        <f t="shared" si="1"/>
        <v>0</v>
      </c>
      <c r="P11" s="39">
        <f t="shared" si="2"/>
        <v>12</v>
      </c>
      <c r="Q11" s="40">
        <f t="shared" si="3"/>
        <v>12</v>
      </c>
      <c r="R11" s="7"/>
      <c r="S11" s="6"/>
      <c r="T11" s="16"/>
      <c r="U11" s="16"/>
      <c r="V11" s="17">
        <v>12</v>
      </c>
      <c r="W11" s="5"/>
      <c r="X11" s="16"/>
      <c r="Y11" s="16"/>
      <c r="Z11" s="16"/>
      <c r="AA11" s="18"/>
      <c r="AB11" s="8">
        <f t="shared" si="4"/>
        <v>1</v>
      </c>
      <c r="AC11" s="9">
        <f t="shared" si="5"/>
        <v>0.5</v>
      </c>
      <c r="AD11" s="10">
        <f t="shared" si="6"/>
        <v>0.5</v>
      </c>
      <c r="AE11" s="36">
        <f t="shared" si="7"/>
        <v>0.25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70000</v>
      </c>
      <c r="J12" s="5">
        <v>4473</v>
      </c>
      <c r="K12" s="15">
        <f>L12+4597+5041+5597+5567+5537+3364+5103+4208+3250+4473</f>
        <v>46737</v>
      </c>
      <c r="L12" s="15"/>
      <c r="M12" s="15">
        <f t="shared" si="0"/>
        <v>0</v>
      </c>
      <c r="N12" s="15">
        <v>0</v>
      </c>
      <c r="O12" s="58" t="str">
        <f t="shared" si="1"/>
        <v>0</v>
      </c>
      <c r="P12" s="39" t="str">
        <f t="shared" si="2"/>
        <v>0</v>
      </c>
      <c r="Q12" s="40">
        <f t="shared" si="3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0</v>
      </c>
      <c r="AC12" s="9">
        <f t="shared" si="5"/>
        <v>0</v>
      </c>
      <c r="AD12" s="10">
        <f t="shared" si="6"/>
        <v>0</v>
      </c>
      <c r="AE12" s="36">
        <f t="shared" si="7"/>
        <v>0.25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256</v>
      </c>
      <c r="E13" s="53" t="s">
        <v>454</v>
      </c>
      <c r="F13" s="30" t="s">
        <v>125</v>
      </c>
      <c r="G13" s="33">
        <v>1</v>
      </c>
      <c r="H13" s="35">
        <v>24</v>
      </c>
      <c r="I13" s="7">
        <v>18000</v>
      </c>
      <c r="J13" s="14">
        <v>2750</v>
      </c>
      <c r="K13" s="15">
        <f>L13+3083</f>
        <v>5833</v>
      </c>
      <c r="L13" s="15">
        <v>2750</v>
      </c>
      <c r="M13" s="15">
        <f t="shared" si="0"/>
        <v>2750</v>
      </c>
      <c r="N13" s="15">
        <v>0</v>
      </c>
      <c r="O13" s="58">
        <f t="shared" si="1"/>
        <v>0</v>
      </c>
      <c r="P13" s="39">
        <f t="shared" si="2"/>
        <v>12</v>
      </c>
      <c r="Q13" s="40">
        <f t="shared" si="3"/>
        <v>12</v>
      </c>
      <c r="R13" s="7"/>
      <c r="S13" s="6"/>
      <c r="T13" s="16"/>
      <c r="U13" s="16"/>
      <c r="V13" s="17">
        <v>12</v>
      </c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0.5</v>
      </c>
      <c r="AD13" s="10">
        <f t="shared" si="6"/>
        <v>0.5</v>
      </c>
      <c r="AE13" s="36">
        <f t="shared" si="7"/>
        <v>0.25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408</v>
      </c>
      <c r="F14" s="30" t="s">
        <v>413</v>
      </c>
      <c r="G14" s="33">
        <v>1</v>
      </c>
      <c r="H14" s="35">
        <v>50</v>
      </c>
      <c r="I14" s="7">
        <v>300</v>
      </c>
      <c r="J14" s="5">
        <v>452</v>
      </c>
      <c r="K14" s="15">
        <f>L14+452</f>
        <v>452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0.25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375</v>
      </c>
      <c r="D15" s="52"/>
      <c r="E15" s="53" t="s">
        <v>435</v>
      </c>
      <c r="F15" s="12">
        <v>8301</v>
      </c>
      <c r="G15" s="12" t="s">
        <v>436</v>
      </c>
      <c r="H15" s="13">
        <v>24</v>
      </c>
      <c r="I15" s="31">
        <v>2000</v>
      </c>
      <c r="J15" s="14">
        <v>5660</v>
      </c>
      <c r="K15" s="15">
        <f>L15+4244+5660</f>
        <v>9904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0.25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2621</v>
      </c>
      <c r="K16" s="15">
        <f>L16+4303+5850+5280+5606+5547+5173+5805+5835+6039+5589+5810+3971+5819+5852</f>
        <v>79100</v>
      </c>
      <c r="L16" s="15">
        <v>2621</v>
      </c>
      <c r="M16" s="15">
        <f t="shared" si="0"/>
        <v>2621</v>
      </c>
      <c r="N16" s="15">
        <v>0</v>
      </c>
      <c r="O16" s="58">
        <f t="shared" si="1"/>
        <v>0</v>
      </c>
      <c r="P16" s="39">
        <f t="shared" si="2"/>
        <v>12</v>
      </c>
      <c r="Q16" s="40">
        <f t="shared" si="3"/>
        <v>12</v>
      </c>
      <c r="R16" s="7"/>
      <c r="S16" s="6"/>
      <c r="T16" s="16"/>
      <c r="U16" s="16"/>
      <c r="V16" s="17">
        <v>12</v>
      </c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0.5</v>
      </c>
      <c r="AD16" s="10">
        <f t="shared" si="6"/>
        <v>0.5</v>
      </c>
      <c r="AE16" s="36">
        <f t="shared" si="7"/>
        <v>0.25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10864</v>
      </c>
      <c r="K17" s="15">
        <f>L17+33015+35895+37090+38775+40475+36685+38795+38720+10865</f>
        <v>310315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0.25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366</v>
      </c>
      <c r="F18" s="30" t="s">
        <v>130</v>
      </c>
      <c r="G18" s="33">
        <v>1</v>
      </c>
      <c r="H18" s="35">
        <v>24</v>
      </c>
      <c r="I18" s="7">
        <v>10000</v>
      </c>
      <c r="J18" s="14">
        <v>2186</v>
      </c>
      <c r="K18" s="15">
        <f>L18+2502+5484+5080+5539</f>
        <v>20791</v>
      </c>
      <c r="L18" s="15">
        <v>2186</v>
      </c>
      <c r="M18" s="15">
        <f t="shared" si="0"/>
        <v>2186</v>
      </c>
      <c r="N18" s="15">
        <v>0</v>
      </c>
      <c r="O18" s="58">
        <f t="shared" si="1"/>
        <v>0</v>
      </c>
      <c r="P18" s="39">
        <f t="shared" si="2"/>
        <v>12</v>
      </c>
      <c r="Q18" s="40">
        <f t="shared" si="3"/>
        <v>12</v>
      </c>
      <c r="R18" s="7"/>
      <c r="S18" s="6"/>
      <c r="T18" s="16"/>
      <c r="U18" s="16"/>
      <c r="V18" s="17">
        <v>12</v>
      </c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0.5</v>
      </c>
      <c r="AD18" s="10">
        <f t="shared" si="6"/>
        <v>0.5</v>
      </c>
      <c r="AE18" s="36">
        <f t="shared" si="7"/>
        <v>0.25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378</v>
      </c>
      <c r="E19" s="53" t="s">
        <v>367</v>
      </c>
      <c r="F19" s="30" t="s">
        <v>135</v>
      </c>
      <c r="G19" s="33">
        <v>1</v>
      </c>
      <c r="H19" s="35">
        <v>24</v>
      </c>
      <c r="I19" s="7">
        <v>18000</v>
      </c>
      <c r="J19" s="14">
        <v>2255</v>
      </c>
      <c r="K19" s="15">
        <f>L19+4424+5113+4751+5219+5257</f>
        <v>27019</v>
      </c>
      <c r="L19" s="15">
        <v>2255</v>
      </c>
      <c r="M19" s="15">
        <f t="shared" si="0"/>
        <v>2255</v>
      </c>
      <c r="N19" s="15">
        <v>0</v>
      </c>
      <c r="O19" s="58">
        <f t="shared" si="1"/>
        <v>0</v>
      </c>
      <c r="P19" s="39">
        <f t="shared" si="2"/>
        <v>12</v>
      </c>
      <c r="Q19" s="40">
        <f t="shared" si="3"/>
        <v>12</v>
      </c>
      <c r="R19" s="7"/>
      <c r="S19" s="6"/>
      <c r="T19" s="16"/>
      <c r="U19" s="16"/>
      <c r="V19" s="17">
        <v>12</v>
      </c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0.5</v>
      </c>
      <c r="AD19" s="10">
        <f t="shared" si="6"/>
        <v>0.5</v>
      </c>
      <c r="AE19" s="36">
        <f t="shared" si="7"/>
        <v>0.25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2513</v>
      </c>
      <c r="K20" s="15">
        <f>L20+5680+5650+5595+4980+5238+5654+5218+5376+5674+2421+2785+5649+5670+5687</f>
        <v>73790</v>
      </c>
      <c r="L20" s="15">
        <v>2513</v>
      </c>
      <c r="M20" s="15">
        <f t="shared" si="0"/>
        <v>2513</v>
      </c>
      <c r="N20" s="15">
        <v>0</v>
      </c>
      <c r="O20" s="58">
        <f t="shared" si="1"/>
        <v>0</v>
      </c>
      <c r="P20" s="39">
        <f t="shared" si="2"/>
        <v>12</v>
      </c>
      <c r="Q20" s="40">
        <f t="shared" si="3"/>
        <v>12</v>
      </c>
      <c r="R20" s="7"/>
      <c r="S20" s="6"/>
      <c r="T20" s="16"/>
      <c r="U20" s="16"/>
      <c r="V20" s="17">
        <v>12</v>
      </c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0.5</v>
      </c>
      <c r="AD20" s="10">
        <f t="shared" si="6"/>
        <v>0.5</v>
      </c>
      <c r="AE20" s="36">
        <f t="shared" si="7"/>
        <v>0.25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26200</v>
      </c>
      <c r="K21" s="15">
        <f>L21+52848+58908+58380+58904+60440+12000+48800+57140+58388</f>
        <v>492008</v>
      </c>
      <c r="L21" s="15">
        <f>6550*4</f>
        <v>26200</v>
      </c>
      <c r="M21" s="15">
        <f t="shared" si="0"/>
        <v>26200</v>
      </c>
      <c r="N21" s="15">
        <v>0</v>
      </c>
      <c r="O21" s="58">
        <f t="shared" si="1"/>
        <v>0</v>
      </c>
      <c r="P21" s="39">
        <f t="shared" si="2"/>
        <v>12</v>
      </c>
      <c r="Q21" s="40">
        <f t="shared" si="3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6">
        <f t="shared" si="7"/>
        <v>0.25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1412300</v>
      </c>
      <c r="J22" s="19">
        <f t="shared" si="9"/>
        <v>85772</v>
      </c>
      <c r="K22" s="20">
        <f t="shared" si="9"/>
        <v>1264155</v>
      </c>
      <c r="L22" s="21">
        <f t="shared" si="9"/>
        <v>43644</v>
      </c>
      <c r="M22" s="20">
        <f t="shared" si="9"/>
        <v>43644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96</v>
      </c>
      <c r="Q22" s="43">
        <f t="shared" si="10"/>
        <v>288</v>
      </c>
      <c r="R22" s="23">
        <f t="shared" si="10"/>
        <v>0</v>
      </c>
      <c r="S22" s="24">
        <f t="shared" si="10"/>
        <v>48</v>
      </c>
      <c r="T22" s="24">
        <f t="shared" si="10"/>
        <v>0</v>
      </c>
      <c r="U22" s="24">
        <f t="shared" si="10"/>
        <v>0</v>
      </c>
      <c r="V22" s="25">
        <f t="shared" si="10"/>
        <v>96</v>
      </c>
      <c r="W22" s="26">
        <f t="shared" si="10"/>
        <v>48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96</v>
      </c>
      <c r="AB22" s="28">
        <f>AVERAGE(AB6:AB21)</f>
        <v>0.5</v>
      </c>
      <c r="AC22" s="4">
        <f>AVERAGE(AC6:AC21)</f>
        <v>0.25</v>
      </c>
      <c r="AD22" s="4">
        <f>AVERAGE(AD6:AD21)</f>
        <v>0.25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468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470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373" t="s">
        <v>46</v>
      </c>
      <c r="D51" s="373" t="s">
        <v>47</v>
      </c>
      <c r="E51" s="373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373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80" t="s">
        <v>118</v>
      </c>
      <c r="B52" s="481"/>
      <c r="C52" s="369" t="s">
        <v>214</v>
      </c>
      <c r="D52" s="369" t="s">
        <v>115</v>
      </c>
      <c r="E52" s="369" t="s">
        <v>469</v>
      </c>
      <c r="F52" s="472" t="s">
        <v>322</v>
      </c>
      <c r="G52" s="473"/>
      <c r="H52" s="473"/>
      <c r="I52" s="473"/>
      <c r="J52" s="473"/>
      <c r="K52" s="473"/>
      <c r="L52" s="473"/>
      <c r="M52" s="474"/>
      <c r="N52" s="372" t="s">
        <v>112</v>
      </c>
      <c r="O52" s="366" t="s">
        <v>192</v>
      </c>
      <c r="P52" s="475" t="s">
        <v>154</v>
      </c>
      <c r="Q52" s="476"/>
      <c r="R52" s="475" t="s">
        <v>153</v>
      </c>
      <c r="S52" s="477"/>
      <c r="T52" s="477"/>
      <c r="U52" s="476"/>
      <c r="V52" s="478" t="s">
        <v>471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80"/>
      <c r="B53" s="481"/>
      <c r="C53" s="369"/>
      <c r="D53" s="369"/>
      <c r="E53" s="369"/>
      <c r="F53" s="472"/>
      <c r="G53" s="473"/>
      <c r="H53" s="473"/>
      <c r="I53" s="473"/>
      <c r="J53" s="473"/>
      <c r="K53" s="473"/>
      <c r="L53" s="473"/>
      <c r="M53" s="474"/>
      <c r="N53" s="372" t="s">
        <v>118</v>
      </c>
      <c r="O53" s="366" t="s">
        <v>149</v>
      </c>
      <c r="P53" s="475" t="s">
        <v>115</v>
      </c>
      <c r="Q53" s="476"/>
      <c r="R53" s="475" t="s">
        <v>294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/>
      <c r="B54" s="481"/>
      <c r="C54" s="369"/>
      <c r="D54" s="369"/>
      <c r="E54" s="369"/>
      <c r="F54" s="472"/>
      <c r="G54" s="473"/>
      <c r="H54" s="473"/>
      <c r="I54" s="473"/>
      <c r="J54" s="473"/>
      <c r="K54" s="473"/>
      <c r="L54" s="473"/>
      <c r="M54" s="474"/>
      <c r="N54" s="372" t="s">
        <v>112</v>
      </c>
      <c r="O54" s="366" t="s">
        <v>243</v>
      </c>
      <c r="P54" s="475" t="s">
        <v>115</v>
      </c>
      <c r="Q54" s="476"/>
      <c r="R54" s="475" t="s">
        <v>473</v>
      </c>
      <c r="S54" s="477"/>
      <c r="T54" s="477"/>
      <c r="U54" s="476"/>
      <c r="V54" s="478" t="s">
        <v>187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/>
      <c r="B55" s="481"/>
      <c r="C55" s="369"/>
      <c r="D55" s="369"/>
      <c r="E55" s="369"/>
      <c r="F55" s="472"/>
      <c r="G55" s="473"/>
      <c r="H55" s="473"/>
      <c r="I55" s="473"/>
      <c r="J55" s="473"/>
      <c r="K55" s="473"/>
      <c r="L55" s="473"/>
      <c r="M55" s="474"/>
      <c r="N55" s="372" t="s">
        <v>188</v>
      </c>
      <c r="O55" s="366" t="s">
        <v>184</v>
      </c>
      <c r="P55" s="475"/>
      <c r="Q55" s="476"/>
      <c r="R55" s="475" t="s">
        <v>296</v>
      </c>
      <c r="S55" s="477"/>
      <c r="T55" s="477"/>
      <c r="U55" s="476"/>
      <c r="V55" s="478" t="s">
        <v>124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/>
      <c r="B56" s="481"/>
      <c r="C56" s="369"/>
      <c r="D56" s="369"/>
      <c r="E56" s="369"/>
      <c r="F56" s="472"/>
      <c r="G56" s="473"/>
      <c r="H56" s="473"/>
      <c r="I56" s="473"/>
      <c r="J56" s="473"/>
      <c r="K56" s="473"/>
      <c r="L56" s="473"/>
      <c r="M56" s="474"/>
      <c r="N56" s="372" t="s">
        <v>118</v>
      </c>
      <c r="O56" s="366" t="s">
        <v>214</v>
      </c>
      <c r="P56" s="475" t="s">
        <v>115</v>
      </c>
      <c r="Q56" s="476"/>
      <c r="R56" s="475" t="s">
        <v>474</v>
      </c>
      <c r="S56" s="477"/>
      <c r="T56" s="477"/>
      <c r="U56" s="476"/>
      <c r="V56" s="478" t="s">
        <v>187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/>
      <c r="B57" s="481"/>
      <c r="C57" s="369"/>
      <c r="D57" s="369"/>
      <c r="E57" s="369"/>
      <c r="F57" s="472"/>
      <c r="G57" s="473"/>
      <c r="H57" s="473"/>
      <c r="I57" s="473"/>
      <c r="J57" s="473"/>
      <c r="K57" s="473"/>
      <c r="L57" s="473"/>
      <c r="M57" s="474"/>
      <c r="N57" s="372"/>
      <c r="O57" s="366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/>
      <c r="B58" s="481"/>
      <c r="C58" s="369"/>
      <c r="D58" s="369"/>
      <c r="E58" s="369"/>
      <c r="F58" s="472"/>
      <c r="G58" s="473"/>
      <c r="H58" s="473"/>
      <c r="I58" s="473"/>
      <c r="J58" s="473"/>
      <c r="K58" s="473"/>
      <c r="L58" s="473"/>
      <c r="M58" s="474"/>
      <c r="N58" s="372"/>
      <c r="O58" s="366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369"/>
      <c r="D59" s="369"/>
      <c r="E59" s="369"/>
      <c r="F59" s="472"/>
      <c r="G59" s="473"/>
      <c r="H59" s="473"/>
      <c r="I59" s="473"/>
      <c r="J59" s="473"/>
      <c r="K59" s="473"/>
      <c r="L59" s="473"/>
      <c r="M59" s="474"/>
      <c r="N59" s="372"/>
      <c r="O59" s="366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368"/>
      <c r="D60" s="368"/>
      <c r="E60" s="369"/>
      <c r="F60" s="472"/>
      <c r="G60" s="473"/>
      <c r="H60" s="473"/>
      <c r="I60" s="473"/>
      <c r="J60" s="473"/>
      <c r="K60" s="473"/>
      <c r="L60" s="473"/>
      <c r="M60" s="474"/>
      <c r="N60" s="372"/>
      <c r="O60" s="366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370"/>
      <c r="D61" s="371"/>
      <c r="E61" s="370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472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367" t="s">
        <v>2</v>
      </c>
      <c r="D63" s="367" t="s">
        <v>37</v>
      </c>
      <c r="E63" s="367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367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118</v>
      </c>
      <c r="D64" s="362"/>
      <c r="E64" s="365" t="s">
        <v>258</v>
      </c>
      <c r="F64" s="499" t="s">
        <v>475</v>
      </c>
      <c r="G64" s="500"/>
      <c r="H64" s="500"/>
      <c r="I64" s="500"/>
      <c r="J64" s="501"/>
      <c r="K64" s="502" t="s">
        <v>485</v>
      </c>
      <c r="L64" s="502"/>
      <c r="M64" s="51" t="s">
        <v>249</v>
      </c>
      <c r="N64" s="503" t="s">
        <v>205</v>
      </c>
      <c r="O64" s="503"/>
      <c r="P64" s="504">
        <v>100</v>
      </c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 t="s">
        <v>112</v>
      </c>
      <c r="D65" s="362"/>
      <c r="E65" s="365" t="s">
        <v>115</v>
      </c>
      <c r="F65" s="499" t="s">
        <v>476</v>
      </c>
      <c r="G65" s="500"/>
      <c r="H65" s="500"/>
      <c r="I65" s="500"/>
      <c r="J65" s="501"/>
      <c r="K65" s="502" t="s">
        <v>146</v>
      </c>
      <c r="L65" s="502"/>
      <c r="M65" s="51" t="s">
        <v>249</v>
      </c>
      <c r="N65" s="503" t="s">
        <v>131</v>
      </c>
      <c r="O65" s="503"/>
      <c r="P65" s="504">
        <v>50</v>
      </c>
      <c r="Q65" s="504"/>
      <c r="R65" s="478" t="s">
        <v>477</v>
      </c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 t="s">
        <v>112</v>
      </c>
      <c r="D66" s="362"/>
      <c r="E66" s="365" t="s">
        <v>115</v>
      </c>
      <c r="F66" s="499" t="s">
        <v>478</v>
      </c>
      <c r="G66" s="500"/>
      <c r="H66" s="500"/>
      <c r="I66" s="500"/>
      <c r="J66" s="501"/>
      <c r="K66" s="502" t="s">
        <v>146</v>
      </c>
      <c r="L66" s="502"/>
      <c r="M66" s="51" t="s">
        <v>249</v>
      </c>
      <c r="N66" s="503" t="s">
        <v>131</v>
      </c>
      <c r="O66" s="503"/>
      <c r="P66" s="504">
        <v>100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 t="s">
        <v>118</v>
      </c>
      <c r="D67" s="362"/>
      <c r="E67" s="365" t="s">
        <v>115</v>
      </c>
      <c r="F67" s="499" t="s">
        <v>479</v>
      </c>
      <c r="G67" s="500"/>
      <c r="H67" s="500"/>
      <c r="I67" s="500"/>
      <c r="J67" s="501"/>
      <c r="K67" s="502" t="s">
        <v>302</v>
      </c>
      <c r="L67" s="502"/>
      <c r="M67" s="51" t="s">
        <v>249</v>
      </c>
      <c r="N67" s="503" t="s">
        <v>131</v>
      </c>
      <c r="O67" s="503"/>
      <c r="P67" s="504">
        <v>100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 t="s">
        <v>112</v>
      </c>
      <c r="D68" s="362"/>
      <c r="E68" s="365" t="s">
        <v>132</v>
      </c>
      <c r="F68" s="499" t="s">
        <v>480</v>
      </c>
      <c r="G68" s="500"/>
      <c r="H68" s="500"/>
      <c r="I68" s="500"/>
      <c r="J68" s="501"/>
      <c r="K68" s="502" t="s">
        <v>133</v>
      </c>
      <c r="L68" s="502"/>
      <c r="M68" s="51" t="s">
        <v>249</v>
      </c>
      <c r="N68" s="503" t="s">
        <v>171</v>
      </c>
      <c r="O68" s="503"/>
      <c r="P68" s="504">
        <v>100</v>
      </c>
      <c r="Q68" s="504"/>
      <c r="R68" s="478" t="s">
        <v>481</v>
      </c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 t="s">
        <v>112</v>
      </c>
      <c r="D69" s="362"/>
      <c r="E69" s="365" t="s">
        <v>132</v>
      </c>
      <c r="F69" s="499" t="s">
        <v>482</v>
      </c>
      <c r="G69" s="500"/>
      <c r="H69" s="500"/>
      <c r="I69" s="500"/>
      <c r="J69" s="501"/>
      <c r="K69" s="502" t="s">
        <v>133</v>
      </c>
      <c r="L69" s="502"/>
      <c r="M69" s="51" t="s">
        <v>249</v>
      </c>
      <c r="N69" s="503" t="s">
        <v>171</v>
      </c>
      <c r="O69" s="503"/>
      <c r="P69" s="504">
        <v>50</v>
      </c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 t="s">
        <v>118</v>
      </c>
      <c r="D70" s="362"/>
      <c r="E70" s="365" t="s">
        <v>132</v>
      </c>
      <c r="F70" s="499" t="s">
        <v>483</v>
      </c>
      <c r="G70" s="500"/>
      <c r="H70" s="500"/>
      <c r="I70" s="500"/>
      <c r="J70" s="501"/>
      <c r="K70" s="502" t="s">
        <v>133</v>
      </c>
      <c r="L70" s="502"/>
      <c r="M70" s="51" t="s">
        <v>249</v>
      </c>
      <c r="N70" s="503" t="s">
        <v>171</v>
      </c>
      <c r="O70" s="503"/>
      <c r="P70" s="504">
        <v>100</v>
      </c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 t="s">
        <v>118</v>
      </c>
      <c r="D71" s="362"/>
      <c r="E71" s="365" t="s">
        <v>219</v>
      </c>
      <c r="F71" s="506" t="s">
        <v>484</v>
      </c>
      <c r="G71" s="502"/>
      <c r="H71" s="502"/>
      <c r="I71" s="502"/>
      <c r="J71" s="502"/>
      <c r="K71" s="502" t="s">
        <v>355</v>
      </c>
      <c r="L71" s="502"/>
      <c r="M71" s="51" t="s">
        <v>249</v>
      </c>
      <c r="N71" s="503" t="s">
        <v>214</v>
      </c>
      <c r="O71" s="503"/>
      <c r="P71" s="504">
        <v>100</v>
      </c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362"/>
      <c r="E72" s="365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362"/>
      <c r="E73" s="365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486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364" t="s">
        <v>2</v>
      </c>
      <c r="D75" s="364" t="s">
        <v>37</v>
      </c>
      <c r="E75" s="364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363" t="s">
        <v>112</v>
      </c>
      <c r="D76" s="363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362"/>
      <c r="D77" s="362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362"/>
      <c r="D78" s="362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362"/>
      <c r="D79" s="362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362"/>
      <c r="D80" s="362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362"/>
      <c r="D81" s="362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362"/>
      <c r="D82" s="362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487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C54E-D5B5-49E6-967C-E253C762D3BF}">
  <dimension ref="A1:AF87"/>
  <sheetViews>
    <sheetView view="pageBreakPreview" zoomScale="70" zoomScaleNormal="72" zoomScaleSheetLayoutView="70" workbookViewId="0">
      <selection activeCell="T11" sqref="T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488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375" t="s">
        <v>17</v>
      </c>
      <c r="L5" s="375" t="s">
        <v>18</v>
      </c>
      <c r="M5" s="375" t="s">
        <v>19</v>
      </c>
      <c r="N5" s="37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154</v>
      </c>
      <c r="E6" s="53" t="s">
        <v>423</v>
      </c>
      <c r="F6" s="30" t="s">
        <v>134</v>
      </c>
      <c r="G6" s="12">
        <v>1</v>
      </c>
      <c r="H6" s="13">
        <v>24</v>
      </c>
      <c r="I6" s="7">
        <v>800</v>
      </c>
      <c r="J6" s="14">
        <v>951</v>
      </c>
      <c r="K6" s="15">
        <f>L6</f>
        <v>951</v>
      </c>
      <c r="L6" s="15">
        <v>951</v>
      </c>
      <c r="M6" s="15">
        <f t="shared" ref="M6:M21" si="0">L6-N6</f>
        <v>951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5</v>
      </c>
      <c r="Q6" s="40">
        <f t="shared" ref="Q6:Q21" si="3">SUM(R6:AA6)</f>
        <v>19</v>
      </c>
      <c r="R6" s="7"/>
      <c r="S6" s="6"/>
      <c r="T6" s="16"/>
      <c r="U6" s="16"/>
      <c r="V6" s="17"/>
      <c r="W6" s="5">
        <v>19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0.20833333333333334</v>
      </c>
      <c r="AD6" s="10">
        <f t="shared" ref="AD6:AD21" si="6">AC6*AB6*(1-O6)</f>
        <v>0.20833333333333334</v>
      </c>
      <c r="AE6" s="36">
        <f t="shared" ref="AE6:AE21" si="7">$AD$22</f>
        <v>0.421875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7152</v>
      </c>
      <c r="K7" s="15">
        <f>L7+10614+8368+10244+7142+11264+7152</f>
        <v>54784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0.421875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137</v>
      </c>
      <c r="E8" s="53" t="s">
        <v>440</v>
      </c>
      <c r="F8" s="30" t="s">
        <v>133</v>
      </c>
      <c r="G8" s="33">
        <v>2</v>
      </c>
      <c r="H8" s="35">
        <v>24</v>
      </c>
      <c r="I8" s="7">
        <v>1000</v>
      </c>
      <c r="J8" s="5">
        <v>1000</v>
      </c>
      <c r="K8" s="15">
        <f>L8+1000+1000</f>
        <v>2000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0.421875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f>65000+75000</f>
        <v>140000</v>
      </c>
      <c r="J9" s="14">
        <v>4958</v>
      </c>
      <c r="K9" s="15">
        <f>L9+1344+2695+2818+1363+3398+4807+5146+5399+5363+4916+4752+2389+5076+5367+4162+3442+4709+5270+3351+4112+5541+1793+4649+4573+4828+4143+5461+5507+2538</f>
        <v>123870</v>
      </c>
      <c r="L9" s="15">
        <f>2731+2227</f>
        <v>4958</v>
      </c>
      <c r="M9" s="15">
        <f t="shared" si="0"/>
        <v>4958</v>
      </c>
      <c r="N9" s="15">
        <v>0</v>
      </c>
      <c r="O9" s="58">
        <f t="shared" si="1"/>
        <v>0</v>
      </c>
      <c r="P9" s="39">
        <f t="shared" si="2"/>
        <v>22</v>
      </c>
      <c r="Q9" s="40">
        <f t="shared" si="3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6">
        <f t="shared" si="7"/>
        <v>0.421875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151</v>
      </c>
      <c r="E10" s="53" t="s">
        <v>489</v>
      </c>
      <c r="F10" s="30" t="s">
        <v>133</v>
      </c>
      <c r="G10" s="33">
        <v>1</v>
      </c>
      <c r="H10" s="35">
        <v>24</v>
      </c>
      <c r="I10" s="7">
        <v>13000</v>
      </c>
      <c r="J10" s="14">
        <v>3146</v>
      </c>
      <c r="K10" s="15">
        <f>L10</f>
        <v>3146</v>
      </c>
      <c r="L10" s="15">
        <f>3146</f>
        <v>3146</v>
      </c>
      <c r="M10" s="15">
        <f t="shared" si="0"/>
        <v>3146</v>
      </c>
      <c r="N10" s="15">
        <v>0</v>
      </c>
      <c r="O10" s="58">
        <f t="shared" si="1"/>
        <v>0</v>
      </c>
      <c r="P10" s="39">
        <f t="shared" si="2"/>
        <v>15</v>
      </c>
      <c r="Q10" s="40">
        <f t="shared" si="3"/>
        <v>9</v>
      </c>
      <c r="R10" s="7"/>
      <c r="S10" s="6">
        <v>9</v>
      </c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0.625</v>
      </c>
      <c r="AD10" s="10">
        <f t="shared" si="6"/>
        <v>0.625</v>
      </c>
      <c r="AE10" s="36">
        <f t="shared" si="7"/>
        <v>0.421875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233</v>
      </c>
      <c r="E11" s="53" t="s">
        <v>453</v>
      </c>
      <c r="F11" s="30" t="s">
        <v>146</v>
      </c>
      <c r="G11" s="33">
        <v>1</v>
      </c>
      <c r="H11" s="35">
        <v>24</v>
      </c>
      <c r="I11" s="7">
        <v>1500</v>
      </c>
      <c r="J11" s="14">
        <v>2581</v>
      </c>
      <c r="K11" s="15">
        <f>L11+2861+2581</f>
        <v>5442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0.421875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80000</v>
      </c>
      <c r="J12" s="5">
        <v>4603</v>
      </c>
      <c r="K12" s="15">
        <f>L12+4597+5041+5597+5567+5537+3364+5103+4208+3250+4473</f>
        <v>51340</v>
      </c>
      <c r="L12" s="15">
        <f>2439+2164</f>
        <v>4603</v>
      </c>
      <c r="M12" s="15">
        <f t="shared" si="0"/>
        <v>4603</v>
      </c>
      <c r="N12" s="15">
        <v>0</v>
      </c>
      <c r="O12" s="58">
        <f t="shared" si="1"/>
        <v>0</v>
      </c>
      <c r="P12" s="39">
        <f t="shared" si="2"/>
        <v>21</v>
      </c>
      <c r="Q12" s="40">
        <f t="shared" si="3"/>
        <v>3</v>
      </c>
      <c r="R12" s="7"/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0.875</v>
      </c>
      <c r="AD12" s="10">
        <f t="shared" si="6"/>
        <v>0.875</v>
      </c>
      <c r="AE12" s="36">
        <f t="shared" si="7"/>
        <v>0.421875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256</v>
      </c>
      <c r="E13" s="53" t="s">
        <v>454</v>
      </c>
      <c r="F13" s="30" t="s">
        <v>125</v>
      </c>
      <c r="G13" s="33">
        <v>1</v>
      </c>
      <c r="H13" s="35">
        <v>24</v>
      </c>
      <c r="I13" s="7">
        <v>18000</v>
      </c>
      <c r="J13" s="14">
        <v>5717</v>
      </c>
      <c r="K13" s="15">
        <f>L13+3083+2750</f>
        <v>11550</v>
      </c>
      <c r="L13" s="15">
        <f>2972+2745</f>
        <v>5717</v>
      </c>
      <c r="M13" s="15">
        <f t="shared" si="0"/>
        <v>5717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0.421875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408</v>
      </c>
      <c r="F14" s="30" t="s">
        <v>413</v>
      </c>
      <c r="G14" s="33">
        <v>1</v>
      </c>
      <c r="H14" s="35">
        <v>50</v>
      </c>
      <c r="I14" s="7">
        <v>300</v>
      </c>
      <c r="J14" s="5">
        <v>452</v>
      </c>
      <c r="K14" s="15">
        <f>L14+452</f>
        <v>452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0.421875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375</v>
      </c>
      <c r="D15" s="52"/>
      <c r="E15" s="53" t="s">
        <v>435</v>
      </c>
      <c r="F15" s="12">
        <v>8301</v>
      </c>
      <c r="G15" s="12" t="s">
        <v>436</v>
      </c>
      <c r="H15" s="13">
        <v>24</v>
      </c>
      <c r="I15" s="31">
        <v>2000</v>
      </c>
      <c r="J15" s="14">
        <v>5660</v>
      </c>
      <c r="K15" s="15">
        <f>L15+4244+5660</f>
        <v>9904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0.421875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5478</v>
      </c>
      <c r="K16" s="15">
        <f>L16+4303+5850+5280+5606+5547+5173+5805+5835+6039+5589+5810+3971+5819+5852+2621</f>
        <v>84578</v>
      </c>
      <c r="L16" s="15">
        <f>2903+2575</f>
        <v>5478</v>
      </c>
      <c r="M16" s="15">
        <f t="shared" si="0"/>
        <v>5478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0.421875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10864</v>
      </c>
      <c r="K17" s="15">
        <f>L17+33015+35895+37090+38775+40475+36685+38795+38720+10865</f>
        <v>310315</v>
      </c>
      <c r="L17" s="15"/>
      <c r="M17" s="15">
        <f t="shared" si="0"/>
        <v>0</v>
      </c>
      <c r="N17" s="15">
        <v>0</v>
      </c>
      <c r="O17" s="58" t="str">
        <f t="shared" si="1"/>
        <v>0</v>
      </c>
      <c r="P17" s="39" t="str">
        <f t="shared" si="2"/>
        <v>0</v>
      </c>
      <c r="Q17" s="40">
        <f t="shared" si="3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0</v>
      </c>
      <c r="AC17" s="9">
        <f t="shared" si="5"/>
        <v>0</v>
      </c>
      <c r="AD17" s="10">
        <f t="shared" si="6"/>
        <v>0</v>
      </c>
      <c r="AE17" s="36">
        <f t="shared" si="7"/>
        <v>0.421875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474</v>
      </c>
      <c r="F18" s="30" t="s">
        <v>142</v>
      </c>
      <c r="G18" s="33">
        <v>1</v>
      </c>
      <c r="H18" s="35">
        <v>24</v>
      </c>
      <c r="I18" s="7">
        <v>50000</v>
      </c>
      <c r="J18" s="14">
        <v>4334</v>
      </c>
      <c r="K18" s="15">
        <f>L18</f>
        <v>4334</v>
      </c>
      <c r="L18" s="15">
        <f>1583+2751</f>
        <v>4334</v>
      </c>
      <c r="M18" s="15">
        <f t="shared" si="0"/>
        <v>4334</v>
      </c>
      <c r="N18" s="15">
        <v>0</v>
      </c>
      <c r="O18" s="58">
        <f t="shared" si="1"/>
        <v>0</v>
      </c>
      <c r="P18" s="39">
        <f t="shared" si="2"/>
        <v>21</v>
      </c>
      <c r="Q18" s="40">
        <f t="shared" si="3"/>
        <v>3</v>
      </c>
      <c r="R18" s="7"/>
      <c r="S18" s="6">
        <v>3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0.875</v>
      </c>
      <c r="AD18" s="10">
        <f t="shared" si="6"/>
        <v>0.875</v>
      </c>
      <c r="AE18" s="36">
        <f t="shared" si="7"/>
        <v>0.421875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378</v>
      </c>
      <c r="E19" s="53" t="s">
        <v>367</v>
      </c>
      <c r="F19" s="30" t="s">
        <v>135</v>
      </c>
      <c r="G19" s="33">
        <v>1</v>
      </c>
      <c r="H19" s="35">
        <v>24</v>
      </c>
      <c r="I19" s="7">
        <v>18000</v>
      </c>
      <c r="J19" s="14">
        <v>1109</v>
      </c>
      <c r="K19" s="15">
        <f>L19+4424+5113+4751+5219+5257+2255</f>
        <v>28128</v>
      </c>
      <c r="L19" s="15">
        <f>1109</f>
        <v>1109</v>
      </c>
      <c r="M19" s="15">
        <f t="shared" si="0"/>
        <v>1109</v>
      </c>
      <c r="N19" s="15">
        <v>0</v>
      </c>
      <c r="O19" s="58">
        <f t="shared" si="1"/>
        <v>0</v>
      </c>
      <c r="P19" s="39">
        <f t="shared" si="2"/>
        <v>6</v>
      </c>
      <c r="Q19" s="40">
        <f t="shared" si="3"/>
        <v>18</v>
      </c>
      <c r="R19" s="7"/>
      <c r="S19" s="6">
        <v>18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0.25</v>
      </c>
      <c r="AD19" s="10">
        <f t="shared" si="6"/>
        <v>0.25</v>
      </c>
      <c r="AE19" s="36">
        <f t="shared" si="7"/>
        <v>0.421875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332</v>
      </c>
      <c r="K20" s="15">
        <f>L20+5680+5650+5595+4980+5238+5654+5218+5376+5674+2421+2785+5649+5670+5687+2513</f>
        <v>74122</v>
      </c>
      <c r="L20" s="15">
        <v>332</v>
      </c>
      <c r="M20" s="15">
        <f t="shared" si="0"/>
        <v>332</v>
      </c>
      <c r="N20" s="15">
        <v>0</v>
      </c>
      <c r="O20" s="58">
        <f t="shared" si="1"/>
        <v>0</v>
      </c>
      <c r="P20" s="39">
        <f t="shared" si="2"/>
        <v>3</v>
      </c>
      <c r="Q20" s="40">
        <f t="shared" si="3"/>
        <v>21</v>
      </c>
      <c r="R20" s="7"/>
      <c r="S20" s="6"/>
      <c r="T20" s="16"/>
      <c r="U20" s="16"/>
      <c r="V20" s="17"/>
      <c r="W20" s="5">
        <v>21</v>
      </c>
      <c r="X20" s="16"/>
      <c r="Y20" s="16"/>
      <c r="Z20" s="16"/>
      <c r="AA20" s="18"/>
      <c r="AB20" s="8">
        <f t="shared" si="4"/>
        <v>1</v>
      </c>
      <c r="AC20" s="9">
        <f t="shared" si="5"/>
        <v>0.125</v>
      </c>
      <c r="AD20" s="10">
        <f t="shared" si="6"/>
        <v>0.125</v>
      </c>
      <c r="AE20" s="36">
        <f t="shared" si="7"/>
        <v>0.421875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49588</v>
      </c>
      <c r="K21" s="15">
        <f>L21+52848+58908+58380+58904+60440+12000+48800+57140+58388+26200</f>
        <v>541596</v>
      </c>
      <c r="L21" s="15">
        <f>5248*4+7149*4</f>
        <v>49588</v>
      </c>
      <c r="M21" s="15">
        <f t="shared" si="0"/>
        <v>49588</v>
      </c>
      <c r="N21" s="15">
        <v>0</v>
      </c>
      <c r="O21" s="58">
        <f t="shared" si="1"/>
        <v>0</v>
      </c>
      <c r="P21" s="39">
        <f t="shared" si="2"/>
        <v>21</v>
      </c>
      <c r="Q21" s="40">
        <f t="shared" si="3"/>
        <v>3</v>
      </c>
      <c r="R21" s="7"/>
      <c r="S21" s="6"/>
      <c r="T21" s="16"/>
      <c r="U21" s="16"/>
      <c r="V21" s="17">
        <v>3</v>
      </c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0.875</v>
      </c>
      <c r="AD21" s="10">
        <f t="shared" si="6"/>
        <v>0.875</v>
      </c>
      <c r="AE21" s="36">
        <f t="shared" si="7"/>
        <v>0.421875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1528100</v>
      </c>
      <c r="J22" s="19">
        <f t="shared" si="9"/>
        <v>107925</v>
      </c>
      <c r="K22" s="20">
        <f t="shared" si="9"/>
        <v>1306512</v>
      </c>
      <c r="L22" s="21">
        <f t="shared" si="9"/>
        <v>80216</v>
      </c>
      <c r="M22" s="20">
        <f t="shared" si="9"/>
        <v>80216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162</v>
      </c>
      <c r="Q22" s="43">
        <f t="shared" si="10"/>
        <v>222</v>
      </c>
      <c r="R22" s="23">
        <f t="shared" si="10"/>
        <v>24</v>
      </c>
      <c r="S22" s="24">
        <f t="shared" si="10"/>
        <v>59</v>
      </c>
      <c r="T22" s="24">
        <f t="shared" si="10"/>
        <v>0</v>
      </c>
      <c r="U22" s="24">
        <f t="shared" si="10"/>
        <v>0</v>
      </c>
      <c r="V22" s="25">
        <f t="shared" si="10"/>
        <v>3</v>
      </c>
      <c r="W22" s="26">
        <f t="shared" si="10"/>
        <v>88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0.625</v>
      </c>
      <c r="AC22" s="4">
        <f>AVERAGE(AC6:AC21)</f>
        <v>0.421875</v>
      </c>
      <c r="AD22" s="4">
        <f>AVERAGE(AD6:AD21)</f>
        <v>0.421875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490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493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376" t="s">
        <v>46</v>
      </c>
      <c r="D51" s="376" t="s">
        <v>47</v>
      </c>
      <c r="E51" s="376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376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80" t="s">
        <v>112</v>
      </c>
      <c r="B52" s="481"/>
      <c r="C52" s="379" t="s">
        <v>192</v>
      </c>
      <c r="D52" s="379" t="s">
        <v>154</v>
      </c>
      <c r="E52" s="379" t="s">
        <v>423</v>
      </c>
      <c r="F52" s="472" t="s">
        <v>187</v>
      </c>
      <c r="G52" s="473"/>
      <c r="H52" s="473"/>
      <c r="I52" s="473"/>
      <c r="J52" s="473"/>
      <c r="K52" s="473"/>
      <c r="L52" s="473"/>
      <c r="M52" s="474"/>
      <c r="N52" s="378" t="s">
        <v>112</v>
      </c>
      <c r="O52" s="384" t="s">
        <v>192</v>
      </c>
      <c r="P52" s="475" t="s">
        <v>154</v>
      </c>
      <c r="Q52" s="476"/>
      <c r="R52" s="475" t="s">
        <v>153</v>
      </c>
      <c r="S52" s="477"/>
      <c r="T52" s="477"/>
      <c r="U52" s="476"/>
      <c r="V52" s="478" t="s">
        <v>471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80" t="s">
        <v>118</v>
      </c>
      <c r="B53" s="481"/>
      <c r="C53" s="379" t="s">
        <v>147</v>
      </c>
      <c r="D53" s="379" t="s">
        <v>143</v>
      </c>
      <c r="E53" s="379" t="s">
        <v>309</v>
      </c>
      <c r="F53" s="472" t="s">
        <v>477</v>
      </c>
      <c r="G53" s="473"/>
      <c r="H53" s="473"/>
      <c r="I53" s="473"/>
      <c r="J53" s="473"/>
      <c r="K53" s="473"/>
      <c r="L53" s="473"/>
      <c r="M53" s="474"/>
      <c r="N53" s="378" t="s">
        <v>112</v>
      </c>
      <c r="O53" s="384" t="s">
        <v>243</v>
      </c>
      <c r="P53" s="475" t="s">
        <v>115</v>
      </c>
      <c r="Q53" s="476"/>
      <c r="R53" s="475" t="s">
        <v>473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118</v>
      </c>
      <c r="B54" s="481"/>
      <c r="C54" s="379" t="s">
        <v>171</v>
      </c>
      <c r="D54" s="379" t="s">
        <v>151</v>
      </c>
      <c r="E54" s="379" t="s">
        <v>489</v>
      </c>
      <c r="F54" s="472" t="s">
        <v>187</v>
      </c>
      <c r="G54" s="473"/>
      <c r="H54" s="473"/>
      <c r="I54" s="473"/>
      <c r="J54" s="473"/>
      <c r="K54" s="473"/>
      <c r="L54" s="473"/>
      <c r="M54" s="474"/>
      <c r="N54" s="378" t="s">
        <v>112</v>
      </c>
      <c r="O54" s="384" t="s">
        <v>192</v>
      </c>
      <c r="P54" s="475" t="s">
        <v>115</v>
      </c>
      <c r="Q54" s="476"/>
      <c r="R54" s="475" t="s">
        <v>494</v>
      </c>
      <c r="S54" s="477"/>
      <c r="T54" s="477"/>
      <c r="U54" s="476"/>
      <c r="V54" s="478" t="s">
        <v>187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118</v>
      </c>
      <c r="B55" s="481"/>
      <c r="C55" s="379" t="s">
        <v>149</v>
      </c>
      <c r="D55" s="379" t="s">
        <v>115</v>
      </c>
      <c r="E55" s="379" t="s">
        <v>294</v>
      </c>
      <c r="F55" s="472" t="s">
        <v>491</v>
      </c>
      <c r="G55" s="473"/>
      <c r="H55" s="473"/>
      <c r="I55" s="473"/>
      <c r="J55" s="473"/>
      <c r="K55" s="473"/>
      <c r="L55" s="473"/>
      <c r="M55" s="474"/>
      <c r="N55" s="378" t="s">
        <v>188</v>
      </c>
      <c r="O55" s="384" t="s">
        <v>184</v>
      </c>
      <c r="P55" s="475"/>
      <c r="Q55" s="476"/>
      <c r="R55" s="475" t="s">
        <v>296</v>
      </c>
      <c r="S55" s="477"/>
      <c r="T55" s="477"/>
      <c r="U55" s="476"/>
      <c r="V55" s="478" t="s">
        <v>124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118</v>
      </c>
      <c r="B56" s="481"/>
      <c r="C56" s="379" t="s">
        <v>214</v>
      </c>
      <c r="D56" s="379" t="s">
        <v>115</v>
      </c>
      <c r="E56" s="379" t="s">
        <v>474</v>
      </c>
      <c r="F56" s="472" t="s">
        <v>492</v>
      </c>
      <c r="G56" s="473"/>
      <c r="H56" s="473"/>
      <c r="I56" s="473"/>
      <c r="J56" s="473"/>
      <c r="K56" s="473"/>
      <c r="L56" s="473"/>
      <c r="M56" s="474"/>
      <c r="N56" s="378"/>
      <c r="O56" s="384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118</v>
      </c>
      <c r="B57" s="481"/>
      <c r="C57" s="379" t="s">
        <v>209</v>
      </c>
      <c r="D57" s="379" t="s">
        <v>417</v>
      </c>
      <c r="E57" s="379" t="s">
        <v>367</v>
      </c>
      <c r="F57" s="472" t="s">
        <v>204</v>
      </c>
      <c r="G57" s="473"/>
      <c r="H57" s="473"/>
      <c r="I57" s="473"/>
      <c r="J57" s="473"/>
      <c r="K57" s="473"/>
      <c r="L57" s="473"/>
      <c r="M57" s="474"/>
      <c r="N57" s="378"/>
      <c r="O57" s="384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/>
      <c r="B58" s="481"/>
      <c r="C58" s="379"/>
      <c r="D58" s="379"/>
      <c r="E58" s="379"/>
      <c r="F58" s="472"/>
      <c r="G58" s="473"/>
      <c r="H58" s="473"/>
      <c r="I58" s="473"/>
      <c r="J58" s="473"/>
      <c r="K58" s="473"/>
      <c r="L58" s="473"/>
      <c r="M58" s="474"/>
      <c r="N58" s="378"/>
      <c r="O58" s="384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379"/>
      <c r="D59" s="379"/>
      <c r="E59" s="379"/>
      <c r="F59" s="472"/>
      <c r="G59" s="473"/>
      <c r="H59" s="473"/>
      <c r="I59" s="473"/>
      <c r="J59" s="473"/>
      <c r="K59" s="473"/>
      <c r="L59" s="473"/>
      <c r="M59" s="474"/>
      <c r="N59" s="378"/>
      <c r="O59" s="384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377"/>
      <c r="D60" s="377"/>
      <c r="E60" s="379"/>
      <c r="F60" s="472"/>
      <c r="G60" s="473"/>
      <c r="H60" s="473"/>
      <c r="I60" s="473"/>
      <c r="J60" s="473"/>
      <c r="K60" s="473"/>
      <c r="L60" s="473"/>
      <c r="M60" s="474"/>
      <c r="N60" s="378"/>
      <c r="O60" s="384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380"/>
      <c r="D61" s="381"/>
      <c r="E61" s="380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495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382" t="s">
        <v>2</v>
      </c>
      <c r="D63" s="382" t="s">
        <v>37</v>
      </c>
      <c r="E63" s="382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382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386"/>
      <c r="E64" s="383" t="s">
        <v>199</v>
      </c>
      <c r="F64" s="499" t="s">
        <v>352</v>
      </c>
      <c r="G64" s="500"/>
      <c r="H64" s="500"/>
      <c r="I64" s="500"/>
      <c r="J64" s="501"/>
      <c r="K64" s="502" t="s">
        <v>354</v>
      </c>
      <c r="L64" s="502"/>
      <c r="M64" s="51" t="s">
        <v>448</v>
      </c>
      <c r="N64" s="503" t="s">
        <v>268</v>
      </c>
      <c r="O64" s="503"/>
      <c r="P64" s="504">
        <v>400</v>
      </c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/>
      <c r="D65" s="386"/>
      <c r="E65" s="383"/>
      <c r="F65" s="499"/>
      <c r="G65" s="500"/>
      <c r="H65" s="500"/>
      <c r="I65" s="500"/>
      <c r="J65" s="501"/>
      <c r="K65" s="502"/>
      <c r="L65" s="502"/>
      <c r="M65" s="51"/>
      <c r="N65" s="503"/>
      <c r="O65" s="503"/>
      <c r="P65" s="504"/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/>
      <c r="D66" s="386"/>
      <c r="E66" s="383"/>
      <c r="F66" s="499"/>
      <c r="G66" s="500"/>
      <c r="H66" s="500"/>
      <c r="I66" s="500"/>
      <c r="J66" s="501"/>
      <c r="K66" s="502"/>
      <c r="L66" s="502"/>
      <c r="M66" s="51"/>
      <c r="N66" s="503"/>
      <c r="O66" s="503"/>
      <c r="P66" s="504"/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/>
      <c r="D67" s="386"/>
      <c r="E67" s="383"/>
      <c r="F67" s="499"/>
      <c r="G67" s="500"/>
      <c r="H67" s="500"/>
      <c r="I67" s="500"/>
      <c r="J67" s="501"/>
      <c r="K67" s="502"/>
      <c r="L67" s="502"/>
      <c r="M67" s="51"/>
      <c r="N67" s="503"/>
      <c r="O67" s="503"/>
      <c r="P67" s="504"/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/>
      <c r="D68" s="386"/>
      <c r="E68" s="383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/>
      <c r="D69" s="386"/>
      <c r="E69" s="383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386"/>
      <c r="E70" s="383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386"/>
      <c r="E71" s="383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386"/>
      <c r="E72" s="383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386"/>
      <c r="E73" s="383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496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385" t="s">
        <v>2</v>
      </c>
      <c r="D75" s="385" t="s">
        <v>37</v>
      </c>
      <c r="E75" s="385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387" t="s">
        <v>112</v>
      </c>
      <c r="D76" s="387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386"/>
      <c r="D77" s="386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386"/>
      <c r="D78" s="386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386"/>
      <c r="D79" s="386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386"/>
      <c r="D80" s="386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386"/>
      <c r="D81" s="386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386"/>
      <c r="D82" s="386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497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/>
      <c r="D85" s="537"/>
      <c r="E85" s="537"/>
      <c r="F85" s="537"/>
      <c r="G85" s="537"/>
      <c r="H85" s="537"/>
      <c r="I85" s="537"/>
      <c r="J85" s="537"/>
      <c r="K85" s="537"/>
      <c r="L85" s="537"/>
      <c r="M85" s="537"/>
      <c r="N85" s="537"/>
      <c r="O85" s="537"/>
      <c r="P85" s="537"/>
      <c r="Q85" s="537"/>
      <c r="R85" s="537"/>
      <c r="S85" s="537"/>
      <c r="T85" s="537"/>
      <c r="U85" s="537"/>
      <c r="V85" s="538"/>
      <c r="W85" s="538"/>
      <c r="X85" s="538"/>
      <c r="Y85" s="539"/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8CB-94D7-4B06-BB9E-F093EDFE449A}">
  <dimension ref="A1:AF87"/>
  <sheetViews>
    <sheetView view="pageBreakPreview" topLeftCell="A64" zoomScale="70" zoomScaleNormal="72" zoomScaleSheetLayoutView="70" workbookViewId="0">
      <selection activeCell="Y86" sqref="Y86:AD8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498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375" t="s">
        <v>17</v>
      </c>
      <c r="L5" s="375" t="s">
        <v>18</v>
      </c>
      <c r="M5" s="375" t="s">
        <v>19</v>
      </c>
      <c r="N5" s="37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115</v>
      </c>
      <c r="E6" s="53" t="s">
        <v>494</v>
      </c>
      <c r="F6" s="30" t="s">
        <v>134</v>
      </c>
      <c r="G6" s="12">
        <v>1</v>
      </c>
      <c r="H6" s="13">
        <v>24</v>
      </c>
      <c r="I6" s="7">
        <v>300</v>
      </c>
      <c r="J6" s="14">
        <v>359</v>
      </c>
      <c r="K6" s="15">
        <f>L6</f>
        <v>359</v>
      </c>
      <c r="L6" s="15">
        <f>359</f>
        <v>359</v>
      </c>
      <c r="M6" s="15">
        <f t="shared" ref="M6:M21" si="0">L6-N6</f>
        <v>359</v>
      </c>
      <c r="N6" s="15">
        <v>0</v>
      </c>
      <c r="O6" s="58">
        <f t="shared" ref="O6:O22" si="1">IF(L6=0,"0",N6/L6)</f>
        <v>0</v>
      </c>
      <c r="P6" s="39">
        <f t="shared" ref="P6:P21" si="2">IF(L6=0,"0",(24-Q6))</f>
        <v>7</v>
      </c>
      <c r="Q6" s="40">
        <f t="shared" ref="Q6:Q21" si="3">SUM(R6:AA6)</f>
        <v>17</v>
      </c>
      <c r="R6" s="7"/>
      <c r="S6" s="6"/>
      <c r="T6" s="16"/>
      <c r="U6" s="16"/>
      <c r="V6" s="17"/>
      <c r="W6" s="5">
        <v>17</v>
      </c>
      <c r="X6" s="16"/>
      <c r="Y6" s="16"/>
      <c r="Z6" s="16"/>
      <c r="AA6" s="18"/>
      <c r="AB6" s="8">
        <f t="shared" ref="AB6:AB21" si="4">IF(J6=0,"0",(L6/J6))</f>
        <v>1</v>
      </c>
      <c r="AC6" s="9">
        <f t="shared" ref="AC6:AC21" si="5">IF(P6=0,"0",(P6/24))</f>
        <v>0.29166666666666669</v>
      </c>
      <c r="AD6" s="10">
        <f t="shared" ref="AD6:AD21" si="6">AC6*AB6*(1-O6)</f>
        <v>0.29166666666666669</v>
      </c>
      <c r="AE6" s="36">
        <f t="shared" ref="AE6:AE21" si="7">$AD$22</f>
        <v>0.49479166666666669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7152</v>
      </c>
      <c r="K7" s="15">
        <f>L7+10614+8368+10244+7142+11264+7152</f>
        <v>54784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0.49479166666666669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137</v>
      </c>
      <c r="E8" s="53" t="s">
        <v>440</v>
      </c>
      <c r="F8" s="30" t="s">
        <v>133</v>
      </c>
      <c r="G8" s="33">
        <v>2</v>
      </c>
      <c r="H8" s="35">
        <v>24</v>
      </c>
      <c r="I8" s="7">
        <v>1000</v>
      </c>
      <c r="J8" s="5">
        <v>1000</v>
      </c>
      <c r="K8" s="15">
        <f>L8+1000+1000</f>
        <v>2000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0.49479166666666669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f>65000+75000</f>
        <v>140000</v>
      </c>
      <c r="J9" s="14">
        <v>5313</v>
      </c>
      <c r="K9" s="15">
        <f>L9+1344+2695+2818+1363+3398+4807+5146+5399+5363+4916+4752+2389+5076+5367+4162+3442+4709+5270+3351+4112+5541+1793+4649+4573+4828+4143+5461+5507+2538+4958</f>
        <v>129183</v>
      </c>
      <c r="L9" s="15">
        <f>2778+2535</f>
        <v>5313</v>
      </c>
      <c r="M9" s="15">
        <f t="shared" si="0"/>
        <v>5313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0.49479166666666669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151</v>
      </c>
      <c r="E10" s="53" t="s">
        <v>489</v>
      </c>
      <c r="F10" s="30" t="s">
        <v>133</v>
      </c>
      <c r="G10" s="33">
        <v>1</v>
      </c>
      <c r="H10" s="35">
        <v>24</v>
      </c>
      <c r="I10" s="7">
        <v>13000</v>
      </c>
      <c r="J10" s="14">
        <v>6390</v>
      </c>
      <c r="K10" s="15">
        <f>L10+3146</f>
        <v>9536</v>
      </c>
      <c r="L10" s="15">
        <f>3229+3161</f>
        <v>6390</v>
      </c>
      <c r="M10" s="15">
        <f t="shared" si="0"/>
        <v>6390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0.49479166666666669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112</v>
      </c>
      <c r="D11" s="52" t="s">
        <v>233</v>
      </c>
      <c r="E11" s="53" t="s">
        <v>453</v>
      </c>
      <c r="F11" s="30" t="s">
        <v>146</v>
      </c>
      <c r="G11" s="33">
        <v>1</v>
      </c>
      <c r="H11" s="35">
        <v>24</v>
      </c>
      <c r="I11" s="7">
        <v>1500</v>
      </c>
      <c r="J11" s="14">
        <v>2581</v>
      </c>
      <c r="K11" s="15">
        <f>L11+2861+2581</f>
        <v>5442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0.49479166666666669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80000</v>
      </c>
      <c r="J12" s="5">
        <v>3900</v>
      </c>
      <c r="K12" s="15">
        <f>L12+4597+5041+5597+5567+5537+3364+5103+4208+3250+4473+4603</f>
        <v>55240</v>
      </c>
      <c r="L12" s="15">
        <f>2200+1700</f>
        <v>3900</v>
      </c>
      <c r="M12" s="15">
        <f t="shared" si="0"/>
        <v>3900</v>
      </c>
      <c r="N12" s="15">
        <v>0</v>
      </c>
      <c r="O12" s="58">
        <f t="shared" si="1"/>
        <v>0</v>
      </c>
      <c r="P12" s="39">
        <f t="shared" si="2"/>
        <v>19</v>
      </c>
      <c r="Q12" s="40">
        <f t="shared" si="3"/>
        <v>5</v>
      </c>
      <c r="R12" s="7"/>
      <c r="S12" s="6">
        <v>5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0.79166666666666663</v>
      </c>
      <c r="AD12" s="10">
        <f t="shared" si="6"/>
        <v>0.79166666666666663</v>
      </c>
      <c r="AE12" s="36">
        <f t="shared" si="7"/>
        <v>0.49479166666666669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118</v>
      </c>
      <c r="D13" s="52" t="s">
        <v>256</v>
      </c>
      <c r="E13" s="53" t="s">
        <v>454</v>
      </c>
      <c r="F13" s="30" t="s">
        <v>125</v>
      </c>
      <c r="G13" s="33">
        <v>1</v>
      </c>
      <c r="H13" s="35">
        <v>24</v>
      </c>
      <c r="I13" s="7">
        <v>18000</v>
      </c>
      <c r="J13" s="14">
        <v>5919</v>
      </c>
      <c r="K13" s="15">
        <f>L13+3083+2750+5717</f>
        <v>17469</v>
      </c>
      <c r="L13" s="15">
        <f>2945+2974</f>
        <v>5919</v>
      </c>
      <c r="M13" s="15">
        <f t="shared" si="0"/>
        <v>5919</v>
      </c>
      <c r="N13" s="15">
        <v>0</v>
      </c>
      <c r="O13" s="58">
        <f t="shared" si="1"/>
        <v>0</v>
      </c>
      <c r="P13" s="39">
        <f t="shared" si="2"/>
        <v>24</v>
      </c>
      <c r="Q13" s="40">
        <f t="shared" si="3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1</v>
      </c>
      <c r="AD13" s="10">
        <f t="shared" si="6"/>
        <v>1</v>
      </c>
      <c r="AE13" s="36">
        <f t="shared" si="7"/>
        <v>0.49479166666666669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408</v>
      </c>
      <c r="F14" s="30" t="s">
        <v>413</v>
      </c>
      <c r="G14" s="33">
        <v>1</v>
      </c>
      <c r="H14" s="35">
        <v>50</v>
      </c>
      <c r="I14" s="7">
        <v>300</v>
      </c>
      <c r="J14" s="5">
        <v>452</v>
      </c>
      <c r="K14" s="15">
        <f>L14+452</f>
        <v>452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0.49479166666666669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375</v>
      </c>
      <c r="D15" s="52"/>
      <c r="E15" s="53" t="s">
        <v>435</v>
      </c>
      <c r="F15" s="12">
        <v>8301</v>
      </c>
      <c r="G15" s="12" t="s">
        <v>436</v>
      </c>
      <c r="H15" s="13">
        <v>24</v>
      </c>
      <c r="I15" s="31">
        <v>2000</v>
      </c>
      <c r="J15" s="14">
        <v>5660</v>
      </c>
      <c r="K15" s="15">
        <f>L15+4244+5660</f>
        <v>9904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0.49479166666666669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5830</v>
      </c>
      <c r="K16" s="15">
        <f>L16+4303+5850+5280+5606+5547+5173+5805+5835+6039+5589+5810+3971+5819+5852+2621+5478</f>
        <v>90408</v>
      </c>
      <c r="L16" s="15">
        <f>2939+2891</f>
        <v>5830</v>
      </c>
      <c r="M16" s="15">
        <f t="shared" si="0"/>
        <v>5830</v>
      </c>
      <c r="N16" s="15">
        <v>0</v>
      </c>
      <c r="O16" s="58">
        <f t="shared" si="1"/>
        <v>0</v>
      </c>
      <c r="P16" s="39">
        <f t="shared" si="2"/>
        <v>24</v>
      </c>
      <c r="Q16" s="40">
        <f t="shared" si="3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4"/>
        <v>1</v>
      </c>
      <c r="AC16" s="9">
        <f t="shared" si="5"/>
        <v>1</v>
      </c>
      <c r="AD16" s="10">
        <f t="shared" si="6"/>
        <v>1</v>
      </c>
      <c r="AE16" s="36">
        <f t="shared" si="7"/>
        <v>0.49479166666666669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37785</v>
      </c>
      <c r="K17" s="15">
        <f>L17+33015+35895+37090+38775+40475+36685+38795+38720+10865</f>
        <v>348100</v>
      </c>
      <c r="L17" s="15">
        <f>4575*5+2982*5</f>
        <v>37785</v>
      </c>
      <c r="M17" s="15">
        <f t="shared" si="0"/>
        <v>37785</v>
      </c>
      <c r="N17" s="15">
        <v>0</v>
      </c>
      <c r="O17" s="58">
        <f t="shared" si="1"/>
        <v>0</v>
      </c>
      <c r="P17" s="39">
        <f t="shared" si="2"/>
        <v>20</v>
      </c>
      <c r="Q17" s="40">
        <f t="shared" si="3"/>
        <v>4</v>
      </c>
      <c r="R17" s="7"/>
      <c r="S17" s="6">
        <v>4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6">
        <f t="shared" si="7"/>
        <v>0.49479166666666669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474</v>
      </c>
      <c r="F18" s="30" t="s">
        <v>142</v>
      </c>
      <c r="G18" s="33">
        <v>1</v>
      </c>
      <c r="H18" s="35">
        <v>24</v>
      </c>
      <c r="I18" s="7">
        <v>50000</v>
      </c>
      <c r="J18" s="14">
        <v>5583</v>
      </c>
      <c r="K18" s="15">
        <f>L18+4334</f>
        <v>9917</v>
      </c>
      <c r="L18" s="15">
        <f>2817+2766</f>
        <v>5583</v>
      </c>
      <c r="M18" s="15">
        <f t="shared" si="0"/>
        <v>5583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0.49479166666666669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118</v>
      </c>
      <c r="D19" s="52" t="s">
        <v>378</v>
      </c>
      <c r="E19" s="53" t="s">
        <v>367</v>
      </c>
      <c r="F19" s="30" t="s">
        <v>135</v>
      </c>
      <c r="G19" s="33">
        <v>1</v>
      </c>
      <c r="H19" s="35">
        <v>24</v>
      </c>
      <c r="I19" s="7">
        <v>18000</v>
      </c>
      <c r="J19" s="14">
        <v>1109</v>
      </c>
      <c r="K19" s="15">
        <f>L19+4424+5113+4751+5219+5257+2255+1109</f>
        <v>28128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0.49479166666666669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115</v>
      </c>
      <c r="E20" s="53" t="s">
        <v>148</v>
      </c>
      <c r="F20" s="30" t="s">
        <v>130</v>
      </c>
      <c r="G20" s="12">
        <v>1</v>
      </c>
      <c r="H20" s="13">
        <v>24</v>
      </c>
      <c r="I20" s="7">
        <v>62000</v>
      </c>
      <c r="J20" s="14">
        <v>332</v>
      </c>
      <c r="K20" s="15">
        <f>L20+5680+5650+5595+4980+5238+5654+5218+5376+5674+2421+2785+5649+5670+5687+2513+332</f>
        <v>74122</v>
      </c>
      <c r="L20" s="15"/>
      <c r="M20" s="15">
        <f t="shared" si="0"/>
        <v>0</v>
      </c>
      <c r="N20" s="15">
        <v>0</v>
      </c>
      <c r="O20" s="58" t="str">
        <f t="shared" si="1"/>
        <v>0</v>
      </c>
      <c r="P20" s="39" t="str">
        <f t="shared" si="2"/>
        <v>0</v>
      </c>
      <c r="Q20" s="40">
        <f t="shared" si="3"/>
        <v>24</v>
      </c>
      <c r="R20" s="7"/>
      <c r="S20" s="6"/>
      <c r="T20" s="16"/>
      <c r="U20" s="16"/>
      <c r="V20" s="17"/>
      <c r="W20" s="5">
        <v>24</v>
      </c>
      <c r="X20" s="16"/>
      <c r="Y20" s="16"/>
      <c r="Z20" s="16"/>
      <c r="AA20" s="18"/>
      <c r="AB20" s="8">
        <f t="shared" si="4"/>
        <v>0</v>
      </c>
      <c r="AC20" s="9">
        <f t="shared" si="5"/>
        <v>0</v>
      </c>
      <c r="AD20" s="10">
        <f t="shared" si="6"/>
        <v>0</v>
      </c>
      <c r="AE20" s="36">
        <f t="shared" si="7"/>
        <v>0.49479166666666669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57728</v>
      </c>
      <c r="K21" s="15">
        <f>L21+52848+58908+58380+58904+60440+12000+48800+57140+58388+26200+49588</f>
        <v>599324</v>
      </c>
      <c r="L21" s="15">
        <f>7295*4+7137*4</f>
        <v>57728</v>
      </c>
      <c r="M21" s="15">
        <f t="shared" si="0"/>
        <v>57728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0.49479166666666669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1527600</v>
      </c>
      <c r="J22" s="19">
        <f t="shared" si="9"/>
        <v>147093</v>
      </c>
      <c r="K22" s="20">
        <f t="shared" si="9"/>
        <v>1434368</v>
      </c>
      <c r="L22" s="21">
        <f t="shared" si="9"/>
        <v>128807</v>
      </c>
      <c r="M22" s="20">
        <f t="shared" si="9"/>
        <v>128807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190</v>
      </c>
      <c r="Q22" s="43">
        <f t="shared" si="10"/>
        <v>194</v>
      </c>
      <c r="R22" s="23">
        <f t="shared" si="10"/>
        <v>24</v>
      </c>
      <c r="S22" s="24">
        <f t="shared" si="10"/>
        <v>33</v>
      </c>
      <c r="T22" s="24">
        <f t="shared" si="10"/>
        <v>0</v>
      </c>
      <c r="U22" s="24">
        <f t="shared" si="10"/>
        <v>0</v>
      </c>
      <c r="V22" s="25">
        <f t="shared" si="10"/>
        <v>0</v>
      </c>
      <c r="W22" s="26">
        <f t="shared" si="10"/>
        <v>89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48</v>
      </c>
      <c r="AB22" s="28">
        <f>AVERAGE(AB6:AB21)</f>
        <v>0.5625</v>
      </c>
      <c r="AC22" s="4">
        <f>AVERAGE(AC6:AC21)</f>
        <v>0.49479166666666669</v>
      </c>
      <c r="AD22" s="4">
        <f>AVERAGE(AD6:AD21)</f>
        <v>0.49479166666666669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499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505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376" t="s">
        <v>46</v>
      </c>
      <c r="D51" s="376" t="s">
        <v>47</v>
      </c>
      <c r="E51" s="376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376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80" t="s">
        <v>112</v>
      </c>
      <c r="B52" s="481"/>
      <c r="C52" s="379" t="s">
        <v>192</v>
      </c>
      <c r="D52" s="379" t="s">
        <v>115</v>
      </c>
      <c r="E52" s="379" t="s">
        <v>494</v>
      </c>
      <c r="F52" s="472" t="s">
        <v>187</v>
      </c>
      <c r="G52" s="473"/>
      <c r="H52" s="473"/>
      <c r="I52" s="473"/>
      <c r="J52" s="473"/>
      <c r="K52" s="473"/>
      <c r="L52" s="473"/>
      <c r="M52" s="474"/>
      <c r="N52" s="378" t="s">
        <v>112</v>
      </c>
      <c r="O52" s="384" t="s">
        <v>192</v>
      </c>
      <c r="P52" s="475" t="s">
        <v>154</v>
      </c>
      <c r="Q52" s="476"/>
      <c r="R52" s="475" t="s">
        <v>506</v>
      </c>
      <c r="S52" s="477"/>
      <c r="T52" s="477"/>
      <c r="U52" s="476"/>
      <c r="V52" s="478" t="s">
        <v>187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80" t="s">
        <v>118</v>
      </c>
      <c r="B53" s="481"/>
      <c r="C53" s="389" t="s">
        <v>149</v>
      </c>
      <c r="D53" s="389" t="s">
        <v>115</v>
      </c>
      <c r="E53" s="389" t="s">
        <v>294</v>
      </c>
      <c r="F53" s="472" t="s">
        <v>500</v>
      </c>
      <c r="G53" s="473"/>
      <c r="H53" s="473"/>
      <c r="I53" s="473"/>
      <c r="J53" s="473"/>
      <c r="K53" s="473"/>
      <c r="L53" s="473"/>
      <c r="M53" s="474"/>
      <c r="N53" s="378" t="s">
        <v>112</v>
      </c>
      <c r="O53" s="384" t="s">
        <v>209</v>
      </c>
      <c r="P53" s="475" t="s">
        <v>143</v>
      </c>
      <c r="Q53" s="476"/>
      <c r="R53" s="475" t="s">
        <v>507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501</v>
      </c>
      <c r="B54" s="481"/>
      <c r="C54" s="379" t="s">
        <v>502</v>
      </c>
      <c r="D54" s="379"/>
      <c r="E54" s="379" t="s">
        <v>503</v>
      </c>
      <c r="F54" s="472" t="s">
        <v>504</v>
      </c>
      <c r="G54" s="473"/>
      <c r="H54" s="473"/>
      <c r="I54" s="473"/>
      <c r="J54" s="473"/>
      <c r="K54" s="473"/>
      <c r="L54" s="473"/>
      <c r="M54" s="474"/>
      <c r="N54" s="378" t="s">
        <v>112</v>
      </c>
      <c r="O54" s="384" t="s">
        <v>128</v>
      </c>
      <c r="P54" s="475" t="s">
        <v>115</v>
      </c>
      <c r="Q54" s="476"/>
      <c r="R54" s="475" t="s">
        <v>508</v>
      </c>
      <c r="S54" s="477"/>
      <c r="T54" s="477"/>
      <c r="U54" s="476"/>
      <c r="V54" s="478" t="s">
        <v>187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/>
      <c r="B55" s="481"/>
      <c r="C55" s="379"/>
      <c r="D55" s="379"/>
      <c r="E55" s="379"/>
      <c r="F55" s="472"/>
      <c r="G55" s="473"/>
      <c r="H55" s="473"/>
      <c r="I55" s="473"/>
      <c r="J55" s="473"/>
      <c r="K55" s="473"/>
      <c r="L55" s="473"/>
      <c r="M55" s="474"/>
      <c r="N55" s="390" t="s">
        <v>112</v>
      </c>
      <c r="O55" s="388" t="s">
        <v>128</v>
      </c>
      <c r="P55" s="475" t="s">
        <v>115</v>
      </c>
      <c r="Q55" s="476"/>
      <c r="R55" s="475" t="s">
        <v>509</v>
      </c>
      <c r="S55" s="477"/>
      <c r="T55" s="477"/>
      <c r="U55" s="476"/>
      <c r="V55" s="478" t="s">
        <v>187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/>
      <c r="B56" s="481"/>
      <c r="C56" s="379"/>
      <c r="D56" s="379"/>
      <c r="E56" s="379"/>
      <c r="F56" s="472"/>
      <c r="G56" s="473"/>
      <c r="H56" s="473"/>
      <c r="I56" s="473"/>
      <c r="J56" s="473"/>
      <c r="K56" s="473"/>
      <c r="L56" s="473"/>
      <c r="M56" s="474"/>
      <c r="N56" s="378"/>
      <c r="O56" s="384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/>
      <c r="B57" s="481"/>
      <c r="C57" s="379"/>
      <c r="D57" s="379"/>
      <c r="E57" s="379"/>
      <c r="F57" s="472"/>
      <c r="G57" s="473"/>
      <c r="H57" s="473"/>
      <c r="I57" s="473"/>
      <c r="J57" s="473"/>
      <c r="K57" s="473"/>
      <c r="L57" s="473"/>
      <c r="M57" s="474"/>
      <c r="N57" s="378"/>
      <c r="O57" s="384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/>
      <c r="B58" s="481"/>
      <c r="C58" s="379"/>
      <c r="D58" s="379"/>
      <c r="E58" s="379"/>
      <c r="F58" s="472"/>
      <c r="G58" s="473"/>
      <c r="H58" s="473"/>
      <c r="I58" s="473"/>
      <c r="J58" s="473"/>
      <c r="K58" s="473"/>
      <c r="L58" s="473"/>
      <c r="M58" s="474"/>
      <c r="N58" s="378"/>
      <c r="O58" s="384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379"/>
      <c r="D59" s="379"/>
      <c r="E59" s="379"/>
      <c r="F59" s="472"/>
      <c r="G59" s="473"/>
      <c r="H59" s="473"/>
      <c r="I59" s="473"/>
      <c r="J59" s="473"/>
      <c r="K59" s="473"/>
      <c r="L59" s="473"/>
      <c r="M59" s="474"/>
      <c r="N59" s="378"/>
      <c r="O59" s="384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377"/>
      <c r="D60" s="377"/>
      <c r="E60" s="379"/>
      <c r="F60" s="472"/>
      <c r="G60" s="473"/>
      <c r="H60" s="473"/>
      <c r="I60" s="473"/>
      <c r="J60" s="473"/>
      <c r="K60" s="473"/>
      <c r="L60" s="473"/>
      <c r="M60" s="474"/>
      <c r="N60" s="378"/>
      <c r="O60" s="384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380"/>
      <c r="D61" s="381"/>
      <c r="E61" s="380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510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382" t="s">
        <v>2</v>
      </c>
      <c r="D63" s="382" t="s">
        <v>37</v>
      </c>
      <c r="E63" s="382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382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386"/>
      <c r="E64" s="383" t="s">
        <v>154</v>
      </c>
      <c r="F64" s="499" t="s">
        <v>511</v>
      </c>
      <c r="G64" s="500"/>
      <c r="H64" s="500"/>
      <c r="I64" s="500"/>
      <c r="J64" s="501"/>
      <c r="K64" s="502" t="s">
        <v>134</v>
      </c>
      <c r="L64" s="502"/>
      <c r="M64" s="51" t="s">
        <v>448</v>
      </c>
      <c r="N64" s="503" t="s">
        <v>192</v>
      </c>
      <c r="O64" s="503"/>
      <c r="P64" s="504">
        <v>50</v>
      </c>
      <c r="Q64" s="504"/>
      <c r="R64" s="478" t="s">
        <v>512</v>
      </c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 t="s">
        <v>501</v>
      </c>
      <c r="D65" s="386"/>
      <c r="E65" s="383" t="s">
        <v>513</v>
      </c>
      <c r="F65" s="499" t="s">
        <v>516</v>
      </c>
      <c r="G65" s="500"/>
      <c r="H65" s="500"/>
      <c r="I65" s="500"/>
      <c r="J65" s="501"/>
      <c r="K65" s="502" t="s">
        <v>520</v>
      </c>
      <c r="L65" s="502"/>
      <c r="M65" s="51" t="s">
        <v>521</v>
      </c>
      <c r="N65" s="503" t="s">
        <v>522</v>
      </c>
      <c r="O65" s="503"/>
      <c r="P65" s="504">
        <v>100</v>
      </c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 t="s">
        <v>501</v>
      </c>
      <c r="D66" s="386"/>
      <c r="E66" s="383" t="s">
        <v>515</v>
      </c>
      <c r="F66" s="499" t="s">
        <v>514</v>
      </c>
      <c r="G66" s="500"/>
      <c r="H66" s="500"/>
      <c r="I66" s="500"/>
      <c r="J66" s="501"/>
      <c r="K66" s="502" t="s">
        <v>520</v>
      </c>
      <c r="L66" s="502"/>
      <c r="M66" s="51" t="s">
        <v>521</v>
      </c>
      <c r="N66" s="503" t="s">
        <v>522</v>
      </c>
      <c r="O66" s="503"/>
      <c r="P66" s="504">
        <v>100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 t="s">
        <v>518</v>
      </c>
      <c r="D67" s="386"/>
      <c r="E67" s="383" t="s">
        <v>519</v>
      </c>
      <c r="F67" s="499" t="s">
        <v>517</v>
      </c>
      <c r="G67" s="500"/>
      <c r="H67" s="500"/>
      <c r="I67" s="500"/>
      <c r="J67" s="501"/>
      <c r="K67" s="502" t="s">
        <v>523</v>
      </c>
      <c r="L67" s="502"/>
      <c r="M67" s="51" t="s">
        <v>524</v>
      </c>
      <c r="N67" s="503" t="s">
        <v>525</v>
      </c>
      <c r="O67" s="503"/>
      <c r="P67" s="504">
        <v>20</v>
      </c>
      <c r="Q67" s="504"/>
      <c r="R67" s="478" t="s">
        <v>526</v>
      </c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/>
      <c r="D68" s="386"/>
      <c r="E68" s="383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/>
      <c r="D69" s="386"/>
      <c r="E69" s="383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386"/>
      <c r="E70" s="383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386"/>
      <c r="E71" s="383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386"/>
      <c r="E72" s="383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386"/>
      <c r="E73" s="383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527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385" t="s">
        <v>2</v>
      </c>
      <c r="D75" s="385" t="s">
        <v>37</v>
      </c>
      <c r="E75" s="385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387" t="s">
        <v>112</v>
      </c>
      <c r="D76" s="387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386"/>
      <c r="D77" s="386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386"/>
      <c r="D78" s="386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386"/>
      <c r="D79" s="386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386"/>
      <c r="D80" s="386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386"/>
      <c r="D81" s="386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386"/>
      <c r="D82" s="386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528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>
        <v>9</v>
      </c>
      <c r="D85" s="537"/>
      <c r="E85" s="537" t="s">
        <v>529</v>
      </c>
      <c r="F85" s="537"/>
      <c r="G85" s="537"/>
      <c r="H85" s="537"/>
      <c r="I85" s="537"/>
      <c r="J85" s="537"/>
      <c r="K85" s="537" t="s">
        <v>530</v>
      </c>
      <c r="L85" s="537"/>
      <c r="M85" s="537"/>
      <c r="N85" s="537"/>
      <c r="O85" s="537"/>
      <c r="P85" s="537"/>
      <c r="Q85" s="537"/>
      <c r="R85" s="537"/>
      <c r="S85" s="537"/>
      <c r="T85" s="537" t="s">
        <v>531</v>
      </c>
      <c r="U85" s="537"/>
      <c r="V85" s="538"/>
      <c r="W85" s="538"/>
      <c r="X85" s="538"/>
      <c r="Y85" s="539" t="s">
        <v>532</v>
      </c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0A04-C53D-40B3-9A07-A403F09810A1}">
  <dimension ref="A1:AF88"/>
  <sheetViews>
    <sheetView view="pageBreakPreview" zoomScale="70" zoomScaleNormal="72" zoomScaleSheetLayoutView="70" workbookViewId="0">
      <selection activeCell="C14" sqref="C14:I1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533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391" t="s">
        <v>17</v>
      </c>
      <c r="L5" s="391" t="s">
        <v>18</v>
      </c>
      <c r="M5" s="391" t="s">
        <v>19</v>
      </c>
      <c r="N5" s="39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258</v>
      </c>
      <c r="E6" s="53" t="s">
        <v>506</v>
      </c>
      <c r="F6" s="30" t="s">
        <v>534</v>
      </c>
      <c r="G6" s="12">
        <v>1</v>
      </c>
      <c r="H6" s="13">
        <v>24</v>
      </c>
      <c r="I6" s="7">
        <v>2000</v>
      </c>
      <c r="J6" s="14">
        <v>2831</v>
      </c>
      <c r="K6" s="15">
        <f>L6</f>
        <v>2831</v>
      </c>
      <c r="L6" s="15">
        <f>2019+812</f>
        <v>2831</v>
      </c>
      <c r="M6" s="15">
        <f t="shared" ref="M6:M22" si="0">L6-N6</f>
        <v>2831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16</v>
      </c>
      <c r="Q6" s="40">
        <f t="shared" ref="Q6:Q22" si="3">SUM(R6:AA6)</f>
        <v>8</v>
      </c>
      <c r="R6" s="7"/>
      <c r="S6" s="6"/>
      <c r="T6" s="16">
        <v>2</v>
      </c>
      <c r="U6" s="16"/>
      <c r="V6" s="17"/>
      <c r="W6" s="5">
        <v>6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0.66666666666666663</v>
      </c>
      <c r="AD6" s="10">
        <f t="shared" ref="AD6:AD22" si="6">AC6*AB6*(1-O6)</f>
        <v>0.66666666666666663</v>
      </c>
      <c r="AE6" s="36">
        <f t="shared" ref="AE6:AE22" si="7">$AD$23</f>
        <v>0.4485294117647059</v>
      </c>
      <c r="AF6" s="84">
        <f t="shared" ref="AF6:AF22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7152</v>
      </c>
      <c r="K7" s="15">
        <f>L7+10614+8368+10244+7142+11264+7152</f>
        <v>54784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0.4485294117647059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137</v>
      </c>
      <c r="E8" s="53" t="s">
        <v>440</v>
      </c>
      <c r="F8" s="30" t="s">
        <v>133</v>
      </c>
      <c r="G8" s="33">
        <v>2</v>
      </c>
      <c r="H8" s="35">
        <v>24</v>
      </c>
      <c r="I8" s="7">
        <v>1000</v>
      </c>
      <c r="J8" s="5">
        <v>1000</v>
      </c>
      <c r="K8" s="15">
        <f>L8+1000+1000</f>
        <v>2000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0.4485294117647059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f>65000+75000</f>
        <v>140000</v>
      </c>
      <c r="J9" s="14">
        <v>5492</v>
      </c>
      <c r="K9" s="15">
        <f>L9+1344+2695+2818+1363+3398+4807+5146+5399+5363+4916+4752+2389+5076+5367+4162+3442+4709+5270+3351+4112+5541+1793+4649+4573+4828+4143+5461+5507+2538+4958+5313</f>
        <v>134675</v>
      </c>
      <c r="L9" s="15">
        <f>2770+2722</f>
        <v>5492</v>
      </c>
      <c r="M9" s="15">
        <f t="shared" si="0"/>
        <v>5492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0.4485294117647059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151</v>
      </c>
      <c r="E10" s="53" t="s">
        <v>489</v>
      </c>
      <c r="F10" s="30" t="s">
        <v>133</v>
      </c>
      <c r="G10" s="33">
        <v>1</v>
      </c>
      <c r="H10" s="35">
        <v>24</v>
      </c>
      <c r="I10" s="7">
        <v>13000</v>
      </c>
      <c r="J10" s="14">
        <v>6403</v>
      </c>
      <c r="K10" s="15">
        <f>L10+3146+6390</f>
        <v>15939</v>
      </c>
      <c r="L10" s="15">
        <f>3211+3192</f>
        <v>6403</v>
      </c>
      <c r="M10" s="15">
        <f t="shared" si="0"/>
        <v>6403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0.4485294117647059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/>
      <c r="E11" s="53" t="s">
        <v>535</v>
      </c>
      <c r="F11" s="30" t="s">
        <v>276</v>
      </c>
      <c r="G11" s="33">
        <v>1</v>
      </c>
      <c r="H11" s="35">
        <v>24</v>
      </c>
      <c r="I11" s="7">
        <v>500</v>
      </c>
      <c r="J11" s="14">
        <v>609</v>
      </c>
      <c r="K11" s="15">
        <f>L11</f>
        <v>609</v>
      </c>
      <c r="L11" s="15">
        <f>609</f>
        <v>609</v>
      </c>
      <c r="M11" s="15">
        <f t="shared" si="0"/>
        <v>609</v>
      </c>
      <c r="N11" s="15">
        <v>0</v>
      </c>
      <c r="O11" s="58">
        <f t="shared" si="1"/>
        <v>0</v>
      </c>
      <c r="P11" s="39">
        <f t="shared" si="2"/>
        <v>4</v>
      </c>
      <c r="Q11" s="40">
        <f t="shared" si="3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6">
        <f t="shared" si="7"/>
        <v>0.4485294117647059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80000</v>
      </c>
      <c r="J12" s="5">
        <v>3271</v>
      </c>
      <c r="K12" s="15">
        <f>L12+4597+5041+5597+5567+5537+3364+5103+4208+3250+4473+4603+3900</f>
        <v>58511</v>
      </c>
      <c r="L12" s="15">
        <f>914+2357</f>
        <v>3271</v>
      </c>
      <c r="M12" s="15">
        <f t="shared" si="0"/>
        <v>3271</v>
      </c>
      <c r="N12" s="15">
        <v>0</v>
      </c>
      <c r="O12" s="58">
        <f t="shared" si="1"/>
        <v>0</v>
      </c>
      <c r="P12" s="39">
        <f t="shared" si="2"/>
        <v>18</v>
      </c>
      <c r="Q12" s="40">
        <f t="shared" si="3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0.75</v>
      </c>
      <c r="AD12" s="10">
        <f t="shared" si="6"/>
        <v>0.75</v>
      </c>
      <c r="AE12" s="36">
        <f t="shared" si="7"/>
        <v>0.4485294117647059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509</v>
      </c>
      <c r="F13" s="30" t="s">
        <v>536</v>
      </c>
      <c r="G13" s="33">
        <v>1</v>
      </c>
      <c r="H13" s="35">
        <v>24</v>
      </c>
      <c r="I13" s="7">
        <v>200</v>
      </c>
      <c r="J13" s="14">
        <v>250</v>
      </c>
      <c r="K13" s="15">
        <f>L13</f>
        <v>250</v>
      </c>
      <c r="L13" s="15">
        <v>250</v>
      </c>
      <c r="M13" s="15">
        <f t="shared" si="0"/>
        <v>250</v>
      </c>
      <c r="N13" s="15">
        <v>0</v>
      </c>
      <c r="O13" s="58">
        <f t="shared" si="1"/>
        <v>0</v>
      </c>
      <c r="P13" s="39">
        <f t="shared" si="2"/>
        <v>5</v>
      </c>
      <c r="Q13" s="40">
        <f t="shared" si="3"/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si="4"/>
        <v>1</v>
      </c>
      <c r="AC13" s="9">
        <f t="shared" si="5"/>
        <v>0.20833333333333334</v>
      </c>
      <c r="AD13" s="10">
        <f t="shared" si="6"/>
        <v>0.20833333333333334</v>
      </c>
      <c r="AE13" s="36">
        <f t="shared" si="7"/>
        <v>0.4485294117647059</v>
      </c>
      <c r="AF13" s="84">
        <f t="shared" si="8"/>
        <v>8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115</v>
      </c>
      <c r="E14" s="53" t="s">
        <v>508</v>
      </c>
      <c r="F14" s="30" t="s">
        <v>536</v>
      </c>
      <c r="G14" s="33">
        <v>1</v>
      </c>
      <c r="H14" s="35">
        <v>24</v>
      </c>
      <c r="I14" s="7">
        <v>200</v>
      </c>
      <c r="J14" s="14">
        <v>342</v>
      </c>
      <c r="K14" s="15">
        <f>L14</f>
        <v>342</v>
      </c>
      <c r="L14" s="15">
        <v>342</v>
      </c>
      <c r="M14" s="15">
        <f t="shared" ref="M14" si="9">L14-N14</f>
        <v>342</v>
      </c>
      <c r="N14" s="15">
        <v>0</v>
      </c>
      <c r="O14" s="58">
        <f t="shared" ref="O14" si="10">IF(L14=0,"0",N14/L14)</f>
        <v>0</v>
      </c>
      <c r="P14" s="39">
        <f t="shared" ref="P14" si="11">IF(L14=0,"0",(24-Q14))</f>
        <v>6</v>
      </c>
      <c r="Q14" s="40">
        <f t="shared" ref="Q14" si="12">SUM(R14:AA14)</f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ref="AB14" si="13">IF(J14=0,"0",(L14/J14))</f>
        <v>1</v>
      </c>
      <c r="AC14" s="9">
        <f t="shared" ref="AC14" si="14">IF(P14=0,"0",(P14/24))</f>
        <v>0.25</v>
      </c>
      <c r="AD14" s="10">
        <f t="shared" ref="AD14" si="15">AC14*AB14*(1-O14)</f>
        <v>0.25</v>
      </c>
      <c r="AE14" s="36">
        <f t="shared" si="7"/>
        <v>0.4485294117647059</v>
      </c>
      <c r="AF14" s="84">
        <f t="shared" ref="AF14" si="16">A14</f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408</v>
      </c>
      <c r="F15" s="30" t="s">
        <v>413</v>
      </c>
      <c r="G15" s="33">
        <v>1</v>
      </c>
      <c r="H15" s="35">
        <v>50</v>
      </c>
      <c r="I15" s="7">
        <v>300</v>
      </c>
      <c r="J15" s="5">
        <v>452</v>
      </c>
      <c r="K15" s="15">
        <f>L15+452</f>
        <v>452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>
        <v>24</v>
      </c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 t="shared" si="7"/>
        <v>0.4485294117647059</v>
      </c>
      <c r="AF15" s="84">
        <f t="shared" si="8"/>
        <v>9</v>
      </c>
    </row>
    <row r="16" spans="1:32" ht="27" customHeight="1">
      <c r="A16" s="95">
        <v>10</v>
      </c>
      <c r="B16" s="11" t="s">
        <v>57</v>
      </c>
      <c r="C16" s="34" t="s">
        <v>188</v>
      </c>
      <c r="D16" s="52" t="s">
        <v>537</v>
      </c>
      <c r="E16" s="53" t="s">
        <v>538</v>
      </c>
      <c r="F16" s="12" t="s">
        <v>144</v>
      </c>
      <c r="G16" s="12">
        <v>2</v>
      </c>
      <c r="H16" s="13">
        <v>24</v>
      </c>
      <c r="I16" s="31">
        <v>1000</v>
      </c>
      <c r="J16" s="14">
        <v>1182</v>
      </c>
      <c r="K16" s="15">
        <f>L16</f>
        <v>1182</v>
      </c>
      <c r="L16" s="15">
        <f>591*2</f>
        <v>1182</v>
      </c>
      <c r="M16" s="15">
        <f t="shared" si="0"/>
        <v>1182</v>
      </c>
      <c r="N16" s="15">
        <v>0</v>
      </c>
      <c r="O16" s="58">
        <f t="shared" si="1"/>
        <v>0</v>
      </c>
      <c r="P16" s="39">
        <f t="shared" si="2"/>
        <v>4</v>
      </c>
      <c r="Q16" s="40">
        <f t="shared" si="3"/>
        <v>20</v>
      </c>
      <c r="R16" s="7"/>
      <c r="S16" s="6"/>
      <c r="T16" s="16"/>
      <c r="U16" s="16"/>
      <c r="V16" s="17"/>
      <c r="W16" s="5">
        <v>20</v>
      </c>
      <c r="X16" s="16"/>
      <c r="Y16" s="16"/>
      <c r="Z16" s="16"/>
      <c r="AA16" s="18"/>
      <c r="AB16" s="8">
        <f t="shared" si="4"/>
        <v>1</v>
      </c>
      <c r="AC16" s="9">
        <f t="shared" si="5"/>
        <v>0.16666666666666666</v>
      </c>
      <c r="AD16" s="10">
        <f t="shared" si="6"/>
        <v>0.16666666666666666</v>
      </c>
      <c r="AE16" s="36">
        <f t="shared" si="7"/>
        <v>0.4485294117647059</v>
      </c>
      <c r="AF16" s="84">
        <f t="shared" si="8"/>
        <v>10</v>
      </c>
    </row>
    <row r="17" spans="1:32" ht="30" customHeight="1">
      <c r="A17" s="112">
        <v>11</v>
      </c>
      <c r="B17" s="11" t="s">
        <v>57</v>
      </c>
      <c r="C17" s="34" t="s">
        <v>118</v>
      </c>
      <c r="D17" s="52" t="s">
        <v>219</v>
      </c>
      <c r="E17" s="53" t="s">
        <v>220</v>
      </c>
      <c r="F17" s="30" t="s">
        <v>133</v>
      </c>
      <c r="G17" s="12">
        <v>1</v>
      </c>
      <c r="H17" s="13">
        <v>24</v>
      </c>
      <c r="I17" s="7">
        <v>95000</v>
      </c>
      <c r="J17" s="14">
        <v>763</v>
      </c>
      <c r="K17" s="15">
        <f>L17+4303+5850+5280+5606+5547+5173+5805+5835+6039+5589+5810+3971+5819+5852+2621+5478+5830</f>
        <v>91171</v>
      </c>
      <c r="L17" s="15">
        <v>763</v>
      </c>
      <c r="M17" s="15">
        <f t="shared" si="0"/>
        <v>763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/>
      <c r="T17" s="16"/>
      <c r="U17" s="16"/>
      <c r="V17" s="17"/>
      <c r="W17" s="5">
        <v>20</v>
      </c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 t="shared" si="7"/>
        <v>0.4485294117647059</v>
      </c>
      <c r="AF17" s="84">
        <f t="shared" si="8"/>
        <v>11</v>
      </c>
    </row>
    <row r="18" spans="1:32" ht="30" customHeight="1">
      <c r="A18" s="95">
        <v>12</v>
      </c>
      <c r="B18" s="11" t="s">
        <v>57</v>
      </c>
      <c r="C18" s="34" t="s">
        <v>188</v>
      </c>
      <c r="D18" s="52" t="s">
        <v>296</v>
      </c>
      <c r="E18" s="53" t="s">
        <v>295</v>
      </c>
      <c r="F18" s="30" t="s">
        <v>303</v>
      </c>
      <c r="G18" s="12">
        <v>5</v>
      </c>
      <c r="H18" s="13">
        <v>24</v>
      </c>
      <c r="I18" s="7">
        <v>200000</v>
      </c>
      <c r="J18" s="14">
        <v>45525</v>
      </c>
      <c r="K18" s="15">
        <f>L18+33015+35895+37090+38775+40475+36685+38795+38720+10865+37785</f>
        <v>393625</v>
      </c>
      <c r="L18" s="15">
        <f>4524*5+4581*5</f>
        <v>45525</v>
      </c>
      <c r="M18" s="15">
        <f t="shared" si="0"/>
        <v>45525</v>
      </c>
      <c r="N18" s="15">
        <v>0</v>
      </c>
      <c r="O18" s="58">
        <f t="shared" si="1"/>
        <v>0</v>
      </c>
      <c r="P18" s="39">
        <f t="shared" si="2"/>
        <v>24</v>
      </c>
      <c r="Q18" s="40">
        <f t="shared" si="3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1</v>
      </c>
      <c r="AD18" s="10">
        <f t="shared" si="6"/>
        <v>1</v>
      </c>
      <c r="AE18" s="36">
        <f t="shared" si="7"/>
        <v>0.4485294117647059</v>
      </c>
      <c r="AF18" s="84">
        <f t="shared" si="8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474</v>
      </c>
      <c r="F19" s="30" t="s">
        <v>142</v>
      </c>
      <c r="G19" s="33">
        <v>1</v>
      </c>
      <c r="H19" s="35">
        <v>24</v>
      </c>
      <c r="I19" s="7">
        <v>50000</v>
      </c>
      <c r="J19" s="14">
        <v>3182</v>
      </c>
      <c r="K19" s="15">
        <f>L19+4334+5583</f>
        <v>13099</v>
      </c>
      <c r="L19" s="15">
        <f>415+2767</f>
        <v>3182</v>
      </c>
      <c r="M19" s="15">
        <f t="shared" si="0"/>
        <v>3182</v>
      </c>
      <c r="N19" s="15">
        <v>0</v>
      </c>
      <c r="O19" s="58">
        <f t="shared" si="1"/>
        <v>0</v>
      </c>
      <c r="P19" s="39">
        <f t="shared" si="2"/>
        <v>15</v>
      </c>
      <c r="Q19" s="40">
        <f t="shared" si="3"/>
        <v>9</v>
      </c>
      <c r="R19" s="7"/>
      <c r="S19" s="6">
        <v>9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0.625</v>
      </c>
      <c r="AD19" s="10">
        <f t="shared" si="6"/>
        <v>0.625</v>
      </c>
      <c r="AE19" s="36">
        <f t="shared" si="7"/>
        <v>0.4485294117647059</v>
      </c>
      <c r="AF19" s="84">
        <f t="shared" si="8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140</v>
      </c>
      <c r="E20" s="53" t="s">
        <v>507</v>
      </c>
      <c r="F20" s="30" t="s">
        <v>142</v>
      </c>
      <c r="G20" s="33">
        <v>1</v>
      </c>
      <c r="H20" s="35">
        <v>24</v>
      </c>
      <c r="I20" s="7">
        <v>2000</v>
      </c>
      <c r="J20" s="14">
        <v>2133</v>
      </c>
      <c r="K20" s="15">
        <f>L20</f>
        <v>2133</v>
      </c>
      <c r="L20" s="15">
        <f>583+1550</f>
        <v>2133</v>
      </c>
      <c r="M20" s="15">
        <f t="shared" si="0"/>
        <v>2133</v>
      </c>
      <c r="N20" s="15">
        <v>0</v>
      </c>
      <c r="O20" s="58">
        <f t="shared" si="1"/>
        <v>0</v>
      </c>
      <c r="P20" s="39">
        <f t="shared" si="2"/>
        <v>15</v>
      </c>
      <c r="Q20" s="40">
        <f t="shared" si="3"/>
        <v>9</v>
      </c>
      <c r="R20" s="7"/>
      <c r="S20" s="6">
        <v>9</v>
      </c>
      <c r="T20" s="16"/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0.625</v>
      </c>
      <c r="AD20" s="10">
        <f t="shared" si="6"/>
        <v>0.625</v>
      </c>
      <c r="AE20" s="36">
        <f t="shared" si="7"/>
        <v>0.4485294117647059</v>
      </c>
      <c r="AF20" s="84">
        <f t="shared" si="8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115</v>
      </c>
      <c r="E21" s="53" t="s">
        <v>148</v>
      </c>
      <c r="F21" s="30" t="s">
        <v>130</v>
      </c>
      <c r="G21" s="12">
        <v>1</v>
      </c>
      <c r="H21" s="13">
        <v>24</v>
      </c>
      <c r="I21" s="7">
        <v>62000</v>
      </c>
      <c r="J21" s="14">
        <v>332</v>
      </c>
      <c r="K21" s="15">
        <f>L21+5680+5650+5595+4980+5238+5654+5218+5376+5674+2421+2785+5649+5670+5687+2513+332</f>
        <v>74122</v>
      </c>
      <c r="L21" s="15"/>
      <c r="M21" s="15">
        <f t="shared" si="0"/>
        <v>0</v>
      </c>
      <c r="N21" s="15">
        <v>0</v>
      </c>
      <c r="O21" s="58" t="str">
        <f t="shared" si="1"/>
        <v>0</v>
      </c>
      <c r="P21" s="39" t="str">
        <f t="shared" si="2"/>
        <v>0</v>
      </c>
      <c r="Q21" s="40">
        <f t="shared" si="3"/>
        <v>24</v>
      </c>
      <c r="R21" s="7"/>
      <c r="S21" s="6"/>
      <c r="T21" s="16"/>
      <c r="U21" s="16"/>
      <c r="V21" s="17"/>
      <c r="W21" s="5"/>
      <c r="X21" s="16"/>
      <c r="Y21" s="16"/>
      <c r="Z21" s="16"/>
      <c r="AA21" s="18">
        <v>24</v>
      </c>
      <c r="AB21" s="8">
        <f t="shared" si="4"/>
        <v>0</v>
      </c>
      <c r="AC21" s="9">
        <f t="shared" si="5"/>
        <v>0</v>
      </c>
      <c r="AD21" s="10">
        <f t="shared" si="6"/>
        <v>0</v>
      </c>
      <c r="AE21" s="36">
        <f t="shared" si="7"/>
        <v>0.4485294117647059</v>
      </c>
      <c r="AF21" s="84">
        <f t="shared" si="8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306</v>
      </c>
      <c r="F22" s="12" t="s">
        <v>114</v>
      </c>
      <c r="G22" s="12">
        <v>4</v>
      </c>
      <c r="H22" s="35">
        <v>20</v>
      </c>
      <c r="I22" s="7">
        <v>800000</v>
      </c>
      <c r="J22" s="14">
        <v>58100</v>
      </c>
      <c r="K22" s="15">
        <f>L22+52848+58908+58380+58904+60440+12000+48800+57140+58388+26200+49588+57728</f>
        <v>657424</v>
      </c>
      <c r="L22" s="15">
        <f>7221*4+7304*4</f>
        <v>58100</v>
      </c>
      <c r="M22" s="15">
        <f t="shared" si="0"/>
        <v>58100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 t="shared" si="7"/>
        <v>0.4485294117647059</v>
      </c>
      <c r="AF22" s="84">
        <f t="shared" si="8"/>
        <v>16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2">
        <f t="shared" ref="I23:N23" si="17">SUM(I6:I22)</f>
        <v>1493700</v>
      </c>
      <c r="J23" s="19">
        <f t="shared" si="17"/>
        <v>139019</v>
      </c>
      <c r="K23" s="20">
        <f t="shared" si="17"/>
        <v>1503149</v>
      </c>
      <c r="L23" s="21">
        <f t="shared" si="17"/>
        <v>130083</v>
      </c>
      <c r="M23" s="20">
        <f t="shared" si="17"/>
        <v>130083</v>
      </c>
      <c r="N23" s="21">
        <f t="shared" si="17"/>
        <v>0</v>
      </c>
      <c r="O23" s="41">
        <f t="shared" si="1"/>
        <v>0</v>
      </c>
      <c r="P23" s="42">
        <f t="shared" ref="P23:AA23" si="18">SUM(P6:P22)</f>
        <v>183</v>
      </c>
      <c r="Q23" s="43">
        <f t="shared" si="18"/>
        <v>225</v>
      </c>
      <c r="R23" s="23">
        <f t="shared" si="18"/>
        <v>24</v>
      </c>
      <c r="S23" s="24">
        <f t="shared" si="18"/>
        <v>24</v>
      </c>
      <c r="T23" s="24">
        <f t="shared" si="18"/>
        <v>2</v>
      </c>
      <c r="U23" s="24">
        <f t="shared" si="18"/>
        <v>0</v>
      </c>
      <c r="V23" s="25">
        <f t="shared" si="18"/>
        <v>0</v>
      </c>
      <c r="W23" s="26">
        <f t="shared" si="18"/>
        <v>103</v>
      </c>
      <c r="X23" s="27">
        <f t="shared" si="18"/>
        <v>0</v>
      </c>
      <c r="Y23" s="27">
        <f t="shared" si="18"/>
        <v>0</v>
      </c>
      <c r="Z23" s="27">
        <f t="shared" si="18"/>
        <v>0</v>
      </c>
      <c r="AA23" s="27">
        <f t="shared" si="18"/>
        <v>72</v>
      </c>
      <c r="AB23" s="28">
        <f>AVERAGE(AB6:AB22)</f>
        <v>0.76470588235294112</v>
      </c>
      <c r="AC23" s="4">
        <f>AVERAGE(AC6:AC22)</f>
        <v>0.4485294117647059</v>
      </c>
      <c r="AD23" s="4">
        <f>AVERAGE(AD6:AD22)</f>
        <v>0.4485294117647059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7" t="s">
        <v>45</v>
      </c>
      <c r="B50" s="447"/>
      <c r="C50" s="447"/>
      <c r="D50" s="447"/>
      <c r="E50" s="4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8" t="s">
        <v>539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542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392" t="s">
        <v>46</v>
      </c>
      <c r="D52" s="392" t="s">
        <v>47</v>
      </c>
      <c r="E52" s="392" t="s">
        <v>107</v>
      </c>
      <c r="F52" s="456" t="s">
        <v>106</v>
      </c>
      <c r="G52" s="457"/>
      <c r="H52" s="457"/>
      <c r="I52" s="457"/>
      <c r="J52" s="457"/>
      <c r="K52" s="457"/>
      <c r="L52" s="457"/>
      <c r="M52" s="458"/>
      <c r="N52" s="67" t="s">
        <v>110</v>
      </c>
      <c r="O52" s="392" t="s">
        <v>46</v>
      </c>
      <c r="P52" s="456" t="s">
        <v>47</v>
      </c>
      <c r="Q52" s="459"/>
      <c r="R52" s="456" t="s">
        <v>38</v>
      </c>
      <c r="S52" s="457"/>
      <c r="T52" s="457"/>
      <c r="U52" s="459"/>
      <c r="V52" s="456" t="s">
        <v>48</v>
      </c>
      <c r="W52" s="457"/>
      <c r="X52" s="457"/>
      <c r="Y52" s="457"/>
      <c r="Z52" s="457"/>
      <c r="AA52" s="457"/>
      <c r="AB52" s="457"/>
      <c r="AC52" s="457"/>
      <c r="AD52" s="458"/>
    </row>
    <row r="53" spans="1:32" ht="27" customHeight="1">
      <c r="A53" s="480" t="s">
        <v>112</v>
      </c>
      <c r="B53" s="481"/>
      <c r="C53" s="395" t="s">
        <v>192</v>
      </c>
      <c r="D53" s="395" t="s">
        <v>258</v>
      </c>
      <c r="E53" s="395" t="s">
        <v>506</v>
      </c>
      <c r="F53" s="472" t="s">
        <v>187</v>
      </c>
      <c r="G53" s="473"/>
      <c r="H53" s="473"/>
      <c r="I53" s="473"/>
      <c r="J53" s="473"/>
      <c r="K53" s="473"/>
      <c r="L53" s="473"/>
      <c r="M53" s="474"/>
      <c r="N53" s="394" t="s">
        <v>112</v>
      </c>
      <c r="O53" s="400" t="s">
        <v>128</v>
      </c>
      <c r="P53" s="475" t="s">
        <v>115</v>
      </c>
      <c r="Q53" s="476"/>
      <c r="R53" s="475" t="s">
        <v>543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118</v>
      </c>
      <c r="B54" s="481"/>
      <c r="C54" s="395" t="s">
        <v>149</v>
      </c>
      <c r="D54" s="395" t="s">
        <v>115</v>
      </c>
      <c r="E54" s="395" t="s">
        <v>294</v>
      </c>
      <c r="F54" s="472" t="s">
        <v>540</v>
      </c>
      <c r="G54" s="473"/>
      <c r="H54" s="473"/>
      <c r="I54" s="473"/>
      <c r="J54" s="473"/>
      <c r="K54" s="473"/>
      <c r="L54" s="473"/>
      <c r="M54" s="474"/>
      <c r="N54" s="394" t="s">
        <v>120</v>
      </c>
      <c r="O54" s="400" t="s">
        <v>268</v>
      </c>
      <c r="P54" s="475"/>
      <c r="Q54" s="476"/>
      <c r="R54" s="475" t="s">
        <v>160</v>
      </c>
      <c r="S54" s="477"/>
      <c r="T54" s="477"/>
      <c r="U54" s="476"/>
      <c r="V54" s="478" t="s">
        <v>187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112</v>
      </c>
      <c r="B55" s="481"/>
      <c r="C55" s="395" t="s">
        <v>209</v>
      </c>
      <c r="D55" s="395" t="s">
        <v>143</v>
      </c>
      <c r="E55" s="395" t="s">
        <v>507</v>
      </c>
      <c r="F55" s="472" t="s">
        <v>541</v>
      </c>
      <c r="G55" s="473"/>
      <c r="H55" s="473"/>
      <c r="I55" s="473"/>
      <c r="J55" s="473"/>
      <c r="K55" s="473"/>
      <c r="L55" s="473"/>
      <c r="M55" s="474"/>
      <c r="N55" s="394" t="s">
        <v>118</v>
      </c>
      <c r="O55" s="400" t="s">
        <v>214</v>
      </c>
      <c r="P55" s="475" t="s">
        <v>115</v>
      </c>
      <c r="Q55" s="476"/>
      <c r="R55" s="475" t="s">
        <v>474</v>
      </c>
      <c r="S55" s="477"/>
      <c r="T55" s="477"/>
      <c r="U55" s="476"/>
      <c r="V55" s="478" t="s">
        <v>124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120</v>
      </c>
      <c r="B56" s="481"/>
      <c r="C56" s="395" t="s">
        <v>313</v>
      </c>
      <c r="D56" s="395"/>
      <c r="E56" s="395" t="s">
        <v>535</v>
      </c>
      <c r="F56" s="472" t="s">
        <v>187</v>
      </c>
      <c r="G56" s="473"/>
      <c r="H56" s="473"/>
      <c r="I56" s="473"/>
      <c r="J56" s="473"/>
      <c r="K56" s="473"/>
      <c r="L56" s="473"/>
      <c r="M56" s="474"/>
      <c r="N56" s="394"/>
      <c r="O56" s="400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112</v>
      </c>
      <c r="B57" s="481"/>
      <c r="C57" s="395" t="s">
        <v>128</v>
      </c>
      <c r="D57" s="395" t="s">
        <v>115</v>
      </c>
      <c r="E57" s="395" t="s">
        <v>508</v>
      </c>
      <c r="F57" s="472" t="s">
        <v>187</v>
      </c>
      <c r="G57" s="473"/>
      <c r="H57" s="473"/>
      <c r="I57" s="473"/>
      <c r="J57" s="473"/>
      <c r="K57" s="473"/>
      <c r="L57" s="473"/>
      <c r="M57" s="474"/>
      <c r="N57" s="394"/>
      <c r="O57" s="400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112</v>
      </c>
      <c r="B58" s="481"/>
      <c r="C58" s="395" t="s">
        <v>128</v>
      </c>
      <c r="D58" s="395" t="s">
        <v>115</v>
      </c>
      <c r="E58" s="395" t="s">
        <v>509</v>
      </c>
      <c r="F58" s="472" t="s">
        <v>187</v>
      </c>
      <c r="G58" s="473"/>
      <c r="H58" s="473"/>
      <c r="I58" s="473"/>
      <c r="J58" s="473"/>
      <c r="K58" s="473"/>
      <c r="L58" s="473"/>
      <c r="M58" s="474"/>
      <c r="N58" s="394"/>
      <c r="O58" s="400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 t="s">
        <v>188</v>
      </c>
      <c r="B59" s="481"/>
      <c r="C59" s="395" t="s">
        <v>268</v>
      </c>
      <c r="D59" s="395" t="s">
        <v>537</v>
      </c>
      <c r="E59" s="395" t="s">
        <v>538</v>
      </c>
      <c r="F59" s="472" t="s">
        <v>187</v>
      </c>
      <c r="G59" s="473"/>
      <c r="H59" s="473"/>
      <c r="I59" s="473"/>
      <c r="J59" s="473"/>
      <c r="K59" s="473"/>
      <c r="L59" s="473"/>
      <c r="M59" s="474"/>
      <c r="N59" s="394"/>
      <c r="O59" s="400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80" t="s">
        <v>118</v>
      </c>
      <c r="B60" s="481"/>
      <c r="C60" s="395" t="s">
        <v>214</v>
      </c>
      <c r="D60" s="395" t="s">
        <v>115</v>
      </c>
      <c r="E60" s="395" t="s">
        <v>474</v>
      </c>
      <c r="F60" s="472" t="s">
        <v>322</v>
      </c>
      <c r="G60" s="473"/>
      <c r="H60" s="473"/>
      <c r="I60" s="473"/>
      <c r="J60" s="473"/>
      <c r="K60" s="473"/>
      <c r="L60" s="473"/>
      <c r="M60" s="474"/>
      <c r="N60" s="394"/>
      <c r="O60" s="400"/>
      <c r="P60" s="475"/>
      <c r="Q60" s="476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/>
      <c r="B61" s="471"/>
      <c r="C61" s="393"/>
      <c r="D61" s="393"/>
      <c r="E61" s="395"/>
      <c r="F61" s="472"/>
      <c r="G61" s="473"/>
      <c r="H61" s="473"/>
      <c r="I61" s="473"/>
      <c r="J61" s="473"/>
      <c r="K61" s="473"/>
      <c r="L61" s="473"/>
      <c r="M61" s="474"/>
      <c r="N61" s="394"/>
      <c r="O61" s="400"/>
      <c r="P61" s="481"/>
      <c r="Q61" s="481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  <c r="AF61" s="84">
        <f>8*3000</f>
        <v>24000</v>
      </c>
    </row>
    <row r="62" spans="1:32" ht="27" customHeight="1" thickBot="1">
      <c r="A62" s="482"/>
      <c r="B62" s="483"/>
      <c r="C62" s="396"/>
      <c r="D62" s="397"/>
      <c r="E62" s="396"/>
      <c r="F62" s="484"/>
      <c r="G62" s="485"/>
      <c r="H62" s="485"/>
      <c r="I62" s="485"/>
      <c r="J62" s="485"/>
      <c r="K62" s="485"/>
      <c r="L62" s="485"/>
      <c r="M62" s="486"/>
      <c r="N62" s="111"/>
      <c r="O62" s="103"/>
      <c r="P62" s="487"/>
      <c r="Q62" s="487"/>
      <c r="R62" s="487"/>
      <c r="S62" s="487"/>
      <c r="T62" s="487"/>
      <c r="U62" s="487"/>
      <c r="V62" s="488"/>
      <c r="W62" s="488"/>
      <c r="X62" s="488"/>
      <c r="Y62" s="488"/>
      <c r="Z62" s="488"/>
      <c r="AA62" s="488"/>
      <c r="AB62" s="488"/>
      <c r="AC62" s="488"/>
      <c r="AD62" s="489"/>
      <c r="AF62" s="84">
        <f>16*3000</f>
        <v>48000</v>
      </c>
    </row>
    <row r="63" spans="1:32" ht="27.75" thickBot="1">
      <c r="A63" s="490" t="s">
        <v>544</v>
      </c>
      <c r="B63" s="490"/>
      <c r="C63" s="490"/>
      <c r="D63" s="490"/>
      <c r="E63" s="49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1" t="s">
        <v>111</v>
      </c>
      <c r="B64" s="492"/>
      <c r="C64" s="398" t="s">
        <v>2</v>
      </c>
      <c r="D64" s="398" t="s">
        <v>37</v>
      </c>
      <c r="E64" s="398" t="s">
        <v>3</v>
      </c>
      <c r="F64" s="492" t="s">
        <v>109</v>
      </c>
      <c r="G64" s="492"/>
      <c r="H64" s="492"/>
      <c r="I64" s="492"/>
      <c r="J64" s="492"/>
      <c r="K64" s="492" t="s">
        <v>39</v>
      </c>
      <c r="L64" s="492"/>
      <c r="M64" s="398" t="s">
        <v>40</v>
      </c>
      <c r="N64" s="492" t="s">
        <v>41</v>
      </c>
      <c r="O64" s="492"/>
      <c r="P64" s="493" t="s">
        <v>42</v>
      </c>
      <c r="Q64" s="494"/>
      <c r="R64" s="493" t="s">
        <v>43</v>
      </c>
      <c r="S64" s="495"/>
      <c r="T64" s="495"/>
      <c r="U64" s="495"/>
      <c r="V64" s="495"/>
      <c r="W64" s="495"/>
      <c r="X64" s="495"/>
      <c r="Y64" s="495"/>
      <c r="Z64" s="495"/>
      <c r="AA64" s="494"/>
      <c r="AB64" s="492" t="s">
        <v>44</v>
      </c>
      <c r="AC64" s="492"/>
      <c r="AD64" s="496"/>
      <c r="AF64" s="84">
        <f>SUM(AF61:AF63)</f>
        <v>96000</v>
      </c>
    </row>
    <row r="65" spans="1:32" ht="25.5" customHeight="1">
      <c r="A65" s="497">
        <v>1</v>
      </c>
      <c r="B65" s="498"/>
      <c r="C65" s="104" t="s">
        <v>118</v>
      </c>
      <c r="D65" s="402"/>
      <c r="E65" s="399" t="s">
        <v>258</v>
      </c>
      <c r="F65" s="499" t="s">
        <v>475</v>
      </c>
      <c r="G65" s="500"/>
      <c r="H65" s="500"/>
      <c r="I65" s="500"/>
      <c r="J65" s="501"/>
      <c r="K65" s="502" t="s">
        <v>426</v>
      </c>
      <c r="L65" s="502"/>
      <c r="M65" s="51" t="s">
        <v>191</v>
      </c>
      <c r="N65" s="503" t="s">
        <v>205</v>
      </c>
      <c r="O65" s="503"/>
      <c r="P65" s="504">
        <v>100</v>
      </c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2</v>
      </c>
      <c r="B66" s="498"/>
      <c r="C66" s="104" t="s">
        <v>112</v>
      </c>
      <c r="D66" s="402"/>
      <c r="E66" s="399" t="s">
        <v>390</v>
      </c>
      <c r="F66" s="499" t="s">
        <v>389</v>
      </c>
      <c r="G66" s="500"/>
      <c r="H66" s="500"/>
      <c r="I66" s="500"/>
      <c r="J66" s="501"/>
      <c r="K66" s="502" t="s">
        <v>125</v>
      </c>
      <c r="L66" s="502"/>
      <c r="M66" s="51" t="s">
        <v>191</v>
      </c>
      <c r="N66" s="503" t="s">
        <v>131</v>
      </c>
      <c r="O66" s="503"/>
      <c r="P66" s="504">
        <f>50*4</f>
        <v>200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3</v>
      </c>
      <c r="B67" s="498"/>
      <c r="C67" s="104" t="s">
        <v>112</v>
      </c>
      <c r="D67" s="402"/>
      <c r="E67" s="399" t="s">
        <v>132</v>
      </c>
      <c r="F67" s="499" t="s">
        <v>480</v>
      </c>
      <c r="G67" s="500"/>
      <c r="H67" s="500"/>
      <c r="I67" s="500"/>
      <c r="J67" s="501"/>
      <c r="K67" s="502" t="s">
        <v>133</v>
      </c>
      <c r="L67" s="502"/>
      <c r="M67" s="51" t="s">
        <v>191</v>
      </c>
      <c r="N67" s="503" t="s">
        <v>131</v>
      </c>
      <c r="O67" s="503"/>
      <c r="P67" s="504"/>
      <c r="Q67" s="504"/>
      <c r="R67" s="478" t="s">
        <v>545</v>
      </c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4</v>
      </c>
      <c r="B68" s="498"/>
      <c r="C68" s="104" t="s">
        <v>112</v>
      </c>
      <c r="D68" s="402"/>
      <c r="E68" s="399" t="s">
        <v>132</v>
      </c>
      <c r="F68" s="499" t="s">
        <v>482</v>
      </c>
      <c r="G68" s="500"/>
      <c r="H68" s="500"/>
      <c r="I68" s="500"/>
      <c r="J68" s="501"/>
      <c r="K68" s="502" t="s">
        <v>133</v>
      </c>
      <c r="L68" s="502"/>
      <c r="M68" s="51" t="s">
        <v>191</v>
      </c>
      <c r="N68" s="503" t="s">
        <v>131</v>
      </c>
      <c r="O68" s="503"/>
      <c r="P68" s="504">
        <v>50</v>
      </c>
      <c r="Q68" s="504"/>
      <c r="R68" s="478" t="s">
        <v>546</v>
      </c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5</v>
      </c>
      <c r="B69" s="498"/>
      <c r="C69" s="104" t="s">
        <v>112</v>
      </c>
      <c r="D69" s="402"/>
      <c r="E69" s="399" t="s">
        <v>137</v>
      </c>
      <c r="F69" s="499" t="s">
        <v>434</v>
      </c>
      <c r="G69" s="500"/>
      <c r="H69" s="500"/>
      <c r="I69" s="500"/>
      <c r="J69" s="501"/>
      <c r="K69" s="502" t="s">
        <v>133</v>
      </c>
      <c r="L69" s="502"/>
      <c r="M69" s="51" t="s">
        <v>191</v>
      </c>
      <c r="N69" s="503" t="s">
        <v>211</v>
      </c>
      <c r="O69" s="503"/>
      <c r="P69" s="504">
        <v>400</v>
      </c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6</v>
      </c>
      <c r="B70" s="498"/>
      <c r="C70" s="104" t="s">
        <v>112</v>
      </c>
      <c r="D70" s="402"/>
      <c r="E70" s="399" t="s">
        <v>137</v>
      </c>
      <c r="F70" s="499" t="s">
        <v>200</v>
      </c>
      <c r="G70" s="500"/>
      <c r="H70" s="500"/>
      <c r="I70" s="500"/>
      <c r="J70" s="501"/>
      <c r="K70" s="502" t="s">
        <v>133</v>
      </c>
      <c r="L70" s="502"/>
      <c r="M70" s="51" t="s">
        <v>191</v>
      </c>
      <c r="N70" s="503" t="s">
        <v>211</v>
      </c>
      <c r="O70" s="503"/>
      <c r="P70" s="504">
        <v>400</v>
      </c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7</v>
      </c>
      <c r="B71" s="498"/>
      <c r="C71" s="104" t="s">
        <v>112</v>
      </c>
      <c r="D71" s="402"/>
      <c r="E71" s="399" t="s">
        <v>137</v>
      </c>
      <c r="F71" s="499" t="s">
        <v>461</v>
      </c>
      <c r="G71" s="500"/>
      <c r="H71" s="500"/>
      <c r="I71" s="500"/>
      <c r="J71" s="501"/>
      <c r="K71" s="502" t="s">
        <v>133</v>
      </c>
      <c r="L71" s="502"/>
      <c r="M71" s="51" t="s">
        <v>191</v>
      </c>
      <c r="N71" s="503" t="s">
        <v>182</v>
      </c>
      <c r="O71" s="503"/>
      <c r="P71" s="504">
        <f>60*7</f>
        <v>420</v>
      </c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8</v>
      </c>
      <c r="B72" s="498"/>
      <c r="C72" s="104"/>
      <c r="D72" s="402"/>
      <c r="E72" s="399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9</v>
      </c>
      <c r="B73" s="498"/>
      <c r="C73" s="104"/>
      <c r="D73" s="402"/>
      <c r="E73" s="399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10</v>
      </c>
      <c r="B74" s="498"/>
      <c r="C74" s="104"/>
      <c r="D74" s="402"/>
      <c r="E74" s="399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6.25" customHeight="1" thickBot="1">
      <c r="A75" s="507" t="s">
        <v>547</v>
      </c>
      <c r="B75" s="507"/>
      <c r="C75" s="507"/>
      <c r="D75" s="507"/>
      <c r="E75" s="50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8" t="s">
        <v>127</v>
      </c>
      <c r="B76" s="509"/>
      <c r="C76" s="401" t="s">
        <v>2</v>
      </c>
      <c r="D76" s="401" t="s">
        <v>37</v>
      </c>
      <c r="E76" s="401" t="s">
        <v>126</v>
      </c>
      <c r="F76" s="509" t="s">
        <v>38</v>
      </c>
      <c r="G76" s="509"/>
      <c r="H76" s="509"/>
      <c r="I76" s="509"/>
      <c r="J76" s="509"/>
      <c r="K76" s="510" t="s">
        <v>58</v>
      </c>
      <c r="L76" s="511"/>
      <c r="M76" s="511"/>
      <c r="N76" s="511"/>
      <c r="O76" s="511"/>
      <c r="P76" s="511"/>
      <c r="Q76" s="511"/>
      <c r="R76" s="511"/>
      <c r="S76" s="512"/>
      <c r="T76" s="509" t="s">
        <v>49</v>
      </c>
      <c r="U76" s="509"/>
      <c r="V76" s="510" t="s">
        <v>50</v>
      </c>
      <c r="W76" s="512"/>
      <c r="X76" s="511" t="s">
        <v>51</v>
      </c>
      <c r="Y76" s="511"/>
      <c r="Z76" s="511"/>
      <c r="AA76" s="511"/>
      <c r="AB76" s="511"/>
      <c r="AC76" s="511"/>
      <c r="AD76" s="513"/>
      <c r="AF76" s="50"/>
    </row>
    <row r="77" spans="1:32" ht="33.75" customHeight="1">
      <c r="A77" s="522">
        <v>1</v>
      </c>
      <c r="B77" s="523"/>
      <c r="C77" s="403" t="s">
        <v>112</v>
      </c>
      <c r="D77" s="403"/>
      <c r="E77" s="65" t="s">
        <v>117</v>
      </c>
      <c r="F77" s="524" t="s">
        <v>116</v>
      </c>
      <c r="G77" s="525"/>
      <c r="H77" s="525"/>
      <c r="I77" s="525"/>
      <c r="J77" s="526"/>
      <c r="K77" s="527" t="s">
        <v>119</v>
      </c>
      <c r="L77" s="528"/>
      <c r="M77" s="528"/>
      <c r="N77" s="528"/>
      <c r="O77" s="528"/>
      <c r="P77" s="528"/>
      <c r="Q77" s="528"/>
      <c r="R77" s="528"/>
      <c r="S77" s="529"/>
      <c r="T77" s="530">
        <v>44118</v>
      </c>
      <c r="U77" s="531"/>
      <c r="V77" s="532"/>
      <c r="W77" s="532"/>
      <c r="X77" s="533"/>
      <c r="Y77" s="533"/>
      <c r="Z77" s="533"/>
      <c r="AA77" s="533"/>
      <c r="AB77" s="533"/>
      <c r="AC77" s="533"/>
      <c r="AD77" s="534"/>
      <c r="AF77" s="50"/>
    </row>
    <row r="78" spans="1:32" ht="30" customHeight="1">
      <c r="A78" s="514">
        <f>A77+1</f>
        <v>2</v>
      </c>
      <c r="B78" s="515"/>
      <c r="C78" s="402"/>
      <c r="D78" s="402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ref="A79:A83" si="19">A78+1</f>
        <v>3</v>
      </c>
      <c r="B79" s="515"/>
      <c r="C79" s="402"/>
      <c r="D79" s="402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9"/>
        <v>4</v>
      </c>
      <c r="B80" s="515"/>
      <c r="C80" s="402"/>
      <c r="D80" s="402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9"/>
        <v>5</v>
      </c>
      <c r="B81" s="515"/>
      <c r="C81" s="402"/>
      <c r="D81" s="402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9"/>
        <v>6</v>
      </c>
      <c r="B82" s="515"/>
      <c r="C82" s="402"/>
      <c r="D82" s="402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9"/>
        <v>7</v>
      </c>
      <c r="B83" s="515"/>
      <c r="C83" s="402"/>
      <c r="D83" s="402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6" thickBot="1">
      <c r="A84" s="507" t="s">
        <v>548</v>
      </c>
      <c r="B84" s="507"/>
      <c r="C84" s="507"/>
      <c r="D84" s="507"/>
      <c r="E84" s="50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8" t="s">
        <v>111</v>
      </c>
      <c r="B85" s="509"/>
      <c r="C85" s="535" t="s">
        <v>52</v>
      </c>
      <c r="D85" s="535"/>
      <c r="E85" s="535" t="s">
        <v>53</v>
      </c>
      <c r="F85" s="535"/>
      <c r="G85" s="535"/>
      <c r="H85" s="535"/>
      <c r="I85" s="535"/>
      <c r="J85" s="535"/>
      <c r="K85" s="535" t="s">
        <v>54</v>
      </c>
      <c r="L85" s="535"/>
      <c r="M85" s="535"/>
      <c r="N85" s="535"/>
      <c r="O85" s="535"/>
      <c r="P85" s="535"/>
      <c r="Q85" s="535"/>
      <c r="R85" s="535"/>
      <c r="S85" s="535"/>
      <c r="T85" s="535" t="s">
        <v>55</v>
      </c>
      <c r="U85" s="535"/>
      <c r="V85" s="535" t="s">
        <v>56</v>
      </c>
      <c r="W85" s="535"/>
      <c r="X85" s="535"/>
      <c r="Y85" s="535" t="s">
        <v>51</v>
      </c>
      <c r="Z85" s="535"/>
      <c r="AA85" s="535"/>
      <c r="AB85" s="535"/>
      <c r="AC85" s="535"/>
      <c r="AD85" s="536"/>
      <c r="AF85" s="50"/>
    </row>
    <row r="86" spans="1:32" ht="30.75" customHeight="1">
      <c r="A86" s="522">
        <v>1</v>
      </c>
      <c r="B86" s="523"/>
      <c r="C86" s="537">
        <v>9</v>
      </c>
      <c r="D86" s="537"/>
      <c r="E86" s="537" t="s">
        <v>529</v>
      </c>
      <c r="F86" s="537"/>
      <c r="G86" s="537"/>
      <c r="H86" s="537"/>
      <c r="I86" s="537"/>
      <c r="J86" s="537"/>
      <c r="K86" s="537" t="s">
        <v>530</v>
      </c>
      <c r="L86" s="537"/>
      <c r="M86" s="537"/>
      <c r="N86" s="537"/>
      <c r="O86" s="537"/>
      <c r="P86" s="537"/>
      <c r="Q86" s="537"/>
      <c r="R86" s="537"/>
      <c r="S86" s="537"/>
      <c r="T86" s="537" t="s">
        <v>531</v>
      </c>
      <c r="U86" s="537"/>
      <c r="V86" s="538"/>
      <c r="W86" s="538"/>
      <c r="X86" s="538"/>
      <c r="Y86" s="539" t="s">
        <v>532</v>
      </c>
      <c r="Z86" s="539"/>
      <c r="AA86" s="539"/>
      <c r="AB86" s="539"/>
      <c r="AC86" s="539"/>
      <c r="AD86" s="540"/>
      <c r="AF86" s="50"/>
    </row>
    <row r="87" spans="1:32" ht="30.75" customHeight="1">
      <c r="A87" s="514">
        <v>2</v>
      </c>
      <c r="B87" s="51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9"/>
      <c r="U87" s="549"/>
      <c r="V87" s="550"/>
      <c r="W87" s="550"/>
      <c r="X87" s="550"/>
      <c r="Y87" s="541"/>
      <c r="Z87" s="541"/>
      <c r="AA87" s="541"/>
      <c r="AB87" s="541"/>
      <c r="AC87" s="541"/>
      <c r="AD87" s="542"/>
      <c r="AF87" s="50"/>
    </row>
    <row r="88" spans="1:32" ht="30.75" customHeight="1" thickBot="1">
      <c r="A88" s="543">
        <v>3</v>
      </c>
      <c r="B88" s="544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6"/>
      <c r="Z88" s="546"/>
      <c r="AA88" s="546"/>
      <c r="AB88" s="546"/>
      <c r="AC88" s="546"/>
      <c r="AD88" s="547"/>
      <c r="AF88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D51E-F734-41D9-9028-54A3CA05D220}">
  <dimension ref="A1:AF87"/>
  <sheetViews>
    <sheetView view="pageBreakPreview" zoomScale="70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549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404" t="s">
        <v>17</v>
      </c>
      <c r="L5" s="404" t="s">
        <v>18</v>
      </c>
      <c r="M5" s="404" t="s">
        <v>19</v>
      </c>
      <c r="N5" s="40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57</v>
      </c>
      <c r="C6" s="34" t="s">
        <v>112</v>
      </c>
      <c r="D6" s="52" t="s">
        <v>258</v>
      </c>
      <c r="E6" s="53" t="s">
        <v>506</v>
      </c>
      <c r="F6" s="30" t="s">
        <v>534</v>
      </c>
      <c r="G6" s="12">
        <v>1</v>
      </c>
      <c r="H6" s="13">
        <v>24</v>
      </c>
      <c r="I6" s="7">
        <v>2000</v>
      </c>
      <c r="J6" s="14">
        <v>2831</v>
      </c>
      <c r="K6" s="15">
        <f>L6+2831</f>
        <v>2831</v>
      </c>
      <c r="L6" s="15"/>
      <c r="M6" s="15">
        <f t="shared" ref="M6:M21" si="0">L6-N6</f>
        <v>0</v>
      </c>
      <c r="N6" s="15">
        <v>0</v>
      </c>
      <c r="O6" s="58" t="str">
        <f t="shared" ref="O6:O22" si="1">IF(L6=0,"0",N6/L6)</f>
        <v>0</v>
      </c>
      <c r="P6" s="39" t="str">
        <f t="shared" ref="P6:P21" si="2">IF(L6=0,"0",(24-Q6))</f>
        <v>0</v>
      </c>
      <c r="Q6" s="40">
        <f t="shared" ref="Q6:Q21" si="3">SUM(R6:AA6)</f>
        <v>24</v>
      </c>
      <c r="R6" s="7"/>
      <c r="S6" s="6"/>
      <c r="T6" s="16"/>
      <c r="U6" s="16"/>
      <c r="V6" s="17"/>
      <c r="W6" s="5"/>
      <c r="X6" s="16"/>
      <c r="Y6" s="16"/>
      <c r="Z6" s="16"/>
      <c r="AA6" s="18">
        <v>24</v>
      </c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6">
        <f t="shared" ref="AE6:AE21" si="7">$AD$22</f>
        <v>0.484375</v>
      </c>
      <c r="AF6" s="84">
        <f t="shared" ref="AF6:AF21" si="8">A6</f>
        <v>1</v>
      </c>
    </row>
    <row r="7" spans="1:32" ht="27" customHeight="1">
      <c r="A7" s="112">
        <v>2</v>
      </c>
      <c r="B7" s="11" t="s">
        <v>57</v>
      </c>
      <c r="C7" s="34" t="s">
        <v>120</v>
      </c>
      <c r="D7" s="52"/>
      <c r="E7" s="53" t="s">
        <v>241</v>
      </c>
      <c r="F7" s="12" t="s">
        <v>129</v>
      </c>
      <c r="G7" s="12">
        <v>2</v>
      </c>
      <c r="H7" s="13">
        <v>24</v>
      </c>
      <c r="I7" s="31">
        <v>46500</v>
      </c>
      <c r="J7" s="14">
        <v>7152</v>
      </c>
      <c r="K7" s="15">
        <f>L7+10614+8368+10244+7142+11264+7152</f>
        <v>54784</v>
      </c>
      <c r="L7" s="15"/>
      <c r="M7" s="15">
        <f t="shared" si="0"/>
        <v>0</v>
      </c>
      <c r="N7" s="15">
        <v>0</v>
      </c>
      <c r="O7" s="58" t="str">
        <f t="shared" si="1"/>
        <v>0</v>
      </c>
      <c r="P7" s="39" t="str">
        <f t="shared" si="2"/>
        <v>0</v>
      </c>
      <c r="Q7" s="40">
        <f t="shared" si="3"/>
        <v>24</v>
      </c>
      <c r="R7" s="7"/>
      <c r="S7" s="6"/>
      <c r="T7" s="16"/>
      <c r="U7" s="16"/>
      <c r="V7" s="17"/>
      <c r="W7" s="5"/>
      <c r="X7" s="16"/>
      <c r="Y7" s="16"/>
      <c r="Z7" s="16"/>
      <c r="AA7" s="18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6">
        <f t="shared" si="7"/>
        <v>0.484375</v>
      </c>
      <c r="AF7" s="84">
        <f t="shared" si="8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137</v>
      </c>
      <c r="E8" s="53" t="s">
        <v>440</v>
      </c>
      <c r="F8" s="30" t="s">
        <v>133</v>
      </c>
      <c r="G8" s="33">
        <v>2</v>
      </c>
      <c r="H8" s="35">
        <v>24</v>
      </c>
      <c r="I8" s="7">
        <v>1000</v>
      </c>
      <c r="J8" s="5">
        <v>1000</v>
      </c>
      <c r="K8" s="15">
        <f>L8+1000+1000</f>
        <v>2000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 t="shared" si="7"/>
        <v>0.484375</v>
      </c>
      <c r="AF8" s="84">
        <f t="shared" si="8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f>65000+75000</f>
        <v>140000</v>
      </c>
      <c r="J9" s="14">
        <v>5456</v>
      </c>
      <c r="K9" s="15">
        <f>L9+1344+2695+2818+1363+3398+4807+5146+5399+5363+4916+4752+2389+5076+5367+4162+3442+4709+5270+3351+4112+5541+1793+4649+4573+4828+4143+5461+5507+2538+4958+5313+5492</f>
        <v>140131</v>
      </c>
      <c r="L9" s="15">
        <f>2586+2870</f>
        <v>5456</v>
      </c>
      <c r="M9" s="15">
        <f t="shared" si="0"/>
        <v>5456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 t="shared" si="7"/>
        <v>0.484375</v>
      </c>
      <c r="AF9" s="84">
        <f t="shared" si="8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151</v>
      </c>
      <c r="E10" s="53" t="s">
        <v>489</v>
      </c>
      <c r="F10" s="30" t="s">
        <v>133</v>
      </c>
      <c r="G10" s="33">
        <v>1</v>
      </c>
      <c r="H10" s="35">
        <v>24</v>
      </c>
      <c r="I10" s="7">
        <v>13000</v>
      </c>
      <c r="J10" s="14">
        <v>6225</v>
      </c>
      <c r="K10" s="15">
        <f>L10+3146+6390+6403</f>
        <v>22164</v>
      </c>
      <c r="L10" s="15">
        <f>2941+3284</f>
        <v>6225</v>
      </c>
      <c r="M10" s="15">
        <f t="shared" si="0"/>
        <v>6225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 t="shared" si="7"/>
        <v>0.484375</v>
      </c>
      <c r="AF10" s="84">
        <f t="shared" si="8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/>
      <c r="E11" s="53" t="s">
        <v>535</v>
      </c>
      <c r="F11" s="30" t="s">
        <v>276</v>
      </c>
      <c r="G11" s="33">
        <v>1</v>
      </c>
      <c r="H11" s="35">
        <v>24</v>
      </c>
      <c r="I11" s="7">
        <v>500</v>
      </c>
      <c r="J11" s="14">
        <v>609</v>
      </c>
      <c r="K11" s="15">
        <f>L11+609</f>
        <v>609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20</v>
      </c>
      <c r="R11" s="7"/>
      <c r="S11" s="6"/>
      <c r="T11" s="16"/>
      <c r="U11" s="16"/>
      <c r="V11" s="17"/>
      <c r="W11" s="5">
        <v>20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 t="shared" si="7"/>
        <v>0.484375</v>
      </c>
      <c r="AF11" s="84">
        <f t="shared" si="8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80000</v>
      </c>
      <c r="J12" s="5">
        <v>5266</v>
      </c>
      <c r="K12" s="15">
        <f>L12+4597+5041+5597+5567+5537+3364+5103+4208+3250+4473+4603+3900+3271</f>
        <v>63777</v>
      </c>
      <c r="L12" s="15">
        <f>2353+2913</f>
        <v>5266</v>
      </c>
      <c r="M12" s="15">
        <f t="shared" si="0"/>
        <v>5266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6">
        <f t="shared" si="7"/>
        <v>0.484375</v>
      </c>
      <c r="AF12" s="84">
        <f t="shared" si="8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543</v>
      </c>
      <c r="F13" s="30" t="s">
        <v>550</v>
      </c>
      <c r="G13" s="33">
        <v>1</v>
      </c>
      <c r="H13" s="35">
        <v>24</v>
      </c>
      <c r="I13" s="7">
        <v>2000</v>
      </c>
      <c r="J13" s="14">
        <v>1510</v>
      </c>
      <c r="K13" s="15">
        <f>L13</f>
        <v>1510</v>
      </c>
      <c r="L13" s="15">
        <f>767+743</f>
        <v>1510</v>
      </c>
      <c r="M13" s="15">
        <f t="shared" si="0"/>
        <v>1510</v>
      </c>
      <c r="N13" s="15">
        <v>0</v>
      </c>
      <c r="O13" s="58">
        <f t="shared" si="1"/>
        <v>0</v>
      </c>
      <c r="P13" s="39">
        <f t="shared" si="2"/>
        <v>22</v>
      </c>
      <c r="Q13" s="40">
        <f t="shared" si="3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4"/>
        <v>1</v>
      </c>
      <c r="AC13" s="9">
        <f t="shared" si="5"/>
        <v>0.91666666666666663</v>
      </c>
      <c r="AD13" s="10">
        <f t="shared" si="6"/>
        <v>0.91666666666666663</v>
      </c>
      <c r="AE13" s="36">
        <f t="shared" si="7"/>
        <v>0.484375</v>
      </c>
      <c r="AF13" s="84">
        <f t="shared" si="8"/>
        <v>8</v>
      </c>
    </row>
    <row r="14" spans="1:32" ht="27" customHeight="1">
      <c r="A14" s="105">
        <v>9</v>
      </c>
      <c r="B14" s="11" t="s">
        <v>57</v>
      </c>
      <c r="C14" s="34" t="s">
        <v>112</v>
      </c>
      <c r="D14" s="52" t="s">
        <v>115</v>
      </c>
      <c r="E14" s="53" t="s">
        <v>408</v>
      </c>
      <c r="F14" s="30" t="s">
        <v>413</v>
      </c>
      <c r="G14" s="33">
        <v>1</v>
      </c>
      <c r="H14" s="35">
        <v>50</v>
      </c>
      <c r="I14" s="7">
        <v>300</v>
      </c>
      <c r="J14" s="5">
        <v>452</v>
      </c>
      <c r="K14" s="15">
        <f>L14+452</f>
        <v>452</v>
      </c>
      <c r="L14" s="15"/>
      <c r="M14" s="15">
        <f t="shared" si="0"/>
        <v>0</v>
      </c>
      <c r="N14" s="15">
        <v>0</v>
      </c>
      <c r="O14" s="58" t="str">
        <f t="shared" si="1"/>
        <v>0</v>
      </c>
      <c r="P14" s="39" t="str">
        <f t="shared" si="2"/>
        <v>0</v>
      </c>
      <c r="Q14" s="40">
        <f t="shared" si="3"/>
        <v>24</v>
      </c>
      <c r="R14" s="7">
        <v>24</v>
      </c>
      <c r="S14" s="6"/>
      <c r="T14" s="16"/>
      <c r="U14" s="16"/>
      <c r="V14" s="17"/>
      <c r="W14" s="5"/>
      <c r="X14" s="16"/>
      <c r="Y14" s="16"/>
      <c r="Z14" s="16"/>
      <c r="AA14" s="18"/>
      <c r="AB14" s="8">
        <f t="shared" si="4"/>
        <v>0</v>
      </c>
      <c r="AC14" s="9">
        <f t="shared" si="5"/>
        <v>0</v>
      </c>
      <c r="AD14" s="10">
        <f t="shared" si="6"/>
        <v>0</v>
      </c>
      <c r="AE14" s="36">
        <f t="shared" si="7"/>
        <v>0.484375</v>
      </c>
      <c r="AF14" s="84">
        <f t="shared" si="8"/>
        <v>9</v>
      </c>
    </row>
    <row r="15" spans="1:32" ht="27" customHeight="1">
      <c r="A15" s="95">
        <v>10</v>
      </c>
      <c r="B15" s="11" t="s">
        <v>57</v>
      </c>
      <c r="C15" s="34" t="s">
        <v>120</v>
      </c>
      <c r="D15" s="52"/>
      <c r="E15" s="53" t="s">
        <v>160</v>
      </c>
      <c r="F15" s="12" t="s">
        <v>129</v>
      </c>
      <c r="G15" s="12">
        <v>1</v>
      </c>
      <c r="H15" s="13">
        <v>24</v>
      </c>
      <c r="I15" s="31">
        <v>2000</v>
      </c>
      <c r="J15" s="14">
        <v>3470</v>
      </c>
      <c r="K15" s="15">
        <f>L15</f>
        <v>3470</v>
      </c>
      <c r="L15" s="15">
        <f>712+2758</f>
        <v>3470</v>
      </c>
      <c r="M15" s="15">
        <f t="shared" si="0"/>
        <v>3470</v>
      </c>
      <c r="N15" s="15">
        <v>0</v>
      </c>
      <c r="O15" s="58">
        <f t="shared" si="1"/>
        <v>0</v>
      </c>
      <c r="P15" s="39">
        <f t="shared" si="2"/>
        <v>18</v>
      </c>
      <c r="Q15" s="40">
        <f t="shared" si="3"/>
        <v>6</v>
      </c>
      <c r="R15" s="7"/>
      <c r="S15" s="6"/>
      <c r="T15" s="16">
        <v>6</v>
      </c>
      <c r="U15" s="16"/>
      <c r="V15" s="17"/>
      <c r="W15" s="5"/>
      <c r="X15" s="16"/>
      <c r="Y15" s="16"/>
      <c r="Z15" s="16"/>
      <c r="AA15" s="18"/>
      <c r="AB15" s="8">
        <f t="shared" si="4"/>
        <v>1</v>
      </c>
      <c r="AC15" s="9">
        <f t="shared" si="5"/>
        <v>0.75</v>
      </c>
      <c r="AD15" s="10">
        <f t="shared" si="6"/>
        <v>0.75</v>
      </c>
      <c r="AE15" s="36">
        <f t="shared" si="7"/>
        <v>0.484375</v>
      </c>
      <c r="AF15" s="84">
        <f t="shared" si="8"/>
        <v>10</v>
      </c>
    </row>
    <row r="16" spans="1:32" ht="30" customHeight="1">
      <c r="A16" s="112">
        <v>11</v>
      </c>
      <c r="B16" s="11" t="s">
        <v>57</v>
      </c>
      <c r="C16" s="34" t="s">
        <v>118</v>
      </c>
      <c r="D16" s="52" t="s">
        <v>219</v>
      </c>
      <c r="E16" s="53" t="s">
        <v>220</v>
      </c>
      <c r="F16" s="30" t="s">
        <v>133</v>
      </c>
      <c r="G16" s="12">
        <v>1</v>
      </c>
      <c r="H16" s="13">
        <v>24</v>
      </c>
      <c r="I16" s="7">
        <v>95000</v>
      </c>
      <c r="J16" s="14">
        <v>763</v>
      </c>
      <c r="K16" s="15">
        <f>L16+4303+5850+5280+5606+5547+5173+5805+5835+6039+5589+5810+3971+5819+5852+2621+5478+5830+763</f>
        <v>91171</v>
      </c>
      <c r="L16" s="15"/>
      <c r="M16" s="15">
        <f t="shared" si="0"/>
        <v>0</v>
      </c>
      <c r="N16" s="15">
        <v>0</v>
      </c>
      <c r="O16" s="58" t="str">
        <f t="shared" si="1"/>
        <v>0</v>
      </c>
      <c r="P16" s="39" t="str">
        <f t="shared" si="2"/>
        <v>0</v>
      </c>
      <c r="Q16" s="40">
        <f t="shared" si="3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4"/>
        <v>0</v>
      </c>
      <c r="AC16" s="9">
        <f t="shared" si="5"/>
        <v>0</v>
      </c>
      <c r="AD16" s="10">
        <f t="shared" si="6"/>
        <v>0</v>
      </c>
      <c r="AE16" s="36">
        <f t="shared" si="7"/>
        <v>0.484375</v>
      </c>
      <c r="AF16" s="84">
        <f t="shared" si="8"/>
        <v>11</v>
      </c>
    </row>
    <row r="17" spans="1:32" ht="30" customHeight="1">
      <c r="A17" s="95">
        <v>12</v>
      </c>
      <c r="B17" s="11" t="s">
        <v>57</v>
      </c>
      <c r="C17" s="34" t="s">
        <v>188</v>
      </c>
      <c r="D17" s="52" t="s">
        <v>296</v>
      </c>
      <c r="E17" s="53" t="s">
        <v>295</v>
      </c>
      <c r="F17" s="30" t="s">
        <v>303</v>
      </c>
      <c r="G17" s="12">
        <v>5</v>
      </c>
      <c r="H17" s="13">
        <v>24</v>
      </c>
      <c r="I17" s="7">
        <v>200000</v>
      </c>
      <c r="J17" s="14">
        <v>45320</v>
      </c>
      <c r="K17" s="15">
        <f>L17+33015+35895+37090+38775+40475+36685+38795+38720+10865+37785+45525</f>
        <v>438945</v>
      </c>
      <c r="L17" s="15">
        <f>4307*5+4757*5</f>
        <v>45320</v>
      </c>
      <c r="M17" s="15">
        <f t="shared" si="0"/>
        <v>45320</v>
      </c>
      <c r="N17" s="15">
        <v>0</v>
      </c>
      <c r="O17" s="58">
        <f t="shared" si="1"/>
        <v>0</v>
      </c>
      <c r="P17" s="39">
        <f t="shared" si="2"/>
        <v>24</v>
      </c>
      <c r="Q17" s="40">
        <f t="shared" si="3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1</v>
      </c>
      <c r="AD17" s="10">
        <f t="shared" si="6"/>
        <v>1</v>
      </c>
      <c r="AE17" s="36">
        <f t="shared" si="7"/>
        <v>0.484375</v>
      </c>
      <c r="AF17" s="84">
        <f t="shared" si="8"/>
        <v>12</v>
      </c>
    </row>
    <row r="18" spans="1:32" ht="27" customHeight="1">
      <c r="A18" s="96">
        <v>13</v>
      </c>
      <c r="B18" s="11" t="s">
        <v>57</v>
      </c>
      <c r="C18" s="11" t="s">
        <v>118</v>
      </c>
      <c r="D18" s="52" t="s">
        <v>115</v>
      </c>
      <c r="E18" s="53" t="s">
        <v>474</v>
      </c>
      <c r="F18" s="30" t="s">
        <v>142</v>
      </c>
      <c r="G18" s="33">
        <v>1</v>
      </c>
      <c r="H18" s="35">
        <v>24</v>
      </c>
      <c r="I18" s="7">
        <v>50000</v>
      </c>
      <c r="J18" s="14">
        <v>1657</v>
      </c>
      <c r="K18" s="15">
        <f>L18+4334+5583+3182</f>
        <v>14756</v>
      </c>
      <c r="L18" s="15">
        <f>305+1352</f>
        <v>1657</v>
      </c>
      <c r="M18" s="15">
        <f t="shared" si="0"/>
        <v>1657</v>
      </c>
      <c r="N18" s="15">
        <v>0</v>
      </c>
      <c r="O18" s="58">
        <f t="shared" si="1"/>
        <v>0</v>
      </c>
      <c r="P18" s="39">
        <f t="shared" si="2"/>
        <v>9</v>
      </c>
      <c r="Q18" s="40">
        <f t="shared" si="3"/>
        <v>15</v>
      </c>
      <c r="R18" s="7"/>
      <c r="S18" s="6">
        <v>15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0.375</v>
      </c>
      <c r="AD18" s="10">
        <f t="shared" si="6"/>
        <v>0.375</v>
      </c>
      <c r="AE18" s="36">
        <f t="shared" si="7"/>
        <v>0.484375</v>
      </c>
      <c r="AF18" s="84">
        <f t="shared" si="8"/>
        <v>13</v>
      </c>
    </row>
    <row r="19" spans="1:32" ht="27" customHeight="1">
      <c r="A19" s="96">
        <v>14</v>
      </c>
      <c r="B19" s="11" t="s">
        <v>57</v>
      </c>
      <c r="C19" s="11" t="s">
        <v>112</v>
      </c>
      <c r="D19" s="52" t="s">
        <v>140</v>
      </c>
      <c r="E19" s="53" t="s">
        <v>507</v>
      </c>
      <c r="F19" s="30" t="s">
        <v>142</v>
      </c>
      <c r="G19" s="33">
        <v>1</v>
      </c>
      <c r="H19" s="35">
        <v>24</v>
      </c>
      <c r="I19" s="7">
        <v>2000</v>
      </c>
      <c r="J19" s="14">
        <v>2133</v>
      </c>
      <c r="K19" s="15">
        <f>L19+2133</f>
        <v>2133</v>
      </c>
      <c r="L19" s="15"/>
      <c r="M19" s="15">
        <f t="shared" si="0"/>
        <v>0</v>
      </c>
      <c r="N19" s="15">
        <v>0</v>
      </c>
      <c r="O19" s="58" t="str">
        <f t="shared" si="1"/>
        <v>0</v>
      </c>
      <c r="P19" s="39" t="str">
        <f t="shared" si="2"/>
        <v>0</v>
      </c>
      <c r="Q19" s="40">
        <f t="shared" si="3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4"/>
        <v>0</v>
      </c>
      <c r="AC19" s="9">
        <f t="shared" si="5"/>
        <v>0</v>
      </c>
      <c r="AD19" s="10">
        <f t="shared" si="6"/>
        <v>0</v>
      </c>
      <c r="AE19" s="36">
        <f t="shared" si="7"/>
        <v>0.484375</v>
      </c>
      <c r="AF19" s="84">
        <f t="shared" si="8"/>
        <v>14</v>
      </c>
    </row>
    <row r="20" spans="1:32" ht="30" customHeight="1">
      <c r="A20" s="112">
        <v>15</v>
      </c>
      <c r="B20" s="11" t="s">
        <v>57</v>
      </c>
      <c r="C20" s="34" t="s">
        <v>112</v>
      </c>
      <c r="D20" s="52" t="s">
        <v>132</v>
      </c>
      <c r="E20" s="53" t="s">
        <v>551</v>
      </c>
      <c r="F20" s="30" t="s">
        <v>550</v>
      </c>
      <c r="G20" s="12">
        <v>1</v>
      </c>
      <c r="H20" s="13">
        <v>24</v>
      </c>
      <c r="I20" s="7">
        <v>6000</v>
      </c>
      <c r="J20" s="14">
        <v>3956</v>
      </c>
      <c r="K20" s="15">
        <f>L20</f>
        <v>3956</v>
      </c>
      <c r="L20" s="15">
        <f>1367+2589</f>
        <v>3956</v>
      </c>
      <c r="M20" s="15">
        <f t="shared" si="0"/>
        <v>3956</v>
      </c>
      <c r="N20" s="15">
        <v>0</v>
      </c>
      <c r="O20" s="58">
        <f t="shared" si="1"/>
        <v>0</v>
      </c>
      <c r="P20" s="39">
        <f t="shared" si="2"/>
        <v>19</v>
      </c>
      <c r="Q20" s="40">
        <f t="shared" si="3"/>
        <v>5</v>
      </c>
      <c r="R20" s="7"/>
      <c r="S20" s="6">
        <v>2</v>
      </c>
      <c r="T20" s="16">
        <v>3</v>
      </c>
      <c r="U20" s="16"/>
      <c r="V20" s="17"/>
      <c r="W20" s="5"/>
      <c r="X20" s="16"/>
      <c r="Y20" s="16"/>
      <c r="Z20" s="16"/>
      <c r="AA20" s="18"/>
      <c r="AB20" s="8">
        <f t="shared" si="4"/>
        <v>1</v>
      </c>
      <c r="AC20" s="9">
        <f t="shared" si="5"/>
        <v>0.79166666666666663</v>
      </c>
      <c r="AD20" s="10">
        <f t="shared" si="6"/>
        <v>0.79166666666666663</v>
      </c>
      <c r="AE20" s="36">
        <f t="shared" si="7"/>
        <v>0.484375</v>
      </c>
      <c r="AF20" s="84">
        <f t="shared" si="8"/>
        <v>15</v>
      </c>
    </row>
    <row r="21" spans="1:32" ht="27" customHeight="1" thickBot="1">
      <c r="A21" s="96">
        <v>16</v>
      </c>
      <c r="B21" s="11" t="s">
        <v>57</v>
      </c>
      <c r="C21" s="11" t="s">
        <v>113</v>
      </c>
      <c r="D21" s="52"/>
      <c r="E21" s="53" t="s">
        <v>306</v>
      </c>
      <c r="F21" s="12" t="s">
        <v>114</v>
      </c>
      <c r="G21" s="12">
        <v>4</v>
      </c>
      <c r="H21" s="35">
        <v>20</v>
      </c>
      <c r="I21" s="7">
        <v>800000</v>
      </c>
      <c r="J21" s="14">
        <v>57192</v>
      </c>
      <c r="K21" s="15">
        <f>L21+52848+58908+58380+58904+60440+12000+48800+57140+58388+26200+49588+57728+58100</f>
        <v>714616</v>
      </c>
      <c r="L21" s="15">
        <f>6795*4+7503*4</f>
        <v>57192</v>
      </c>
      <c r="M21" s="15">
        <f t="shared" si="0"/>
        <v>57192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 t="shared" si="7"/>
        <v>0.484375</v>
      </c>
      <c r="AF21" s="84">
        <f t="shared" si="8"/>
        <v>16</v>
      </c>
    </row>
    <row r="22" spans="1:32" ht="31.5" customHeight="1" thickBot="1">
      <c r="A22" s="444" t="s">
        <v>34</v>
      </c>
      <c r="B22" s="445"/>
      <c r="C22" s="445"/>
      <c r="D22" s="445"/>
      <c r="E22" s="445"/>
      <c r="F22" s="445"/>
      <c r="G22" s="445"/>
      <c r="H22" s="446"/>
      <c r="I22" s="22">
        <f t="shared" ref="I22:N22" si="9">SUM(I6:I21)</f>
        <v>1440300</v>
      </c>
      <c r="J22" s="19">
        <f t="shared" si="9"/>
        <v>144992</v>
      </c>
      <c r="K22" s="20">
        <f t="shared" si="9"/>
        <v>1557305</v>
      </c>
      <c r="L22" s="21">
        <f t="shared" si="9"/>
        <v>130052</v>
      </c>
      <c r="M22" s="20">
        <f t="shared" si="9"/>
        <v>130052</v>
      </c>
      <c r="N22" s="21">
        <f t="shared" si="9"/>
        <v>0</v>
      </c>
      <c r="O22" s="41">
        <f t="shared" si="1"/>
        <v>0</v>
      </c>
      <c r="P22" s="42">
        <f t="shared" ref="P22:AA22" si="10">SUM(P6:P21)</f>
        <v>186</v>
      </c>
      <c r="Q22" s="43">
        <f t="shared" si="10"/>
        <v>194</v>
      </c>
      <c r="R22" s="23">
        <f t="shared" si="10"/>
        <v>24</v>
      </c>
      <c r="S22" s="24">
        <f t="shared" si="10"/>
        <v>21</v>
      </c>
      <c r="T22" s="24">
        <f t="shared" si="10"/>
        <v>9</v>
      </c>
      <c r="U22" s="24">
        <f t="shared" si="10"/>
        <v>0</v>
      </c>
      <c r="V22" s="25">
        <f t="shared" si="10"/>
        <v>0</v>
      </c>
      <c r="W22" s="26">
        <f t="shared" si="10"/>
        <v>68</v>
      </c>
      <c r="X22" s="27">
        <f t="shared" si="10"/>
        <v>0</v>
      </c>
      <c r="Y22" s="27">
        <f t="shared" si="10"/>
        <v>0</v>
      </c>
      <c r="Z22" s="27">
        <f t="shared" si="10"/>
        <v>0</v>
      </c>
      <c r="AA22" s="27">
        <f t="shared" si="10"/>
        <v>72</v>
      </c>
      <c r="AB22" s="28">
        <f>AVERAGE(AB6:AB21)</f>
        <v>0.5625</v>
      </c>
      <c r="AC22" s="4">
        <f>AVERAGE(AC6:AC21)</f>
        <v>0.484375</v>
      </c>
      <c r="AD22" s="4">
        <f>AVERAGE(AD6:AD21)</f>
        <v>0.484375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5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447" t="s">
        <v>45</v>
      </c>
      <c r="B49" s="447"/>
      <c r="C49" s="447"/>
      <c r="D49" s="447"/>
      <c r="E49" s="44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448" t="s">
        <v>552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49"/>
      <c r="L50" s="449"/>
      <c r="M50" s="450"/>
      <c r="N50" s="451" t="s">
        <v>555</v>
      </c>
      <c r="O50" s="452"/>
      <c r="P50" s="452"/>
      <c r="Q50" s="452"/>
      <c r="R50" s="452"/>
      <c r="S50" s="452"/>
      <c r="T50" s="452"/>
      <c r="U50" s="452"/>
      <c r="V50" s="452"/>
      <c r="W50" s="452"/>
      <c r="X50" s="452"/>
      <c r="Y50" s="452"/>
      <c r="Z50" s="452"/>
      <c r="AA50" s="452"/>
      <c r="AB50" s="452"/>
      <c r="AC50" s="452"/>
      <c r="AD50" s="453"/>
    </row>
    <row r="51" spans="1:32" ht="27" customHeight="1">
      <c r="A51" s="454" t="s">
        <v>2</v>
      </c>
      <c r="B51" s="455"/>
      <c r="C51" s="405" t="s">
        <v>46</v>
      </c>
      <c r="D51" s="405" t="s">
        <v>47</v>
      </c>
      <c r="E51" s="405" t="s">
        <v>107</v>
      </c>
      <c r="F51" s="456" t="s">
        <v>106</v>
      </c>
      <c r="G51" s="457"/>
      <c r="H51" s="457"/>
      <c r="I51" s="457"/>
      <c r="J51" s="457"/>
      <c r="K51" s="457"/>
      <c r="L51" s="457"/>
      <c r="M51" s="458"/>
      <c r="N51" s="67" t="s">
        <v>110</v>
      </c>
      <c r="O51" s="405" t="s">
        <v>46</v>
      </c>
      <c r="P51" s="456" t="s">
        <v>47</v>
      </c>
      <c r="Q51" s="459"/>
      <c r="R51" s="456" t="s">
        <v>38</v>
      </c>
      <c r="S51" s="457"/>
      <c r="T51" s="457"/>
      <c r="U51" s="459"/>
      <c r="V51" s="456" t="s">
        <v>48</v>
      </c>
      <c r="W51" s="457"/>
      <c r="X51" s="457"/>
      <c r="Y51" s="457"/>
      <c r="Z51" s="457"/>
      <c r="AA51" s="457"/>
      <c r="AB51" s="457"/>
      <c r="AC51" s="457"/>
      <c r="AD51" s="458"/>
    </row>
    <row r="52" spans="1:32" ht="27" customHeight="1">
      <c r="A52" s="480" t="s">
        <v>118</v>
      </c>
      <c r="B52" s="481"/>
      <c r="C52" s="408" t="s">
        <v>149</v>
      </c>
      <c r="D52" s="408" t="s">
        <v>115</v>
      </c>
      <c r="E52" s="408" t="s">
        <v>294</v>
      </c>
      <c r="F52" s="472" t="s">
        <v>540</v>
      </c>
      <c r="G52" s="473"/>
      <c r="H52" s="473"/>
      <c r="I52" s="473"/>
      <c r="J52" s="473"/>
      <c r="K52" s="473"/>
      <c r="L52" s="473"/>
      <c r="M52" s="474"/>
      <c r="N52" s="407" t="s">
        <v>112</v>
      </c>
      <c r="O52" s="413" t="s">
        <v>128</v>
      </c>
      <c r="P52" s="475" t="s">
        <v>115</v>
      </c>
      <c r="Q52" s="476"/>
      <c r="R52" s="475" t="s">
        <v>508</v>
      </c>
      <c r="S52" s="477"/>
      <c r="T52" s="477"/>
      <c r="U52" s="476"/>
      <c r="V52" s="478" t="s">
        <v>187</v>
      </c>
      <c r="W52" s="478"/>
      <c r="X52" s="478"/>
      <c r="Y52" s="478"/>
      <c r="Z52" s="478"/>
      <c r="AA52" s="478"/>
      <c r="AB52" s="478"/>
      <c r="AC52" s="478"/>
      <c r="AD52" s="479"/>
    </row>
    <row r="53" spans="1:32" ht="27" customHeight="1">
      <c r="A53" s="480" t="s">
        <v>112</v>
      </c>
      <c r="B53" s="481"/>
      <c r="C53" s="408" t="s">
        <v>128</v>
      </c>
      <c r="D53" s="408" t="s">
        <v>115</v>
      </c>
      <c r="E53" s="408" t="s">
        <v>543</v>
      </c>
      <c r="F53" s="472" t="s">
        <v>553</v>
      </c>
      <c r="G53" s="473"/>
      <c r="H53" s="473"/>
      <c r="I53" s="473"/>
      <c r="J53" s="473"/>
      <c r="K53" s="473"/>
      <c r="L53" s="473"/>
      <c r="M53" s="474"/>
      <c r="N53" s="407" t="s">
        <v>188</v>
      </c>
      <c r="O53" s="413" t="s">
        <v>211</v>
      </c>
      <c r="P53" s="475" t="s">
        <v>115</v>
      </c>
      <c r="Q53" s="476"/>
      <c r="R53" s="475" t="s">
        <v>282</v>
      </c>
      <c r="S53" s="477"/>
      <c r="T53" s="477"/>
      <c r="U53" s="476"/>
      <c r="V53" s="478" t="s">
        <v>187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120</v>
      </c>
      <c r="B54" s="481"/>
      <c r="C54" s="408" t="s">
        <v>268</v>
      </c>
      <c r="D54" s="408"/>
      <c r="E54" s="408" t="s">
        <v>160</v>
      </c>
      <c r="F54" s="472" t="s">
        <v>554</v>
      </c>
      <c r="G54" s="473"/>
      <c r="H54" s="473"/>
      <c r="I54" s="473"/>
      <c r="J54" s="473"/>
      <c r="K54" s="473"/>
      <c r="L54" s="473"/>
      <c r="M54" s="474"/>
      <c r="N54" s="407" t="s">
        <v>118</v>
      </c>
      <c r="O54" s="413" t="s">
        <v>214</v>
      </c>
      <c r="P54" s="475" t="s">
        <v>115</v>
      </c>
      <c r="Q54" s="476"/>
      <c r="R54" s="475" t="s">
        <v>474</v>
      </c>
      <c r="S54" s="477"/>
      <c r="T54" s="477"/>
      <c r="U54" s="476"/>
      <c r="V54" s="478" t="s">
        <v>124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118</v>
      </c>
      <c r="B55" s="481"/>
      <c r="C55" s="408" t="s">
        <v>214</v>
      </c>
      <c r="D55" s="408" t="s">
        <v>115</v>
      </c>
      <c r="E55" s="408" t="s">
        <v>474</v>
      </c>
      <c r="F55" s="472" t="s">
        <v>170</v>
      </c>
      <c r="G55" s="473"/>
      <c r="H55" s="473"/>
      <c r="I55" s="473"/>
      <c r="J55" s="473"/>
      <c r="K55" s="473"/>
      <c r="L55" s="473"/>
      <c r="M55" s="474"/>
      <c r="N55" s="407" t="s">
        <v>112</v>
      </c>
      <c r="O55" s="413" t="s">
        <v>209</v>
      </c>
      <c r="P55" s="475" t="s">
        <v>115</v>
      </c>
      <c r="Q55" s="476"/>
      <c r="R55" s="475" t="s">
        <v>556</v>
      </c>
      <c r="S55" s="477"/>
      <c r="T55" s="477"/>
      <c r="U55" s="476"/>
      <c r="V55" s="478" t="s">
        <v>187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112</v>
      </c>
      <c r="B56" s="481"/>
      <c r="C56" s="408" t="s">
        <v>182</v>
      </c>
      <c r="D56" s="408" t="s">
        <v>132</v>
      </c>
      <c r="E56" s="408" t="s">
        <v>551</v>
      </c>
      <c r="F56" s="472" t="s">
        <v>541</v>
      </c>
      <c r="G56" s="473"/>
      <c r="H56" s="473"/>
      <c r="I56" s="473"/>
      <c r="J56" s="473"/>
      <c r="K56" s="473"/>
      <c r="L56" s="473"/>
      <c r="M56" s="474"/>
      <c r="N56" s="407"/>
      <c r="O56" s="413"/>
      <c r="P56" s="475"/>
      <c r="Q56" s="476"/>
      <c r="R56" s="475"/>
      <c r="S56" s="477"/>
      <c r="T56" s="477"/>
      <c r="U56" s="476"/>
      <c r="V56" s="478"/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/>
      <c r="B57" s="481"/>
      <c r="C57" s="408"/>
      <c r="D57" s="408"/>
      <c r="E57" s="408"/>
      <c r="F57" s="472"/>
      <c r="G57" s="473"/>
      <c r="H57" s="473"/>
      <c r="I57" s="473"/>
      <c r="J57" s="473"/>
      <c r="K57" s="473"/>
      <c r="L57" s="473"/>
      <c r="M57" s="474"/>
      <c r="N57" s="407"/>
      <c r="O57" s="413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/>
      <c r="B58" s="481"/>
      <c r="C58" s="408"/>
      <c r="D58" s="408"/>
      <c r="E58" s="408"/>
      <c r="F58" s="472"/>
      <c r="G58" s="473"/>
      <c r="H58" s="473"/>
      <c r="I58" s="473"/>
      <c r="J58" s="473"/>
      <c r="K58" s="473"/>
      <c r="L58" s="473"/>
      <c r="M58" s="474"/>
      <c r="N58" s="407"/>
      <c r="O58" s="413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/>
      <c r="B59" s="481"/>
      <c r="C59" s="408"/>
      <c r="D59" s="408"/>
      <c r="E59" s="408"/>
      <c r="F59" s="472"/>
      <c r="G59" s="473"/>
      <c r="H59" s="473"/>
      <c r="I59" s="473"/>
      <c r="J59" s="473"/>
      <c r="K59" s="473"/>
      <c r="L59" s="473"/>
      <c r="M59" s="474"/>
      <c r="N59" s="407"/>
      <c r="O59" s="413"/>
      <c r="P59" s="475"/>
      <c r="Q59" s="476"/>
      <c r="R59" s="481"/>
      <c r="S59" s="481"/>
      <c r="T59" s="481"/>
      <c r="U59" s="481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70"/>
      <c r="B60" s="471"/>
      <c r="C60" s="406"/>
      <c r="D60" s="406"/>
      <c r="E60" s="408"/>
      <c r="F60" s="472"/>
      <c r="G60" s="473"/>
      <c r="H60" s="473"/>
      <c r="I60" s="473"/>
      <c r="J60" s="473"/>
      <c r="K60" s="473"/>
      <c r="L60" s="473"/>
      <c r="M60" s="474"/>
      <c r="N60" s="407"/>
      <c r="O60" s="413"/>
      <c r="P60" s="481"/>
      <c r="Q60" s="481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  <c r="AF60" s="84">
        <f>8*3000</f>
        <v>24000</v>
      </c>
    </row>
    <row r="61" spans="1:32" ht="27" customHeight="1" thickBot="1">
      <c r="A61" s="482"/>
      <c r="B61" s="483"/>
      <c r="C61" s="409"/>
      <c r="D61" s="410"/>
      <c r="E61" s="409"/>
      <c r="F61" s="484"/>
      <c r="G61" s="485"/>
      <c r="H61" s="485"/>
      <c r="I61" s="485"/>
      <c r="J61" s="485"/>
      <c r="K61" s="485"/>
      <c r="L61" s="485"/>
      <c r="M61" s="486"/>
      <c r="N61" s="111"/>
      <c r="O61" s="103"/>
      <c r="P61" s="487"/>
      <c r="Q61" s="487"/>
      <c r="R61" s="487"/>
      <c r="S61" s="487"/>
      <c r="T61" s="487"/>
      <c r="U61" s="487"/>
      <c r="V61" s="488"/>
      <c r="W61" s="488"/>
      <c r="X61" s="488"/>
      <c r="Y61" s="488"/>
      <c r="Z61" s="488"/>
      <c r="AA61" s="488"/>
      <c r="AB61" s="488"/>
      <c r="AC61" s="488"/>
      <c r="AD61" s="489"/>
      <c r="AF61" s="84">
        <f>16*3000</f>
        <v>48000</v>
      </c>
    </row>
    <row r="62" spans="1:32" ht="27.75" thickBot="1">
      <c r="A62" s="490" t="s">
        <v>557</v>
      </c>
      <c r="B62" s="490"/>
      <c r="C62" s="490"/>
      <c r="D62" s="490"/>
      <c r="E62" s="490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4">
        <v>24000</v>
      </c>
    </row>
    <row r="63" spans="1:32" ht="29.25" customHeight="1" thickBot="1">
      <c r="A63" s="491" t="s">
        <v>111</v>
      </c>
      <c r="B63" s="492"/>
      <c r="C63" s="411" t="s">
        <v>2</v>
      </c>
      <c r="D63" s="411" t="s">
        <v>37</v>
      </c>
      <c r="E63" s="411" t="s">
        <v>3</v>
      </c>
      <c r="F63" s="492" t="s">
        <v>109</v>
      </c>
      <c r="G63" s="492"/>
      <c r="H63" s="492"/>
      <c r="I63" s="492"/>
      <c r="J63" s="492"/>
      <c r="K63" s="492" t="s">
        <v>39</v>
      </c>
      <c r="L63" s="492"/>
      <c r="M63" s="411" t="s">
        <v>40</v>
      </c>
      <c r="N63" s="492" t="s">
        <v>41</v>
      </c>
      <c r="O63" s="492"/>
      <c r="P63" s="493" t="s">
        <v>42</v>
      </c>
      <c r="Q63" s="494"/>
      <c r="R63" s="493" t="s">
        <v>43</v>
      </c>
      <c r="S63" s="495"/>
      <c r="T63" s="495"/>
      <c r="U63" s="495"/>
      <c r="V63" s="495"/>
      <c r="W63" s="495"/>
      <c r="X63" s="495"/>
      <c r="Y63" s="495"/>
      <c r="Z63" s="495"/>
      <c r="AA63" s="494"/>
      <c r="AB63" s="492" t="s">
        <v>44</v>
      </c>
      <c r="AC63" s="492"/>
      <c r="AD63" s="496"/>
      <c r="AF63" s="84">
        <f>SUM(AF60:AF62)</f>
        <v>96000</v>
      </c>
    </row>
    <row r="64" spans="1:32" ht="25.5" customHeight="1">
      <c r="A64" s="497">
        <v>1</v>
      </c>
      <c r="B64" s="498"/>
      <c r="C64" s="104" t="s">
        <v>112</v>
      </c>
      <c r="D64" s="415"/>
      <c r="E64" s="412" t="s">
        <v>154</v>
      </c>
      <c r="F64" s="499" t="s">
        <v>511</v>
      </c>
      <c r="G64" s="500"/>
      <c r="H64" s="500"/>
      <c r="I64" s="500"/>
      <c r="J64" s="501"/>
      <c r="K64" s="502" t="s">
        <v>134</v>
      </c>
      <c r="L64" s="502"/>
      <c r="M64" s="51" t="s">
        <v>191</v>
      </c>
      <c r="N64" s="503" t="s">
        <v>192</v>
      </c>
      <c r="O64" s="503"/>
      <c r="P64" s="504">
        <v>50</v>
      </c>
      <c r="Q64" s="504"/>
      <c r="R64" s="478"/>
      <c r="S64" s="478"/>
      <c r="T64" s="478"/>
      <c r="U64" s="478"/>
      <c r="V64" s="478"/>
      <c r="W64" s="478"/>
      <c r="X64" s="478"/>
      <c r="Y64" s="478"/>
      <c r="Z64" s="478"/>
      <c r="AA64" s="478"/>
      <c r="AB64" s="502"/>
      <c r="AC64" s="502"/>
      <c r="AD64" s="505"/>
      <c r="AF64" s="50"/>
    </row>
    <row r="65" spans="1:32" ht="25.5" customHeight="1">
      <c r="A65" s="497">
        <v>2</v>
      </c>
      <c r="B65" s="498"/>
      <c r="C65" s="104" t="s">
        <v>112</v>
      </c>
      <c r="D65" s="415"/>
      <c r="E65" s="412" t="s">
        <v>258</v>
      </c>
      <c r="F65" s="499" t="s">
        <v>558</v>
      </c>
      <c r="G65" s="500"/>
      <c r="H65" s="500"/>
      <c r="I65" s="500"/>
      <c r="J65" s="501"/>
      <c r="K65" s="502" t="s">
        <v>134</v>
      </c>
      <c r="L65" s="502"/>
      <c r="M65" s="51" t="s">
        <v>191</v>
      </c>
      <c r="N65" s="503" t="s">
        <v>192</v>
      </c>
      <c r="O65" s="503"/>
      <c r="P65" s="504">
        <v>100</v>
      </c>
      <c r="Q65" s="504"/>
      <c r="R65" s="478" t="s">
        <v>559</v>
      </c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3</v>
      </c>
      <c r="B66" s="498"/>
      <c r="C66" s="104" t="s">
        <v>112</v>
      </c>
      <c r="D66" s="415"/>
      <c r="E66" s="412" t="s">
        <v>258</v>
      </c>
      <c r="F66" s="499" t="s">
        <v>425</v>
      </c>
      <c r="G66" s="500"/>
      <c r="H66" s="500"/>
      <c r="I66" s="500"/>
      <c r="J66" s="501"/>
      <c r="K66" s="502" t="s">
        <v>426</v>
      </c>
      <c r="L66" s="502"/>
      <c r="M66" s="51" t="s">
        <v>191</v>
      </c>
      <c r="N66" s="503" t="s">
        <v>205</v>
      </c>
      <c r="O66" s="503"/>
      <c r="P66" s="504">
        <v>200</v>
      </c>
      <c r="Q66" s="504"/>
      <c r="R66" s="478" t="s">
        <v>481</v>
      </c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4</v>
      </c>
      <c r="B67" s="498"/>
      <c r="C67" s="104" t="s">
        <v>112</v>
      </c>
      <c r="D67" s="415"/>
      <c r="E67" s="412" t="s">
        <v>132</v>
      </c>
      <c r="F67" s="499" t="s">
        <v>480</v>
      </c>
      <c r="G67" s="500"/>
      <c r="H67" s="500"/>
      <c r="I67" s="500"/>
      <c r="J67" s="501"/>
      <c r="K67" s="502" t="s">
        <v>133</v>
      </c>
      <c r="L67" s="502"/>
      <c r="M67" s="51" t="s">
        <v>191</v>
      </c>
      <c r="N67" s="503" t="s">
        <v>131</v>
      </c>
      <c r="O67" s="503"/>
      <c r="P67" s="504">
        <v>100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5</v>
      </c>
      <c r="B68" s="498"/>
      <c r="C68" s="104" t="s">
        <v>118</v>
      </c>
      <c r="D68" s="415"/>
      <c r="E68" s="412" t="s">
        <v>143</v>
      </c>
      <c r="F68" s="499" t="s">
        <v>459</v>
      </c>
      <c r="G68" s="500"/>
      <c r="H68" s="500"/>
      <c r="I68" s="500"/>
      <c r="J68" s="501"/>
      <c r="K68" s="502" t="s">
        <v>463</v>
      </c>
      <c r="L68" s="502"/>
      <c r="M68" s="51" t="s">
        <v>191</v>
      </c>
      <c r="N68" s="503" t="s">
        <v>313</v>
      </c>
      <c r="O68" s="503"/>
      <c r="P68" s="504">
        <v>50</v>
      </c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6</v>
      </c>
      <c r="B69" s="498"/>
      <c r="C69" s="104" t="s">
        <v>118</v>
      </c>
      <c r="D69" s="415"/>
      <c r="E69" s="412" t="s">
        <v>219</v>
      </c>
      <c r="F69" s="499" t="s">
        <v>484</v>
      </c>
      <c r="G69" s="500"/>
      <c r="H69" s="500"/>
      <c r="I69" s="500"/>
      <c r="J69" s="501"/>
      <c r="K69" s="502" t="s">
        <v>355</v>
      </c>
      <c r="L69" s="502"/>
      <c r="M69" s="51" t="s">
        <v>191</v>
      </c>
      <c r="N69" s="503" t="s">
        <v>211</v>
      </c>
      <c r="O69" s="503"/>
      <c r="P69" s="504">
        <v>50</v>
      </c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7</v>
      </c>
      <c r="B70" s="498"/>
      <c r="C70" s="104"/>
      <c r="D70" s="415"/>
      <c r="E70" s="412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8</v>
      </c>
      <c r="B71" s="498"/>
      <c r="C71" s="104"/>
      <c r="D71" s="415"/>
      <c r="E71" s="412"/>
      <c r="F71" s="506"/>
      <c r="G71" s="502"/>
      <c r="H71" s="502"/>
      <c r="I71" s="502"/>
      <c r="J71" s="502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9</v>
      </c>
      <c r="B72" s="498"/>
      <c r="C72" s="104"/>
      <c r="D72" s="415"/>
      <c r="E72" s="412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10</v>
      </c>
      <c r="B73" s="498"/>
      <c r="C73" s="104"/>
      <c r="D73" s="415"/>
      <c r="E73" s="412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6.25" customHeight="1" thickBot="1">
      <c r="A74" s="507" t="s">
        <v>560</v>
      </c>
      <c r="B74" s="507"/>
      <c r="C74" s="507"/>
      <c r="D74" s="507"/>
      <c r="E74" s="507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508" t="s">
        <v>127</v>
      </c>
      <c r="B75" s="509"/>
      <c r="C75" s="414" t="s">
        <v>2</v>
      </c>
      <c r="D75" s="414" t="s">
        <v>37</v>
      </c>
      <c r="E75" s="414" t="s">
        <v>126</v>
      </c>
      <c r="F75" s="509" t="s">
        <v>38</v>
      </c>
      <c r="G75" s="509"/>
      <c r="H75" s="509"/>
      <c r="I75" s="509"/>
      <c r="J75" s="509"/>
      <c r="K75" s="510" t="s">
        <v>58</v>
      </c>
      <c r="L75" s="511"/>
      <c r="M75" s="511"/>
      <c r="N75" s="511"/>
      <c r="O75" s="511"/>
      <c r="P75" s="511"/>
      <c r="Q75" s="511"/>
      <c r="R75" s="511"/>
      <c r="S75" s="512"/>
      <c r="T75" s="509" t="s">
        <v>49</v>
      </c>
      <c r="U75" s="509"/>
      <c r="V75" s="510" t="s">
        <v>50</v>
      </c>
      <c r="W75" s="512"/>
      <c r="X75" s="511" t="s">
        <v>51</v>
      </c>
      <c r="Y75" s="511"/>
      <c r="Z75" s="511"/>
      <c r="AA75" s="511"/>
      <c r="AB75" s="511"/>
      <c r="AC75" s="511"/>
      <c r="AD75" s="513"/>
      <c r="AF75" s="50"/>
    </row>
    <row r="76" spans="1:32" ht="33.75" customHeight="1">
      <c r="A76" s="522">
        <v>1</v>
      </c>
      <c r="B76" s="523"/>
      <c r="C76" s="416" t="s">
        <v>112</v>
      </c>
      <c r="D76" s="416"/>
      <c r="E76" s="65" t="s">
        <v>117</v>
      </c>
      <c r="F76" s="524" t="s">
        <v>116</v>
      </c>
      <c r="G76" s="525"/>
      <c r="H76" s="525"/>
      <c r="I76" s="525"/>
      <c r="J76" s="526"/>
      <c r="K76" s="527" t="s">
        <v>119</v>
      </c>
      <c r="L76" s="528"/>
      <c r="M76" s="528"/>
      <c r="N76" s="528"/>
      <c r="O76" s="528"/>
      <c r="P76" s="528"/>
      <c r="Q76" s="528"/>
      <c r="R76" s="528"/>
      <c r="S76" s="529"/>
      <c r="T76" s="530">
        <v>44118</v>
      </c>
      <c r="U76" s="531"/>
      <c r="V76" s="532"/>
      <c r="W76" s="532"/>
      <c r="X76" s="533"/>
      <c r="Y76" s="533"/>
      <c r="Z76" s="533"/>
      <c r="AA76" s="533"/>
      <c r="AB76" s="533"/>
      <c r="AC76" s="533"/>
      <c r="AD76" s="534"/>
      <c r="AF76" s="50"/>
    </row>
    <row r="77" spans="1:32" ht="30" customHeight="1">
      <c r="A77" s="514">
        <f>A76+1</f>
        <v>2</v>
      </c>
      <c r="B77" s="515"/>
      <c r="C77" s="415"/>
      <c r="D77" s="415"/>
      <c r="E77" s="32"/>
      <c r="F77" s="515"/>
      <c r="G77" s="515"/>
      <c r="H77" s="515"/>
      <c r="I77" s="515"/>
      <c r="J77" s="515"/>
      <c r="K77" s="516"/>
      <c r="L77" s="517"/>
      <c r="M77" s="517"/>
      <c r="N77" s="517"/>
      <c r="O77" s="517"/>
      <c r="P77" s="517"/>
      <c r="Q77" s="517"/>
      <c r="R77" s="517"/>
      <c r="S77" s="518"/>
      <c r="T77" s="519"/>
      <c r="U77" s="519"/>
      <c r="V77" s="519"/>
      <c r="W77" s="519"/>
      <c r="X77" s="520"/>
      <c r="Y77" s="520"/>
      <c r="Z77" s="520"/>
      <c r="AA77" s="520"/>
      <c r="AB77" s="520"/>
      <c r="AC77" s="520"/>
      <c r="AD77" s="521"/>
      <c r="AF77" s="50"/>
    </row>
    <row r="78" spans="1:32" ht="30" customHeight="1">
      <c r="A78" s="514">
        <f t="shared" ref="A78:A82" si="11">A77+1</f>
        <v>3</v>
      </c>
      <c r="B78" s="515"/>
      <c r="C78" s="415"/>
      <c r="D78" s="415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si="11"/>
        <v>4</v>
      </c>
      <c r="B79" s="515"/>
      <c r="C79" s="415"/>
      <c r="D79" s="415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1"/>
        <v>5</v>
      </c>
      <c r="B80" s="515"/>
      <c r="C80" s="415"/>
      <c r="D80" s="415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1"/>
        <v>6</v>
      </c>
      <c r="B81" s="515"/>
      <c r="C81" s="415"/>
      <c r="D81" s="415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1"/>
        <v>7</v>
      </c>
      <c r="B82" s="515"/>
      <c r="C82" s="415"/>
      <c r="D82" s="415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6" thickBot="1">
      <c r="A83" s="507" t="s">
        <v>561</v>
      </c>
      <c r="B83" s="507"/>
      <c r="C83" s="507"/>
      <c r="D83" s="507"/>
      <c r="E83" s="507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508" t="s">
        <v>111</v>
      </c>
      <c r="B84" s="509"/>
      <c r="C84" s="535" t="s">
        <v>52</v>
      </c>
      <c r="D84" s="535"/>
      <c r="E84" s="535" t="s">
        <v>53</v>
      </c>
      <c r="F84" s="535"/>
      <c r="G84" s="535"/>
      <c r="H84" s="535"/>
      <c r="I84" s="535"/>
      <c r="J84" s="535"/>
      <c r="K84" s="535" t="s">
        <v>54</v>
      </c>
      <c r="L84" s="535"/>
      <c r="M84" s="535"/>
      <c r="N84" s="535"/>
      <c r="O84" s="535"/>
      <c r="P84" s="535"/>
      <c r="Q84" s="535"/>
      <c r="R84" s="535"/>
      <c r="S84" s="535"/>
      <c r="T84" s="535" t="s">
        <v>55</v>
      </c>
      <c r="U84" s="535"/>
      <c r="V84" s="535" t="s">
        <v>56</v>
      </c>
      <c r="W84" s="535"/>
      <c r="X84" s="535"/>
      <c r="Y84" s="535" t="s">
        <v>51</v>
      </c>
      <c r="Z84" s="535"/>
      <c r="AA84" s="535"/>
      <c r="AB84" s="535"/>
      <c r="AC84" s="535"/>
      <c r="AD84" s="536"/>
      <c r="AF84" s="50"/>
    </row>
    <row r="85" spans="1:32" ht="30.75" customHeight="1">
      <c r="A85" s="522">
        <v>1</v>
      </c>
      <c r="B85" s="523"/>
      <c r="C85" s="537">
        <v>9</v>
      </c>
      <c r="D85" s="537"/>
      <c r="E85" s="537" t="s">
        <v>529</v>
      </c>
      <c r="F85" s="537"/>
      <c r="G85" s="537"/>
      <c r="H85" s="537"/>
      <c r="I85" s="537"/>
      <c r="J85" s="537"/>
      <c r="K85" s="537" t="s">
        <v>530</v>
      </c>
      <c r="L85" s="537"/>
      <c r="M85" s="537"/>
      <c r="N85" s="537"/>
      <c r="O85" s="537"/>
      <c r="P85" s="537"/>
      <c r="Q85" s="537"/>
      <c r="R85" s="537"/>
      <c r="S85" s="537"/>
      <c r="T85" s="537" t="s">
        <v>531</v>
      </c>
      <c r="U85" s="537"/>
      <c r="V85" s="538"/>
      <c r="W85" s="538"/>
      <c r="X85" s="538"/>
      <c r="Y85" s="539" t="s">
        <v>532</v>
      </c>
      <c r="Z85" s="539"/>
      <c r="AA85" s="539"/>
      <c r="AB85" s="539"/>
      <c r="AC85" s="539"/>
      <c r="AD85" s="540"/>
      <c r="AF85" s="50"/>
    </row>
    <row r="86" spans="1:32" ht="30.75" customHeight="1">
      <c r="A86" s="514">
        <v>2</v>
      </c>
      <c r="B86" s="515"/>
      <c r="C86" s="548"/>
      <c r="D86" s="548"/>
      <c r="E86" s="548"/>
      <c r="F86" s="548"/>
      <c r="G86" s="548"/>
      <c r="H86" s="548"/>
      <c r="I86" s="548"/>
      <c r="J86" s="548"/>
      <c r="K86" s="548"/>
      <c r="L86" s="548"/>
      <c r="M86" s="548"/>
      <c r="N86" s="548"/>
      <c r="O86" s="548"/>
      <c r="P86" s="548"/>
      <c r="Q86" s="548"/>
      <c r="R86" s="548"/>
      <c r="S86" s="548"/>
      <c r="T86" s="549"/>
      <c r="U86" s="549"/>
      <c r="V86" s="550"/>
      <c r="W86" s="550"/>
      <c r="X86" s="550"/>
      <c r="Y86" s="541"/>
      <c r="Z86" s="541"/>
      <c r="AA86" s="541"/>
      <c r="AB86" s="541"/>
      <c r="AC86" s="541"/>
      <c r="AD86" s="542"/>
      <c r="AF86" s="50"/>
    </row>
    <row r="87" spans="1:32" ht="30.75" customHeight="1" thickBot="1">
      <c r="A87" s="543">
        <v>3</v>
      </c>
      <c r="B87" s="544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6"/>
      <c r="Z87" s="546"/>
      <c r="AA87" s="546"/>
      <c r="AB87" s="546"/>
      <c r="AC87" s="546"/>
      <c r="AD87" s="547"/>
      <c r="AF87" s="50"/>
    </row>
  </sheetData>
  <mergeCells count="232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7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AB1C-281A-43B0-8E4E-AD52935F70EF}">
  <dimension ref="A1:AF88"/>
  <sheetViews>
    <sheetView tabSelected="1" view="pageBreakPreview" zoomScale="70" zoomScaleNormal="72" zoomScaleSheetLayoutView="70" workbookViewId="0">
      <selection activeCell="K78" sqref="K78:S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" style="50" bestFit="1" customWidth="1"/>
    <col min="11" max="11" width="21.625" style="50" bestFit="1" customWidth="1"/>
    <col min="12" max="12" width="15.625" style="50" bestFit="1" customWidth="1"/>
    <col min="13" max="13" width="14.25" style="50" customWidth="1"/>
    <col min="14" max="14" width="11.125" style="50" customWidth="1"/>
    <col min="15" max="15" width="8.75" style="50" customWidth="1"/>
    <col min="16" max="17" width="9.25" style="50" bestFit="1" customWidth="1"/>
    <col min="18" max="18" width="7.75" style="50" bestFit="1" customWidth="1"/>
    <col min="19" max="19" width="9.25" style="50" bestFit="1" customWidth="1"/>
    <col min="20" max="20" width="6.625" style="50" bestFit="1" customWidth="1"/>
    <col min="21" max="21" width="6.875" style="50" bestFit="1" customWidth="1"/>
    <col min="22" max="23" width="9.25" style="50" bestFit="1" customWidth="1"/>
    <col min="24" max="24" width="7.25" style="50" bestFit="1" customWidth="1"/>
    <col min="25" max="26" width="6.25" style="50" bestFit="1" customWidth="1"/>
    <col min="27" max="27" width="9.25" style="50" bestFit="1" customWidth="1"/>
    <col min="28" max="28" width="8.75" style="50" bestFit="1" customWidth="1"/>
    <col min="29" max="30" width="8.375" style="50" bestFit="1" customWidth="1"/>
    <col min="31" max="31" width="6.25" style="50" bestFit="1" customWidth="1"/>
    <col min="32" max="32" width="9.125" style="84" bestFit="1" customWidth="1"/>
    <col min="33" max="33" width="17.625" style="50" customWidth="1"/>
    <col min="34" max="16384" width="9" style="50"/>
  </cols>
  <sheetData>
    <row r="1" spans="1:32" ht="44.25" customHeight="1">
      <c r="A1" s="430" t="s">
        <v>562</v>
      </c>
      <c r="B1" s="430"/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0"/>
      <c r="N1" s="430"/>
      <c r="O1" s="430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430"/>
      <c r="B2" s="430"/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431"/>
      <c r="B3" s="431"/>
      <c r="C3" s="431"/>
      <c r="D3" s="431"/>
      <c r="E3" s="431"/>
      <c r="F3" s="431"/>
      <c r="G3" s="431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432" t="s">
        <v>0</v>
      </c>
      <c r="B4" s="434" t="s">
        <v>1</v>
      </c>
      <c r="C4" s="434" t="s">
        <v>2</v>
      </c>
      <c r="D4" s="437" t="s">
        <v>3</v>
      </c>
      <c r="E4" s="439" t="s">
        <v>4</v>
      </c>
      <c r="F4" s="437" t="s">
        <v>5</v>
      </c>
      <c r="G4" s="434" t="s">
        <v>6</v>
      </c>
      <c r="H4" s="440" t="s">
        <v>7</v>
      </c>
      <c r="I4" s="460" t="s">
        <v>8</v>
      </c>
      <c r="J4" s="461"/>
      <c r="K4" s="461"/>
      <c r="L4" s="461"/>
      <c r="M4" s="461"/>
      <c r="N4" s="461"/>
      <c r="O4" s="462"/>
      <c r="P4" s="463" t="s">
        <v>9</v>
      </c>
      <c r="Q4" s="464"/>
      <c r="R4" s="465" t="s">
        <v>10</v>
      </c>
      <c r="S4" s="465"/>
      <c r="T4" s="465"/>
      <c r="U4" s="465"/>
      <c r="V4" s="465"/>
      <c r="W4" s="466" t="s">
        <v>11</v>
      </c>
      <c r="X4" s="465"/>
      <c r="Y4" s="465"/>
      <c r="Z4" s="465"/>
      <c r="AA4" s="467"/>
      <c r="AB4" s="468" t="s">
        <v>12</v>
      </c>
      <c r="AC4" s="442" t="s">
        <v>13</v>
      </c>
      <c r="AD4" s="442" t="s">
        <v>14</v>
      </c>
      <c r="AE4" s="54"/>
    </row>
    <row r="5" spans="1:32" ht="51" customHeight="1" thickBot="1">
      <c r="A5" s="433"/>
      <c r="B5" s="435"/>
      <c r="C5" s="436"/>
      <c r="D5" s="438"/>
      <c r="E5" s="438"/>
      <c r="F5" s="438"/>
      <c r="G5" s="435"/>
      <c r="H5" s="441"/>
      <c r="I5" s="55" t="s">
        <v>15</v>
      </c>
      <c r="J5" s="56" t="s">
        <v>16</v>
      </c>
      <c r="K5" s="429" t="s">
        <v>17</v>
      </c>
      <c r="L5" s="429" t="s">
        <v>18</v>
      </c>
      <c r="M5" s="429" t="s">
        <v>19</v>
      </c>
      <c r="N5" s="42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469"/>
      <c r="AC5" s="443"/>
      <c r="AD5" s="443"/>
      <c r="AE5" s="54"/>
    </row>
    <row r="6" spans="1:32" ht="30" customHeight="1">
      <c r="A6" s="96">
        <v>1</v>
      </c>
      <c r="B6" s="11" t="s">
        <v>563</v>
      </c>
      <c r="C6" s="34" t="s">
        <v>112</v>
      </c>
      <c r="D6" s="52" t="s">
        <v>564</v>
      </c>
      <c r="E6" s="53" t="s">
        <v>511</v>
      </c>
      <c r="F6" s="30" t="s">
        <v>134</v>
      </c>
      <c r="G6" s="12">
        <v>1</v>
      </c>
      <c r="H6" s="13">
        <v>24</v>
      </c>
      <c r="I6" s="7">
        <v>360</v>
      </c>
      <c r="J6" s="14">
        <v>500</v>
      </c>
      <c r="K6" s="15">
        <f>L6</f>
        <v>500</v>
      </c>
      <c r="L6" s="15">
        <v>500</v>
      </c>
      <c r="M6" s="15">
        <f t="shared" ref="M6:M22" si="0">L6-N6</f>
        <v>500</v>
      </c>
      <c r="N6" s="15">
        <v>0</v>
      </c>
      <c r="O6" s="58">
        <f t="shared" ref="O6:O23" si="1">IF(L6=0,"0",N6/L6)</f>
        <v>0</v>
      </c>
      <c r="P6" s="39">
        <f t="shared" ref="P6:P22" si="2">IF(L6=0,"0",(24-Q6))</f>
        <v>4</v>
      </c>
      <c r="Q6" s="40">
        <f t="shared" ref="Q6:Q22" si="3">SUM(R6:AA6)</f>
        <v>20</v>
      </c>
      <c r="R6" s="7"/>
      <c r="S6" s="6"/>
      <c r="T6" s="16"/>
      <c r="U6" s="16"/>
      <c r="V6" s="17"/>
      <c r="W6" s="5">
        <v>20</v>
      </c>
      <c r="X6" s="16"/>
      <c r="Y6" s="16"/>
      <c r="Z6" s="16"/>
      <c r="AA6" s="18"/>
      <c r="AB6" s="8">
        <f t="shared" ref="AB6:AB22" si="4">IF(J6=0,"0",(L6/J6))</f>
        <v>1</v>
      </c>
      <c r="AC6" s="9">
        <f t="shared" ref="AC6:AC22" si="5">IF(P6=0,"0",(P6/24))</f>
        <v>0.16666666666666666</v>
      </c>
      <c r="AD6" s="10">
        <f t="shared" ref="AD6:AD22" si="6">AC6*AB6*(1-O6)</f>
        <v>0.16666666666666666</v>
      </c>
      <c r="AE6" s="36">
        <f>$AD$23</f>
        <v>0.52450980392156854</v>
      </c>
      <c r="AF6" s="84">
        <f t="shared" ref="AF6:AF22" si="7">A6</f>
        <v>1</v>
      </c>
    </row>
    <row r="7" spans="1:32" ht="27" customHeight="1">
      <c r="A7" s="112">
        <v>2</v>
      </c>
      <c r="B7" s="11" t="s">
        <v>57</v>
      </c>
      <c r="C7" s="34" t="s">
        <v>565</v>
      </c>
      <c r="D7" s="52" t="s">
        <v>201</v>
      </c>
      <c r="E7" s="53" t="s">
        <v>566</v>
      </c>
      <c r="F7" s="12">
        <v>8301</v>
      </c>
      <c r="G7" s="12">
        <v>1</v>
      </c>
      <c r="H7" s="13">
        <v>24</v>
      </c>
      <c r="I7" s="31">
        <v>2000</v>
      </c>
      <c r="J7" s="14">
        <v>3500</v>
      </c>
      <c r="K7" s="15">
        <f>L7</f>
        <v>3500</v>
      </c>
      <c r="L7" s="15">
        <f>730+2770</f>
        <v>3500</v>
      </c>
      <c r="M7" s="15">
        <f t="shared" si="0"/>
        <v>3500</v>
      </c>
      <c r="N7" s="15">
        <v>0</v>
      </c>
      <c r="O7" s="58">
        <f t="shared" si="1"/>
        <v>0</v>
      </c>
      <c r="P7" s="39">
        <f t="shared" si="2"/>
        <v>18</v>
      </c>
      <c r="Q7" s="40">
        <f t="shared" si="3"/>
        <v>6</v>
      </c>
      <c r="R7" s="7"/>
      <c r="S7" s="6"/>
      <c r="T7" s="16"/>
      <c r="U7" s="16"/>
      <c r="V7" s="17"/>
      <c r="W7" s="5"/>
      <c r="X7" s="16"/>
      <c r="Y7" s="16"/>
      <c r="Z7" s="16"/>
      <c r="AA7" s="18">
        <v>6</v>
      </c>
      <c r="AB7" s="8">
        <f t="shared" si="4"/>
        <v>1</v>
      </c>
      <c r="AC7" s="9">
        <f t="shared" si="5"/>
        <v>0.75</v>
      </c>
      <c r="AD7" s="10">
        <f t="shared" si="6"/>
        <v>0.75</v>
      </c>
      <c r="AE7" s="36">
        <f>$AD$23</f>
        <v>0.52450980392156854</v>
      </c>
      <c r="AF7" s="84">
        <f t="shared" si="7"/>
        <v>2</v>
      </c>
    </row>
    <row r="8" spans="1:32" ht="27" customHeight="1">
      <c r="A8" s="96">
        <v>3</v>
      </c>
      <c r="B8" s="11" t="s">
        <v>57</v>
      </c>
      <c r="C8" s="34" t="s">
        <v>112</v>
      </c>
      <c r="D8" s="52" t="s">
        <v>137</v>
      </c>
      <c r="E8" s="53" t="s">
        <v>440</v>
      </c>
      <c r="F8" s="30" t="s">
        <v>133</v>
      </c>
      <c r="G8" s="33">
        <v>2</v>
      </c>
      <c r="H8" s="35">
        <v>24</v>
      </c>
      <c r="I8" s="7">
        <v>1000</v>
      </c>
      <c r="J8" s="5">
        <v>1000</v>
      </c>
      <c r="K8" s="15">
        <f>L8+1000+1000</f>
        <v>2000</v>
      </c>
      <c r="L8" s="15"/>
      <c r="M8" s="15">
        <f t="shared" si="0"/>
        <v>0</v>
      </c>
      <c r="N8" s="15">
        <v>0</v>
      </c>
      <c r="O8" s="58" t="str">
        <f t="shared" si="1"/>
        <v>0</v>
      </c>
      <c r="P8" s="39" t="str">
        <f t="shared" si="2"/>
        <v>0</v>
      </c>
      <c r="Q8" s="40">
        <f t="shared" si="3"/>
        <v>24</v>
      </c>
      <c r="R8" s="7"/>
      <c r="S8" s="6"/>
      <c r="T8" s="16"/>
      <c r="U8" s="16"/>
      <c r="V8" s="17"/>
      <c r="W8" s="5"/>
      <c r="X8" s="16"/>
      <c r="Y8" s="16"/>
      <c r="Z8" s="16"/>
      <c r="AA8" s="18">
        <v>24</v>
      </c>
      <c r="AB8" s="8">
        <f t="shared" si="4"/>
        <v>0</v>
      </c>
      <c r="AC8" s="9">
        <f t="shared" si="5"/>
        <v>0</v>
      </c>
      <c r="AD8" s="10">
        <f t="shared" si="6"/>
        <v>0</v>
      </c>
      <c r="AE8" s="36">
        <f>$AD$23</f>
        <v>0.52450980392156854</v>
      </c>
      <c r="AF8" s="84">
        <f t="shared" si="7"/>
        <v>3</v>
      </c>
    </row>
    <row r="9" spans="1:32" ht="27" customHeight="1">
      <c r="A9" s="96">
        <v>4</v>
      </c>
      <c r="B9" s="11" t="s">
        <v>57</v>
      </c>
      <c r="C9" s="34" t="s">
        <v>118</v>
      </c>
      <c r="D9" s="52" t="s">
        <v>140</v>
      </c>
      <c r="E9" s="53" t="s">
        <v>138</v>
      </c>
      <c r="F9" s="30" t="s">
        <v>135</v>
      </c>
      <c r="G9" s="12">
        <v>1</v>
      </c>
      <c r="H9" s="13">
        <v>24</v>
      </c>
      <c r="I9" s="7">
        <f>65000+75000</f>
        <v>140000</v>
      </c>
      <c r="J9" s="14">
        <v>5615</v>
      </c>
      <c r="K9" s="15">
        <f>L9+1344+2695+2818+1363+3398+4807+5146+5399+5363+4916+4752+2389+5076+5367+4162+3442+4709+5270+3351+4112+5541+1793+4649+4573+4828+4143+5461+5507+2538+4958+5313+5492+5456</f>
        <v>145746</v>
      </c>
      <c r="L9" s="15">
        <f>2717+2898</f>
        <v>5615</v>
      </c>
      <c r="M9" s="15">
        <f t="shared" si="0"/>
        <v>5615</v>
      </c>
      <c r="N9" s="15">
        <v>0</v>
      </c>
      <c r="O9" s="58">
        <f t="shared" si="1"/>
        <v>0</v>
      </c>
      <c r="P9" s="39">
        <f t="shared" si="2"/>
        <v>24</v>
      </c>
      <c r="Q9" s="40">
        <f t="shared" si="3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4"/>
        <v>1</v>
      </c>
      <c r="AC9" s="9">
        <f t="shared" si="5"/>
        <v>1</v>
      </c>
      <c r="AD9" s="10">
        <f t="shared" si="6"/>
        <v>1</v>
      </c>
      <c r="AE9" s="36">
        <f>$AD$23</f>
        <v>0.52450980392156854</v>
      </c>
      <c r="AF9" s="84">
        <f t="shared" si="7"/>
        <v>4</v>
      </c>
    </row>
    <row r="10" spans="1:32" ht="27" customHeight="1">
      <c r="A10" s="96">
        <v>5</v>
      </c>
      <c r="B10" s="11" t="s">
        <v>57</v>
      </c>
      <c r="C10" s="11" t="s">
        <v>118</v>
      </c>
      <c r="D10" s="52" t="s">
        <v>151</v>
      </c>
      <c r="E10" s="53" t="s">
        <v>489</v>
      </c>
      <c r="F10" s="30" t="s">
        <v>133</v>
      </c>
      <c r="G10" s="33">
        <v>1</v>
      </c>
      <c r="H10" s="35">
        <v>24</v>
      </c>
      <c r="I10" s="7">
        <v>13000</v>
      </c>
      <c r="J10" s="14">
        <v>5780</v>
      </c>
      <c r="K10" s="15">
        <f>L10+3146+6390+6403+6225</f>
        <v>27944</v>
      </c>
      <c r="L10" s="15">
        <f>2717+3063</f>
        <v>5780</v>
      </c>
      <c r="M10" s="15">
        <f t="shared" si="0"/>
        <v>5780</v>
      </c>
      <c r="N10" s="15">
        <v>0</v>
      </c>
      <c r="O10" s="58">
        <f t="shared" si="1"/>
        <v>0</v>
      </c>
      <c r="P10" s="39">
        <f t="shared" si="2"/>
        <v>24</v>
      </c>
      <c r="Q10" s="40">
        <f t="shared" si="3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4"/>
        <v>1</v>
      </c>
      <c r="AC10" s="9">
        <f t="shared" si="5"/>
        <v>1</v>
      </c>
      <c r="AD10" s="10">
        <f t="shared" si="6"/>
        <v>1</v>
      </c>
      <c r="AE10" s="36">
        <f>$AD$23</f>
        <v>0.52450980392156854</v>
      </c>
      <c r="AF10" s="84">
        <f t="shared" si="7"/>
        <v>5</v>
      </c>
    </row>
    <row r="11" spans="1:32" ht="27" customHeight="1">
      <c r="A11" s="96">
        <v>6</v>
      </c>
      <c r="B11" s="11" t="s">
        <v>57</v>
      </c>
      <c r="C11" s="11" t="s">
        <v>120</v>
      </c>
      <c r="D11" s="52"/>
      <c r="E11" s="53" t="s">
        <v>535</v>
      </c>
      <c r="F11" s="30" t="s">
        <v>276</v>
      </c>
      <c r="G11" s="33">
        <v>1</v>
      </c>
      <c r="H11" s="35">
        <v>24</v>
      </c>
      <c r="I11" s="7">
        <v>500</v>
      </c>
      <c r="J11" s="14">
        <v>609</v>
      </c>
      <c r="K11" s="15">
        <f>L11+609</f>
        <v>609</v>
      </c>
      <c r="L11" s="15"/>
      <c r="M11" s="15">
        <f t="shared" si="0"/>
        <v>0</v>
      </c>
      <c r="N11" s="15">
        <v>0</v>
      </c>
      <c r="O11" s="58" t="str">
        <f t="shared" si="1"/>
        <v>0</v>
      </c>
      <c r="P11" s="39" t="str">
        <f t="shared" si="2"/>
        <v>0</v>
      </c>
      <c r="Q11" s="40">
        <f t="shared" si="3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4"/>
        <v>0</v>
      </c>
      <c r="AC11" s="9">
        <f t="shared" si="5"/>
        <v>0</v>
      </c>
      <c r="AD11" s="10">
        <f t="shared" si="6"/>
        <v>0</v>
      </c>
      <c r="AE11" s="36">
        <f>$AD$23</f>
        <v>0.52450980392156854</v>
      </c>
      <c r="AF11" s="84">
        <f t="shared" si="7"/>
        <v>6</v>
      </c>
    </row>
    <row r="12" spans="1:32" ht="27" customHeight="1">
      <c r="A12" s="96">
        <v>7</v>
      </c>
      <c r="B12" s="11" t="s">
        <v>57</v>
      </c>
      <c r="C12" s="34" t="s">
        <v>118</v>
      </c>
      <c r="D12" s="52" t="s">
        <v>115</v>
      </c>
      <c r="E12" s="53" t="s">
        <v>294</v>
      </c>
      <c r="F12" s="30" t="s">
        <v>302</v>
      </c>
      <c r="G12" s="12">
        <v>1</v>
      </c>
      <c r="H12" s="13">
        <v>22</v>
      </c>
      <c r="I12" s="31">
        <v>80000</v>
      </c>
      <c r="J12" s="5">
        <v>5310</v>
      </c>
      <c r="K12" s="15">
        <f>L12+4597+5041+5597+5567+5537+3364+5103+4208+3250+4473+4603+3900+3271+5266</f>
        <v>69087</v>
      </c>
      <c r="L12" s="15">
        <f>2899+2411</f>
        <v>5310</v>
      </c>
      <c r="M12" s="15">
        <f t="shared" si="0"/>
        <v>5310</v>
      </c>
      <c r="N12" s="15">
        <v>0</v>
      </c>
      <c r="O12" s="58">
        <f t="shared" si="1"/>
        <v>0</v>
      </c>
      <c r="P12" s="39">
        <f t="shared" si="2"/>
        <v>22</v>
      </c>
      <c r="Q12" s="40">
        <f t="shared" si="3"/>
        <v>2</v>
      </c>
      <c r="R12" s="7"/>
      <c r="S12" s="6">
        <v>2</v>
      </c>
      <c r="T12" s="16"/>
      <c r="U12" s="16"/>
      <c r="V12" s="17"/>
      <c r="W12" s="5"/>
      <c r="X12" s="16"/>
      <c r="Y12" s="16"/>
      <c r="Z12" s="16"/>
      <c r="AA12" s="18"/>
      <c r="AB12" s="8">
        <f t="shared" si="4"/>
        <v>1</v>
      </c>
      <c r="AC12" s="9">
        <f t="shared" si="5"/>
        <v>0.91666666666666663</v>
      </c>
      <c r="AD12" s="10">
        <f t="shared" si="6"/>
        <v>0.91666666666666663</v>
      </c>
      <c r="AE12" s="36">
        <f>$AD$23</f>
        <v>0.52450980392156854</v>
      </c>
      <c r="AF12" s="84">
        <f t="shared" si="7"/>
        <v>7</v>
      </c>
    </row>
    <row r="13" spans="1:32" ht="27" customHeight="1">
      <c r="A13" s="96">
        <v>8</v>
      </c>
      <c r="B13" s="11" t="s">
        <v>57</v>
      </c>
      <c r="C13" s="11" t="s">
        <v>112</v>
      </c>
      <c r="D13" s="52" t="s">
        <v>115</v>
      </c>
      <c r="E13" s="53" t="s">
        <v>543</v>
      </c>
      <c r="F13" s="30" t="s">
        <v>550</v>
      </c>
      <c r="G13" s="33">
        <v>1</v>
      </c>
      <c r="H13" s="35">
        <v>24</v>
      </c>
      <c r="I13" s="7">
        <v>2000</v>
      </c>
      <c r="J13" s="14">
        <v>710</v>
      </c>
      <c r="K13" s="15">
        <f>L13+1510</f>
        <v>2220</v>
      </c>
      <c r="L13" s="15">
        <v>710</v>
      </c>
      <c r="M13" s="15">
        <f t="shared" si="0"/>
        <v>710</v>
      </c>
      <c r="N13" s="15">
        <v>0</v>
      </c>
      <c r="O13" s="58">
        <f t="shared" si="1"/>
        <v>0</v>
      </c>
      <c r="P13" s="39">
        <f t="shared" si="2"/>
        <v>7</v>
      </c>
      <c r="Q13" s="40">
        <f t="shared" si="3"/>
        <v>17</v>
      </c>
      <c r="R13" s="7"/>
      <c r="S13" s="6"/>
      <c r="T13" s="16"/>
      <c r="U13" s="16"/>
      <c r="V13" s="17"/>
      <c r="W13" s="5">
        <v>17</v>
      </c>
      <c r="X13" s="16"/>
      <c r="Y13" s="16"/>
      <c r="Z13" s="16"/>
      <c r="AA13" s="18"/>
      <c r="AB13" s="8">
        <f t="shared" si="4"/>
        <v>1</v>
      </c>
      <c r="AC13" s="9">
        <f t="shared" si="5"/>
        <v>0.29166666666666669</v>
      </c>
      <c r="AD13" s="10">
        <f t="shared" si="6"/>
        <v>0.29166666666666669</v>
      </c>
      <c r="AE13" s="36">
        <f>$AD$23</f>
        <v>0.52450980392156854</v>
      </c>
      <c r="AF13" s="84">
        <f t="shared" si="7"/>
        <v>8</v>
      </c>
    </row>
    <row r="14" spans="1:32" ht="27" customHeight="1">
      <c r="A14" s="96">
        <v>8</v>
      </c>
      <c r="B14" s="11" t="s">
        <v>57</v>
      </c>
      <c r="C14" s="11" t="s">
        <v>112</v>
      </c>
      <c r="D14" s="52" t="s">
        <v>115</v>
      </c>
      <c r="E14" s="53" t="s">
        <v>508</v>
      </c>
      <c r="F14" s="30" t="s">
        <v>536</v>
      </c>
      <c r="G14" s="33">
        <v>1</v>
      </c>
      <c r="H14" s="35">
        <v>24</v>
      </c>
      <c r="I14" s="7">
        <v>200</v>
      </c>
      <c r="J14" s="14">
        <v>321</v>
      </c>
      <c r="K14" s="15">
        <f>L14</f>
        <v>321</v>
      </c>
      <c r="L14" s="15">
        <v>321</v>
      </c>
      <c r="M14" s="15">
        <f t="shared" ref="M14" si="8">L14-N14</f>
        <v>321</v>
      </c>
      <c r="N14" s="15">
        <v>0</v>
      </c>
      <c r="O14" s="58">
        <f t="shared" ref="O14" si="9">IF(L14=0,"0",N14/L14)</f>
        <v>0</v>
      </c>
      <c r="P14" s="39">
        <f t="shared" ref="P14" si="10">IF(L14=0,"0",(24-Q14))</f>
        <v>6</v>
      </c>
      <c r="Q14" s="40">
        <f t="shared" ref="Q14" si="11">SUM(R14:AA14)</f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ref="AB14" si="12">IF(J14=0,"0",(L14/J14))</f>
        <v>1</v>
      </c>
      <c r="AC14" s="9">
        <f t="shared" ref="AC14" si="13">IF(P14=0,"0",(P14/24))</f>
        <v>0.25</v>
      </c>
      <c r="AD14" s="10">
        <f t="shared" ref="AD14" si="14">AC14*AB14*(1-O14)</f>
        <v>0.25</v>
      </c>
      <c r="AE14" s="36">
        <f>$AD$23</f>
        <v>0.52450980392156854</v>
      </c>
      <c r="AF14" s="84">
        <f t="shared" ref="AF14" si="15">A14</f>
        <v>8</v>
      </c>
    </row>
    <row r="15" spans="1:32" ht="27" customHeight="1">
      <c r="A15" s="105">
        <v>9</v>
      </c>
      <c r="B15" s="11" t="s">
        <v>57</v>
      </c>
      <c r="C15" s="34" t="s">
        <v>112</v>
      </c>
      <c r="D15" s="52" t="s">
        <v>115</v>
      </c>
      <c r="E15" s="53" t="s">
        <v>408</v>
      </c>
      <c r="F15" s="30" t="s">
        <v>413</v>
      </c>
      <c r="G15" s="33">
        <v>1</v>
      </c>
      <c r="H15" s="35">
        <v>50</v>
      </c>
      <c r="I15" s="7">
        <v>300</v>
      </c>
      <c r="J15" s="5">
        <v>452</v>
      </c>
      <c r="K15" s="15">
        <f>L15+452</f>
        <v>452</v>
      </c>
      <c r="L15" s="15"/>
      <c r="M15" s="15">
        <f t="shared" si="0"/>
        <v>0</v>
      </c>
      <c r="N15" s="15">
        <v>0</v>
      </c>
      <c r="O15" s="58" t="str">
        <f t="shared" si="1"/>
        <v>0</v>
      </c>
      <c r="P15" s="39" t="str">
        <f t="shared" si="2"/>
        <v>0</v>
      </c>
      <c r="Q15" s="40">
        <f t="shared" si="3"/>
        <v>24</v>
      </c>
      <c r="R15" s="7">
        <v>24</v>
      </c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4"/>
        <v>0</v>
      </c>
      <c r="AC15" s="9">
        <f t="shared" si="5"/>
        <v>0</v>
      </c>
      <c r="AD15" s="10">
        <f t="shared" si="6"/>
        <v>0</v>
      </c>
      <c r="AE15" s="36">
        <f>$AD$23</f>
        <v>0.52450980392156854</v>
      </c>
      <c r="AF15" s="84">
        <f t="shared" si="7"/>
        <v>9</v>
      </c>
    </row>
    <row r="16" spans="1:32" ht="27" customHeight="1">
      <c r="A16" s="95">
        <v>10</v>
      </c>
      <c r="B16" s="11" t="s">
        <v>57</v>
      </c>
      <c r="C16" s="34" t="s">
        <v>120</v>
      </c>
      <c r="D16" s="52"/>
      <c r="E16" s="53" t="s">
        <v>160</v>
      </c>
      <c r="F16" s="12" t="s">
        <v>129</v>
      </c>
      <c r="G16" s="12">
        <v>1</v>
      </c>
      <c r="H16" s="13">
        <v>24</v>
      </c>
      <c r="I16" s="31">
        <v>2000</v>
      </c>
      <c r="J16" s="14">
        <v>4493</v>
      </c>
      <c r="K16" s="15">
        <f>L16+3470</f>
        <v>7963</v>
      </c>
      <c r="L16" s="15">
        <f>2943+1550</f>
        <v>4493</v>
      </c>
      <c r="M16" s="15">
        <f t="shared" si="0"/>
        <v>4493</v>
      </c>
      <c r="N16" s="15">
        <v>0</v>
      </c>
      <c r="O16" s="58">
        <f t="shared" si="1"/>
        <v>0</v>
      </c>
      <c r="P16" s="39">
        <f t="shared" si="2"/>
        <v>18</v>
      </c>
      <c r="Q16" s="40">
        <f t="shared" si="3"/>
        <v>6</v>
      </c>
      <c r="R16" s="7"/>
      <c r="S16" s="6"/>
      <c r="T16" s="16"/>
      <c r="U16" s="16"/>
      <c r="V16" s="17"/>
      <c r="W16" s="5">
        <v>6</v>
      </c>
      <c r="X16" s="16"/>
      <c r="Y16" s="16"/>
      <c r="Z16" s="16"/>
      <c r="AA16" s="18"/>
      <c r="AB16" s="8">
        <f t="shared" si="4"/>
        <v>1</v>
      </c>
      <c r="AC16" s="9">
        <f t="shared" si="5"/>
        <v>0.75</v>
      </c>
      <c r="AD16" s="10">
        <f t="shared" si="6"/>
        <v>0.75</v>
      </c>
      <c r="AE16" s="36">
        <f>$AD$23</f>
        <v>0.52450980392156854</v>
      </c>
      <c r="AF16" s="84">
        <f t="shared" si="7"/>
        <v>10</v>
      </c>
    </row>
    <row r="17" spans="1:32" ht="30" customHeight="1">
      <c r="A17" s="112">
        <v>11</v>
      </c>
      <c r="B17" s="11" t="s">
        <v>57</v>
      </c>
      <c r="C17" s="34" t="s">
        <v>188</v>
      </c>
      <c r="D17" s="52" t="s">
        <v>115</v>
      </c>
      <c r="E17" s="53" t="s">
        <v>282</v>
      </c>
      <c r="F17" s="30" t="s">
        <v>130</v>
      </c>
      <c r="G17" s="12">
        <v>1</v>
      </c>
      <c r="H17" s="13">
        <v>24</v>
      </c>
      <c r="I17" s="7">
        <v>1000</v>
      </c>
      <c r="J17" s="14">
        <v>610</v>
      </c>
      <c r="K17" s="15">
        <f>L17</f>
        <v>610</v>
      </c>
      <c r="L17" s="15">
        <v>610</v>
      </c>
      <c r="M17" s="15">
        <f t="shared" si="0"/>
        <v>610</v>
      </c>
      <c r="N17" s="15">
        <v>0</v>
      </c>
      <c r="O17" s="58">
        <f t="shared" si="1"/>
        <v>0</v>
      </c>
      <c r="P17" s="39">
        <f t="shared" si="2"/>
        <v>4</v>
      </c>
      <c r="Q17" s="40">
        <f t="shared" si="3"/>
        <v>20</v>
      </c>
      <c r="R17" s="7"/>
      <c r="S17" s="6">
        <v>20</v>
      </c>
      <c r="T17" s="16"/>
      <c r="U17" s="16"/>
      <c r="V17" s="17"/>
      <c r="W17" s="5"/>
      <c r="X17" s="16"/>
      <c r="Y17" s="16"/>
      <c r="Z17" s="16"/>
      <c r="AA17" s="18"/>
      <c r="AB17" s="8">
        <f t="shared" si="4"/>
        <v>1</v>
      </c>
      <c r="AC17" s="9">
        <f t="shared" si="5"/>
        <v>0.16666666666666666</v>
      </c>
      <c r="AD17" s="10">
        <f t="shared" si="6"/>
        <v>0.16666666666666666</v>
      </c>
      <c r="AE17" s="36">
        <f>$AD$23</f>
        <v>0.52450980392156854</v>
      </c>
      <c r="AF17" s="84">
        <f t="shared" si="7"/>
        <v>11</v>
      </c>
    </row>
    <row r="18" spans="1:32" ht="30" customHeight="1">
      <c r="A18" s="95">
        <v>12</v>
      </c>
      <c r="B18" s="11" t="s">
        <v>57</v>
      </c>
      <c r="C18" s="34" t="s">
        <v>188</v>
      </c>
      <c r="D18" s="52" t="s">
        <v>296</v>
      </c>
      <c r="E18" s="53" t="s">
        <v>295</v>
      </c>
      <c r="F18" s="30" t="s">
        <v>303</v>
      </c>
      <c r="G18" s="12">
        <v>5</v>
      </c>
      <c r="H18" s="13">
        <v>24</v>
      </c>
      <c r="I18" s="7">
        <v>200000</v>
      </c>
      <c r="J18" s="14">
        <v>6045</v>
      </c>
      <c r="K18" s="15">
        <f>L18+33015+35895+37090+38775+40475+36685+38795+38720+10865+37785+45525+45320</f>
        <v>444990</v>
      </c>
      <c r="L18" s="15">
        <f>1209*5</f>
        <v>6045</v>
      </c>
      <c r="M18" s="15">
        <f t="shared" si="0"/>
        <v>6045</v>
      </c>
      <c r="N18" s="15">
        <v>0</v>
      </c>
      <c r="O18" s="58">
        <f t="shared" si="1"/>
        <v>0</v>
      </c>
      <c r="P18" s="39">
        <f t="shared" si="2"/>
        <v>5</v>
      </c>
      <c r="Q18" s="40">
        <f t="shared" si="3"/>
        <v>19</v>
      </c>
      <c r="R18" s="7"/>
      <c r="S18" s="6">
        <v>19</v>
      </c>
      <c r="T18" s="16"/>
      <c r="U18" s="16"/>
      <c r="V18" s="17"/>
      <c r="W18" s="5"/>
      <c r="X18" s="16"/>
      <c r="Y18" s="16"/>
      <c r="Z18" s="16"/>
      <c r="AA18" s="18"/>
      <c r="AB18" s="8">
        <f t="shared" si="4"/>
        <v>1</v>
      </c>
      <c r="AC18" s="9">
        <f t="shared" si="5"/>
        <v>0.20833333333333334</v>
      </c>
      <c r="AD18" s="10">
        <f t="shared" si="6"/>
        <v>0.20833333333333334</v>
      </c>
      <c r="AE18" s="36">
        <f>$AD$23</f>
        <v>0.52450980392156854</v>
      </c>
      <c r="AF18" s="84">
        <f t="shared" si="7"/>
        <v>12</v>
      </c>
    </row>
    <row r="19" spans="1:32" ht="27" customHeight="1">
      <c r="A19" s="96">
        <v>13</v>
      </c>
      <c r="B19" s="11" t="s">
        <v>57</v>
      </c>
      <c r="C19" s="11" t="s">
        <v>118</v>
      </c>
      <c r="D19" s="52" t="s">
        <v>115</v>
      </c>
      <c r="E19" s="53" t="s">
        <v>474</v>
      </c>
      <c r="F19" s="30" t="s">
        <v>142</v>
      </c>
      <c r="G19" s="33">
        <v>1</v>
      </c>
      <c r="H19" s="35">
        <v>24</v>
      </c>
      <c r="I19" s="7">
        <v>50000</v>
      </c>
      <c r="J19" s="14">
        <v>4317</v>
      </c>
      <c r="K19" s="15">
        <f>L19+4334+5583+3182+1657</f>
        <v>19073</v>
      </c>
      <c r="L19" s="15">
        <f>1639+2678</f>
        <v>4317</v>
      </c>
      <c r="M19" s="15">
        <f t="shared" si="0"/>
        <v>4317</v>
      </c>
      <c r="N19" s="15">
        <v>0</v>
      </c>
      <c r="O19" s="58">
        <f t="shared" si="1"/>
        <v>0</v>
      </c>
      <c r="P19" s="39">
        <f t="shared" si="2"/>
        <v>20</v>
      </c>
      <c r="Q19" s="40">
        <f t="shared" si="3"/>
        <v>4</v>
      </c>
      <c r="R19" s="7"/>
      <c r="S19" s="6">
        <v>4</v>
      </c>
      <c r="T19" s="16"/>
      <c r="U19" s="16"/>
      <c r="V19" s="17"/>
      <c r="W19" s="5"/>
      <c r="X19" s="16"/>
      <c r="Y19" s="16"/>
      <c r="Z19" s="16"/>
      <c r="AA19" s="18"/>
      <c r="AB19" s="8">
        <f t="shared" si="4"/>
        <v>1</v>
      </c>
      <c r="AC19" s="9">
        <f t="shared" si="5"/>
        <v>0.83333333333333337</v>
      </c>
      <c r="AD19" s="10">
        <f t="shared" si="6"/>
        <v>0.83333333333333337</v>
      </c>
      <c r="AE19" s="36">
        <f>$AD$23</f>
        <v>0.52450980392156854</v>
      </c>
      <c r="AF19" s="84">
        <f t="shared" si="7"/>
        <v>13</v>
      </c>
    </row>
    <row r="20" spans="1:32" ht="27" customHeight="1">
      <c r="A20" s="96">
        <v>14</v>
      </c>
      <c r="B20" s="11" t="s">
        <v>57</v>
      </c>
      <c r="C20" s="11" t="s">
        <v>112</v>
      </c>
      <c r="D20" s="52" t="s">
        <v>115</v>
      </c>
      <c r="E20" s="53" t="s">
        <v>556</v>
      </c>
      <c r="F20" s="30" t="s">
        <v>567</v>
      </c>
      <c r="G20" s="33">
        <v>1</v>
      </c>
      <c r="H20" s="35">
        <v>24</v>
      </c>
      <c r="I20" s="7">
        <v>300</v>
      </c>
      <c r="J20" s="14">
        <v>792</v>
      </c>
      <c r="K20" s="15">
        <f>L20</f>
        <v>792</v>
      </c>
      <c r="L20" s="15">
        <f>724+68</f>
        <v>792</v>
      </c>
      <c r="M20" s="15">
        <f t="shared" si="0"/>
        <v>792</v>
      </c>
      <c r="N20" s="15">
        <v>0</v>
      </c>
      <c r="O20" s="58">
        <f t="shared" si="1"/>
        <v>0</v>
      </c>
      <c r="P20" s="39">
        <f t="shared" si="2"/>
        <v>14</v>
      </c>
      <c r="Q20" s="40">
        <f t="shared" si="3"/>
        <v>10</v>
      </c>
      <c r="R20" s="7"/>
      <c r="S20" s="6"/>
      <c r="T20" s="16"/>
      <c r="U20" s="16"/>
      <c r="V20" s="17"/>
      <c r="W20" s="5">
        <v>10</v>
      </c>
      <c r="X20" s="16"/>
      <c r="Y20" s="16"/>
      <c r="Z20" s="16"/>
      <c r="AA20" s="18"/>
      <c r="AB20" s="8">
        <f t="shared" si="4"/>
        <v>1</v>
      </c>
      <c r="AC20" s="9">
        <f t="shared" si="5"/>
        <v>0.58333333333333337</v>
      </c>
      <c r="AD20" s="10">
        <f t="shared" si="6"/>
        <v>0.58333333333333337</v>
      </c>
      <c r="AE20" s="36">
        <f>$AD$23</f>
        <v>0.52450980392156854</v>
      </c>
      <c r="AF20" s="84">
        <f t="shared" si="7"/>
        <v>14</v>
      </c>
    </row>
    <row r="21" spans="1:32" ht="30" customHeight="1">
      <c r="A21" s="112">
        <v>15</v>
      </c>
      <c r="B21" s="11" t="s">
        <v>57</v>
      </c>
      <c r="C21" s="34" t="s">
        <v>112</v>
      </c>
      <c r="D21" s="52" t="s">
        <v>132</v>
      </c>
      <c r="E21" s="53" t="s">
        <v>551</v>
      </c>
      <c r="F21" s="30" t="s">
        <v>550</v>
      </c>
      <c r="G21" s="12">
        <v>1</v>
      </c>
      <c r="H21" s="13">
        <v>24</v>
      </c>
      <c r="I21" s="7">
        <v>6000</v>
      </c>
      <c r="J21" s="14">
        <v>5626</v>
      </c>
      <c r="K21" s="15">
        <f>L21+3956</f>
        <v>9582</v>
      </c>
      <c r="L21" s="15">
        <f>2705+2921</f>
        <v>5626</v>
      </c>
      <c r="M21" s="15">
        <f t="shared" si="0"/>
        <v>5626</v>
      </c>
      <c r="N21" s="15">
        <v>0</v>
      </c>
      <c r="O21" s="58">
        <f t="shared" si="1"/>
        <v>0</v>
      </c>
      <c r="P21" s="39">
        <f t="shared" si="2"/>
        <v>24</v>
      </c>
      <c r="Q21" s="40">
        <f t="shared" si="3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4"/>
        <v>1</v>
      </c>
      <c r="AC21" s="9">
        <f t="shared" si="5"/>
        <v>1</v>
      </c>
      <c r="AD21" s="10">
        <f t="shared" si="6"/>
        <v>1</v>
      </c>
      <c r="AE21" s="36">
        <f>$AD$23</f>
        <v>0.52450980392156854</v>
      </c>
      <c r="AF21" s="84">
        <f t="shared" si="7"/>
        <v>15</v>
      </c>
    </row>
    <row r="22" spans="1:32" ht="27" customHeight="1" thickBot="1">
      <c r="A22" s="96">
        <v>16</v>
      </c>
      <c r="B22" s="11" t="s">
        <v>57</v>
      </c>
      <c r="C22" s="11" t="s">
        <v>113</v>
      </c>
      <c r="D22" s="52"/>
      <c r="E22" s="53" t="s">
        <v>306</v>
      </c>
      <c r="F22" s="12" t="s">
        <v>114</v>
      </c>
      <c r="G22" s="12">
        <v>4</v>
      </c>
      <c r="H22" s="35">
        <v>20</v>
      </c>
      <c r="I22" s="7">
        <v>800000</v>
      </c>
      <c r="J22" s="14">
        <v>57160</v>
      </c>
      <c r="K22" s="15">
        <f>L22+52848+58908+58380+58904+60440+12000+48800+57140+58388+26200+49588+57728+58100+57192</f>
        <v>771776</v>
      </c>
      <c r="L22" s="15">
        <f>7181*4+7109*4</f>
        <v>57160</v>
      </c>
      <c r="M22" s="15">
        <f t="shared" si="0"/>
        <v>57160</v>
      </c>
      <c r="N22" s="15">
        <v>0</v>
      </c>
      <c r="O22" s="58">
        <f t="shared" si="1"/>
        <v>0</v>
      </c>
      <c r="P22" s="39">
        <f t="shared" si="2"/>
        <v>24</v>
      </c>
      <c r="Q22" s="40">
        <f t="shared" si="3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4"/>
        <v>1</v>
      </c>
      <c r="AC22" s="9">
        <f t="shared" si="5"/>
        <v>1</v>
      </c>
      <c r="AD22" s="10">
        <f t="shared" si="6"/>
        <v>1</v>
      </c>
      <c r="AE22" s="36">
        <f>$AD$23</f>
        <v>0.52450980392156854</v>
      </c>
      <c r="AF22" s="84">
        <f t="shared" si="7"/>
        <v>16</v>
      </c>
    </row>
    <row r="23" spans="1:32" ht="31.5" customHeight="1" thickBot="1">
      <c r="A23" s="444" t="s">
        <v>34</v>
      </c>
      <c r="B23" s="445"/>
      <c r="C23" s="445"/>
      <c r="D23" s="445"/>
      <c r="E23" s="445"/>
      <c r="F23" s="445"/>
      <c r="G23" s="445"/>
      <c r="H23" s="446"/>
      <c r="I23" s="22">
        <f t="shared" ref="I23:N23" si="16">SUM(I6:I22)</f>
        <v>1298660</v>
      </c>
      <c r="J23" s="19">
        <f t="shared" si="16"/>
        <v>102840</v>
      </c>
      <c r="K23" s="20">
        <f t="shared" si="16"/>
        <v>1507165</v>
      </c>
      <c r="L23" s="21">
        <f t="shared" si="16"/>
        <v>100779</v>
      </c>
      <c r="M23" s="20">
        <f t="shared" si="16"/>
        <v>100779</v>
      </c>
      <c r="N23" s="21">
        <f t="shared" si="16"/>
        <v>0</v>
      </c>
      <c r="O23" s="41">
        <f t="shared" si="1"/>
        <v>0</v>
      </c>
      <c r="P23" s="42">
        <f t="shared" ref="P23:AA23" si="17">SUM(P6:P22)</f>
        <v>214</v>
      </c>
      <c r="Q23" s="43">
        <f t="shared" si="17"/>
        <v>194</v>
      </c>
      <c r="R23" s="23">
        <f t="shared" si="17"/>
        <v>24</v>
      </c>
      <c r="S23" s="24">
        <f t="shared" si="17"/>
        <v>45</v>
      </c>
      <c r="T23" s="24">
        <f t="shared" si="17"/>
        <v>0</v>
      </c>
      <c r="U23" s="24">
        <f t="shared" si="17"/>
        <v>0</v>
      </c>
      <c r="V23" s="25">
        <f t="shared" si="17"/>
        <v>0</v>
      </c>
      <c r="W23" s="26">
        <f t="shared" si="17"/>
        <v>95</v>
      </c>
      <c r="X23" s="27">
        <f t="shared" si="17"/>
        <v>0</v>
      </c>
      <c r="Y23" s="27">
        <f t="shared" si="17"/>
        <v>0</v>
      </c>
      <c r="Z23" s="27">
        <f t="shared" si="17"/>
        <v>0</v>
      </c>
      <c r="AA23" s="27">
        <f t="shared" si="17"/>
        <v>30</v>
      </c>
      <c r="AB23" s="28">
        <f>AVERAGE(AB6:AB22)</f>
        <v>0.82352941176470584</v>
      </c>
      <c r="AC23" s="4">
        <f>AVERAGE(AC6:AC22)</f>
        <v>0.52450980392156854</v>
      </c>
      <c r="AD23" s="4">
        <f>AVERAGE(AD6:AD22)</f>
        <v>0.52450980392156854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5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447" t="s">
        <v>45</v>
      </c>
      <c r="B50" s="447"/>
      <c r="C50" s="447"/>
      <c r="D50" s="447"/>
      <c r="E50" s="44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448" t="s">
        <v>568</v>
      </c>
      <c r="B51" s="449"/>
      <c r="C51" s="449"/>
      <c r="D51" s="449"/>
      <c r="E51" s="449"/>
      <c r="F51" s="449"/>
      <c r="G51" s="449"/>
      <c r="H51" s="449"/>
      <c r="I51" s="449"/>
      <c r="J51" s="449"/>
      <c r="K51" s="449"/>
      <c r="L51" s="449"/>
      <c r="M51" s="450"/>
      <c r="N51" s="451" t="s">
        <v>572</v>
      </c>
      <c r="O51" s="452"/>
      <c r="P51" s="452"/>
      <c r="Q51" s="452"/>
      <c r="R51" s="452"/>
      <c r="S51" s="452"/>
      <c r="T51" s="452"/>
      <c r="U51" s="452"/>
      <c r="V51" s="452"/>
      <c r="W51" s="452"/>
      <c r="X51" s="452"/>
      <c r="Y51" s="452"/>
      <c r="Z51" s="452"/>
      <c r="AA51" s="452"/>
      <c r="AB51" s="452"/>
      <c r="AC51" s="452"/>
      <c r="AD51" s="453"/>
    </row>
    <row r="52" spans="1:32" ht="27" customHeight="1">
      <c r="A52" s="454" t="s">
        <v>2</v>
      </c>
      <c r="B52" s="455"/>
      <c r="C52" s="428" t="s">
        <v>46</v>
      </c>
      <c r="D52" s="428" t="s">
        <v>47</v>
      </c>
      <c r="E52" s="428" t="s">
        <v>107</v>
      </c>
      <c r="F52" s="456" t="s">
        <v>106</v>
      </c>
      <c r="G52" s="457"/>
      <c r="H52" s="457"/>
      <c r="I52" s="457"/>
      <c r="J52" s="457"/>
      <c r="K52" s="457"/>
      <c r="L52" s="457"/>
      <c r="M52" s="458"/>
      <c r="N52" s="67" t="s">
        <v>110</v>
      </c>
      <c r="O52" s="428" t="s">
        <v>46</v>
      </c>
      <c r="P52" s="456" t="s">
        <v>47</v>
      </c>
      <c r="Q52" s="459"/>
      <c r="R52" s="456" t="s">
        <v>38</v>
      </c>
      <c r="S52" s="457"/>
      <c r="T52" s="457"/>
      <c r="U52" s="459"/>
      <c r="V52" s="456" t="s">
        <v>48</v>
      </c>
      <c r="W52" s="457"/>
      <c r="X52" s="457"/>
      <c r="Y52" s="457"/>
      <c r="Z52" s="457"/>
      <c r="AA52" s="457"/>
      <c r="AB52" s="457"/>
      <c r="AC52" s="457"/>
      <c r="AD52" s="458"/>
    </row>
    <row r="53" spans="1:32" ht="27" customHeight="1">
      <c r="A53" s="480" t="s">
        <v>118</v>
      </c>
      <c r="B53" s="481"/>
      <c r="C53" s="424" t="s">
        <v>149</v>
      </c>
      <c r="D53" s="424" t="s">
        <v>115</v>
      </c>
      <c r="E53" s="424" t="s">
        <v>294</v>
      </c>
      <c r="F53" s="472" t="s">
        <v>569</v>
      </c>
      <c r="G53" s="473"/>
      <c r="H53" s="473"/>
      <c r="I53" s="473"/>
      <c r="J53" s="473"/>
      <c r="K53" s="473"/>
      <c r="L53" s="473"/>
      <c r="M53" s="474"/>
      <c r="N53" s="427" t="s">
        <v>188</v>
      </c>
      <c r="O53" s="421" t="s">
        <v>211</v>
      </c>
      <c r="P53" s="475" t="s">
        <v>115</v>
      </c>
      <c r="Q53" s="476"/>
      <c r="R53" s="475" t="s">
        <v>282</v>
      </c>
      <c r="S53" s="477"/>
      <c r="T53" s="477"/>
      <c r="U53" s="476"/>
      <c r="V53" s="478" t="s">
        <v>124</v>
      </c>
      <c r="W53" s="478"/>
      <c r="X53" s="478"/>
      <c r="Y53" s="478"/>
      <c r="Z53" s="478"/>
      <c r="AA53" s="478"/>
      <c r="AB53" s="478"/>
      <c r="AC53" s="478"/>
      <c r="AD53" s="479"/>
    </row>
    <row r="54" spans="1:32" ht="27" customHeight="1">
      <c r="A54" s="480" t="s">
        <v>112</v>
      </c>
      <c r="B54" s="481"/>
      <c r="C54" s="424" t="s">
        <v>128</v>
      </c>
      <c r="D54" s="424" t="s">
        <v>115</v>
      </c>
      <c r="E54" s="424" t="s">
        <v>508</v>
      </c>
      <c r="F54" s="472" t="s">
        <v>124</v>
      </c>
      <c r="G54" s="473"/>
      <c r="H54" s="473"/>
      <c r="I54" s="473"/>
      <c r="J54" s="473"/>
      <c r="K54" s="473"/>
      <c r="L54" s="473"/>
      <c r="M54" s="474"/>
      <c r="N54" s="427" t="s">
        <v>565</v>
      </c>
      <c r="O54" s="421" t="s">
        <v>205</v>
      </c>
      <c r="P54" s="475" t="s">
        <v>574</v>
      </c>
      <c r="Q54" s="476"/>
      <c r="R54" s="475" t="s">
        <v>573</v>
      </c>
      <c r="S54" s="477"/>
      <c r="T54" s="477"/>
      <c r="U54" s="476"/>
      <c r="V54" s="478" t="s">
        <v>187</v>
      </c>
      <c r="W54" s="478"/>
      <c r="X54" s="478"/>
      <c r="Y54" s="478"/>
      <c r="Z54" s="478"/>
      <c r="AA54" s="478"/>
      <c r="AB54" s="478"/>
      <c r="AC54" s="478"/>
      <c r="AD54" s="479"/>
    </row>
    <row r="55" spans="1:32" ht="27" customHeight="1">
      <c r="A55" s="480" t="s">
        <v>118</v>
      </c>
      <c r="B55" s="481"/>
      <c r="C55" s="424" t="s">
        <v>214</v>
      </c>
      <c r="D55" s="424" t="s">
        <v>115</v>
      </c>
      <c r="E55" s="424" t="s">
        <v>474</v>
      </c>
      <c r="F55" s="472" t="s">
        <v>124</v>
      </c>
      <c r="G55" s="473"/>
      <c r="H55" s="473"/>
      <c r="I55" s="473"/>
      <c r="J55" s="473"/>
      <c r="K55" s="473"/>
      <c r="L55" s="473"/>
      <c r="M55" s="474"/>
      <c r="N55" s="427" t="s">
        <v>113</v>
      </c>
      <c r="O55" s="421" t="s">
        <v>386</v>
      </c>
      <c r="P55" s="475"/>
      <c r="Q55" s="476"/>
      <c r="R55" s="475" t="s">
        <v>575</v>
      </c>
      <c r="S55" s="477"/>
      <c r="T55" s="477"/>
      <c r="U55" s="476"/>
      <c r="V55" s="478" t="s">
        <v>187</v>
      </c>
      <c r="W55" s="478"/>
      <c r="X55" s="478"/>
      <c r="Y55" s="478"/>
      <c r="Z55" s="478"/>
      <c r="AA55" s="478"/>
      <c r="AB55" s="478"/>
      <c r="AC55" s="478"/>
      <c r="AD55" s="479"/>
    </row>
    <row r="56" spans="1:32" ht="27" customHeight="1">
      <c r="A56" s="480" t="s">
        <v>112</v>
      </c>
      <c r="B56" s="481"/>
      <c r="C56" s="424" t="s">
        <v>209</v>
      </c>
      <c r="D56" s="424" t="s">
        <v>115</v>
      </c>
      <c r="E56" s="424" t="s">
        <v>556</v>
      </c>
      <c r="F56" s="472" t="s">
        <v>187</v>
      </c>
      <c r="G56" s="473"/>
      <c r="H56" s="473"/>
      <c r="I56" s="473"/>
      <c r="J56" s="473"/>
      <c r="K56" s="473"/>
      <c r="L56" s="473"/>
      <c r="M56" s="474"/>
      <c r="N56" s="427" t="s">
        <v>577</v>
      </c>
      <c r="O56" s="421" t="s">
        <v>184</v>
      </c>
      <c r="P56" s="475"/>
      <c r="Q56" s="476"/>
      <c r="R56" s="475" t="s">
        <v>576</v>
      </c>
      <c r="S56" s="477"/>
      <c r="T56" s="477"/>
      <c r="U56" s="476"/>
      <c r="V56" s="478" t="s">
        <v>187</v>
      </c>
      <c r="W56" s="478"/>
      <c r="X56" s="478"/>
      <c r="Y56" s="478"/>
      <c r="Z56" s="478"/>
      <c r="AA56" s="478"/>
      <c r="AB56" s="478"/>
      <c r="AC56" s="478"/>
      <c r="AD56" s="479"/>
    </row>
    <row r="57" spans="1:32" ht="27" customHeight="1">
      <c r="A57" s="480" t="s">
        <v>112</v>
      </c>
      <c r="B57" s="481"/>
      <c r="C57" s="424" t="s">
        <v>192</v>
      </c>
      <c r="D57" s="424" t="s">
        <v>154</v>
      </c>
      <c r="E57" s="424" t="s">
        <v>511</v>
      </c>
      <c r="F57" s="472" t="s">
        <v>471</v>
      </c>
      <c r="G57" s="473"/>
      <c r="H57" s="473"/>
      <c r="I57" s="473"/>
      <c r="J57" s="473"/>
      <c r="K57" s="473"/>
      <c r="L57" s="473"/>
      <c r="M57" s="474"/>
      <c r="N57" s="427"/>
      <c r="O57" s="421"/>
      <c r="P57" s="475"/>
      <c r="Q57" s="476"/>
      <c r="R57" s="475"/>
      <c r="S57" s="477"/>
      <c r="T57" s="477"/>
      <c r="U57" s="476"/>
      <c r="V57" s="478"/>
      <c r="W57" s="478"/>
      <c r="X57" s="478"/>
      <c r="Y57" s="478"/>
      <c r="Z57" s="478"/>
      <c r="AA57" s="478"/>
      <c r="AB57" s="478"/>
      <c r="AC57" s="478"/>
      <c r="AD57" s="479"/>
    </row>
    <row r="58" spans="1:32" ht="27" customHeight="1">
      <c r="A58" s="480" t="s">
        <v>565</v>
      </c>
      <c r="B58" s="481"/>
      <c r="C58" s="424" t="s">
        <v>205</v>
      </c>
      <c r="D58" s="424" t="s">
        <v>570</v>
      </c>
      <c r="E58" s="424" t="s">
        <v>566</v>
      </c>
      <c r="F58" s="472" t="s">
        <v>187</v>
      </c>
      <c r="G58" s="473"/>
      <c r="H58" s="473"/>
      <c r="I58" s="473"/>
      <c r="J58" s="473"/>
      <c r="K58" s="473"/>
      <c r="L58" s="473"/>
      <c r="M58" s="474"/>
      <c r="N58" s="427"/>
      <c r="O58" s="421"/>
      <c r="P58" s="475"/>
      <c r="Q58" s="476"/>
      <c r="R58" s="475"/>
      <c r="S58" s="477"/>
      <c r="T58" s="477"/>
      <c r="U58" s="476"/>
      <c r="V58" s="478"/>
      <c r="W58" s="478"/>
      <c r="X58" s="478"/>
      <c r="Y58" s="478"/>
      <c r="Z58" s="478"/>
      <c r="AA58" s="478"/>
      <c r="AB58" s="478"/>
      <c r="AC58" s="478"/>
      <c r="AD58" s="479"/>
    </row>
    <row r="59" spans="1:32" ht="27" customHeight="1">
      <c r="A59" s="480" t="s">
        <v>188</v>
      </c>
      <c r="B59" s="481"/>
      <c r="C59" s="424" t="s">
        <v>211</v>
      </c>
      <c r="D59" s="424" t="s">
        <v>115</v>
      </c>
      <c r="E59" s="424" t="s">
        <v>282</v>
      </c>
      <c r="F59" s="472" t="s">
        <v>571</v>
      </c>
      <c r="G59" s="473"/>
      <c r="H59" s="473"/>
      <c r="I59" s="473"/>
      <c r="J59" s="473"/>
      <c r="K59" s="473"/>
      <c r="L59" s="473"/>
      <c r="M59" s="474"/>
      <c r="N59" s="427"/>
      <c r="O59" s="421"/>
      <c r="P59" s="475"/>
      <c r="Q59" s="476"/>
      <c r="R59" s="475"/>
      <c r="S59" s="477"/>
      <c r="T59" s="477"/>
      <c r="U59" s="476"/>
      <c r="V59" s="478"/>
      <c r="W59" s="478"/>
      <c r="X59" s="478"/>
      <c r="Y59" s="478"/>
      <c r="Z59" s="478"/>
      <c r="AA59" s="478"/>
      <c r="AB59" s="478"/>
      <c r="AC59" s="478"/>
      <c r="AD59" s="479"/>
    </row>
    <row r="60" spans="1:32" ht="27" customHeight="1">
      <c r="A60" s="480"/>
      <c r="B60" s="481"/>
      <c r="C60" s="424"/>
      <c r="D60" s="424"/>
      <c r="E60" s="424"/>
      <c r="F60" s="472"/>
      <c r="G60" s="473"/>
      <c r="H60" s="473"/>
      <c r="I60" s="473"/>
      <c r="J60" s="473"/>
      <c r="K60" s="473"/>
      <c r="L60" s="473"/>
      <c r="M60" s="474"/>
      <c r="N60" s="427"/>
      <c r="O60" s="421"/>
      <c r="P60" s="475"/>
      <c r="Q60" s="476"/>
      <c r="R60" s="481"/>
      <c r="S60" s="481"/>
      <c r="T60" s="481"/>
      <c r="U60" s="481"/>
      <c r="V60" s="478"/>
      <c r="W60" s="478"/>
      <c r="X60" s="478"/>
      <c r="Y60" s="478"/>
      <c r="Z60" s="478"/>
      <c r="AA60" s="478"/>
      <c r="AB60" s="478"/>
      <c r="AC60" s="478"/>
      <c r="AD60" s="479"/>
    </row>
    <row r="61" spans="1:32" ht="27" customHeight="1">
      <c r="A61" s="470"/>
      <c r="B61" s="471"/>
      <c r="C61" s="423"/>
      <c r="D61" s="423"/>
      <c r="E61" s="424"/>
      <c r="F61" s="472"/>
      <c r="G61" s="473"/>
      <c r="H61" s="473"/>
      <c r="I61" s="473"/>
      <c r="J61" s="473"/>
      <c r="K61" s="473"/>
      <c r="L61" s="473"/>
      <c r="M61" s="474"/>
      <c r="N61" s="427"/>
      <c r="O61" s="421"/>
      <c r="P61" s="481"/>
      <c r="Q61" s="481"/>
      <c r="R61" s="481"/>
      <c r="S61" s="481"/>
      <c r="T61" s="481"/>
      <c r="U61" s="481"/>
      <c r="V61" s="478"/>
      <c r="W61" s="478"/>
      <c r="X61" s="478"/>
      <c r="Y61" s="478"/>
      <c r="Z61" s="478"/>
      <c r="AA61" s="478"/>
      <c r="AB61" s="478"/>
      <c r="AC61" s="478"/>
      <c r="AD61" s="479"/>
      <c r="AF61" s="84">
        <f>8*3000</f>
        <v>24000</v>
      </c>
    </row>
    <row r="62" spans="1:32" ht="27" customHeight="1" thickBot="1">
      <c r="A62" s="482"/>
      <c r="B62" s="483"/>
      <c r="C62" s="425"/>
      <c r="D62" s="426"/>
      <c r="E62" s="425"/>
      <c r="F62" s="484"/>
      <c r="G62" s="485"/>
      <c r="H62" s="485"/>
      <c r="I62" s="485"/>
      <c r="J62" s="485"/>
      <c r="K62" s="485"/>
      <c r="L62" s="485"/>
      <c r="M62" s="486"/>
      <c r="N62" s="111"/>
      <c r="O62" s="103"/>
      <c r="P62" s="487"/>
      <c r="Q62" s="487"/>
      <c r="R62" s="487"/>
      <c r="S62" s="487"/>
      <c r="T62" s="487"/>
      <c r="U62" s="487"/>
      <c r="V62" s="488"/>
      <c r="W62" s="488"/>
      <c r="X62" s="488"/>
      <c r="Y62" s="488"/>
      <c r="Z62" s="488"/>
      <c r="AA62" s="488"/>
      <c r="AB62" s="488"/>
      <c r="AC62" s="488"/>
      <c r="AD62" s="489"/>
      <c r="AF62" s="84">
        <f>16*3000</f>
        <v>48000</v>
      </c>
    </row>
    <row r="63" spans="1:32" ht="27.75" thickBot="1">
      <c r="A63" s="490" t="s">
        <v>578</v>
      </c>
      <c r="B63" s="490"/>
      <c r="C63" s="490"/>
      <c r="D63" s="490"/>
      <c r="E63" s="490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4">
        <v>24000</v>
      </c>
    </row>
    <row r="64" spans="1:32" ht="29.25" customHeight="1" thickBot="1">
      <c r="A64" s="491" t="s">
        <v>111</v>
      </c>
      <c r="B64" s="492"/>
      <c r="C64" s="422" t="s">
        <v>2</v>
      </c>
      <c r="D64" s="422" t="s">
        <v>37</v>
      </c>
      <c r="E64" s="422" t="s">
        <v>3</v>
      </c>
      <c r="F64" s="492" t="s">
        <v>109</v>
      </c>
      <c r="G64" s="492"/>
      <c r="H64" s="492"/>
      <c r="I64" s="492"/>
      <c r="J64" s="492"/>
      <c r="K64" s="492" t="s">
        <v>39</v>
      </c>
      <c r="L64" s="492"/>
      <c r="M64" s="422" t="s">
        <v>40</v>
      </c>
      <c r="N64" s="492" t="s">
        <v>41</v>
      </c>
      <c r="O64" s="492"/>
      <c r="P64" s="493" t="s">
        <v>42</v>
      </c>
      <c r="Q64" s="494"/>
      <c r="R64" s="493" t="s">
        <v>43</v>
      </c>
      <c r="S64" s="495"/>
      <c r="T64" s="495"/>
      <c r="U64" s="495"/>
      <c r="V64" s="495"/>
      <c r="W64" s="495"/>
      <c r="X64" s="495"/>
      <c r="Y64" s="495"/>
      <c r="Z64" s="495"/>
      <c r="AA64" s="494"/>
      <c r="AB64" s="492" t="s">
        <v>44</v>
      </c>
      <c r="AC64" s="492"/>
      <c r="AD64" s="496"/>
      <c r="AF64" s="84">
        <f>SUM(AF61:AF63)</f>
        <v>96000</v>
      </c>
    </row>
    <row r="65" spans="1:32" ht="25.5" customHeight="1">
      <c r="A65" s="497">
        <v>1</v>
      </c>
      <c r="B65" s="498"/>
      <c r="C65" s="104" t="s">
        <v>112</v>
      </c>
      <c r="D65" s="417"/>
      <c r="E65" s="420" t="s">
        <v>154</v>
      </c>
      <c r="F65" s="499" t="s">
        <v>511</v>
      </c>
      <c r="G65" s="500"/>
      <c r="H65" s="500"/>
      <c r="I65" s="500"/>
      <c r="J65" s="501"/>
      <c r="K65" s="502" t="s">
        <v>134</v>
      </c>
      <c r="L65" s="502"/>
      <c r="M65" s="51" t="s">
        <v>191</v>
      </c>
      <c r="N65" s="503" t="s">
        <v>192</v>
      </c>
      <c r="O65" s="503"/>
      <c r="P65" s="504">
        <v>50</v>
      </c>
      <c r="Q65" s="504"/>
      <c r="R65" s="478"/>
      <c r="S65" s="478"/>
      <c r="T65" s="478"/>
      <c r="U65" s="478"/>
      <c r="V65" s="478"/>
      <c r="W65" s="478"/>
      <c r="X65" s="478"/>
      <c r="Y65" s="478"/>
      <c r="Z65" s="478"/>
      <c r="AA65" s="478"/>
      <c r="AB65" s="502"/>
      <c r="AC65" s="502"/>
      <c r="AD65" s="505"/>
      <c r="AF65" s="50"/>
    </row>
    <row r="66" spans="1:32" ht="25.5" customHeight="1">
      <c r="A66" s="497">
        <v>2</v>
      </c>
      <c r="B66" s="498"/>
      <c r="C66" s="104" t="s">
        <v>112</v>
      </c>
      <c r="D66" s="417"/>
      <c r="E66" s="420" t="s">
        <v>154</v>
      </c>
      <c r="F66" s="499" t="s">
        <v>579</v>
      </c>
      <c r="G66" s="500"/>
      <c r="H66" s="500"/>
      <c r="I66" s="500"/>
      <c r="J66" s="501"/>
      <c r="K66" s="502" t="s">
        <v>134</v>
      </c>
      <c r="L66" s="502"/>
      <c r="M66" s="51" t="s">
        <v>191</v>
      </c>
      <c r="N66" s="503" t="s">
        <v>205</v>
      </c>
      <c r="O66" s="503"/>
      <c r="P66" s="504">
        <v>200</v>
      </c>
      <c r="Q66" s="504"/>
      <c r="R66" s="478"/>
      <c r="S66" s="478"/>
      <c r="T66" s="478"/>
      <c r="U66" s="478"/>
      <c r="V66" s="478"/>
      <c r="W66" s="478"/>
      <c r="X66" s="478"/>
      <c r="Y66" s="478"/>
      <c r="Z66" s="478"/>
      <c r="AA66" s="478"/>
      <c r="AB66" s="502"/>
      <c r="AC66" s="502"/>
      <c r="AD66" s="505"/>
      <c r="AF66" s="50"/>
    </row>
    <row r="67" spans="1:32" ht="25.5" customHeight="1">
      <c r="A67" s="497">
        <v>3</v>
      </c>
      <c r="B67" s="498"/>
      <c r="C67" s="104" t="s">
        <v>112</v>
      </c>
      <c r="D67" s="417"/>
      <c r="E67" s="420" t="s">
        <v>132</v>
      </c>
      <c r="F67" s="499" t="s">
        <v>370</v>
      </c>
      <c r="G67" s="500"/>
      <c r="H67" s="500"/>
      <c r="I67" s="500"/>
      <c r="J67" s="501"/>
      <c r="K67" s="502" t="s">
        <v>355</v>
      </c>
      <c r="L67" s="502"/>
      <c r="M67" s="51" t="s">
        <v>524</v>
      </c>
      <c r="N67" s="503" t="s">
        <v>313</v>
      </c>
      <c r="O67" s="503"/>
      <c r="P67" s="504">
        <v>50</v>
      </c>
      <c r="Q67" s="504"/>
      <c r="R67" s="478"/>
      <c r="S67" s="478"/>
      <c r="T67" s="478"/>
      <c r="U67" s="478"/>
      <c r="V67" s="478"/>
      <c r="W67" s="478"/>
      <c r="X67" s="478"/>
      <c r="Y67" s="478"/>
      <c r="Z67" s="478"/>
      <c r="AA67" s="478"/>
      <c r="AB67" s="502"/>
      <c r="AC67" s="502"/>
      <c r="AD67" s="505"/>
      <c r="AF67" s="50"/>
    </row>
    <row r="68" spans="1:32" ht="25.5" customHeight="1">
      <c r="A68" s="497">
        <v>4</v>
      </c>
      <c r="B68" s="498"/>
      <c r="C68" s="104"/>
      <c r="D68" s="417"/>
      <c r="E68" s="420"/>
      <c r="F68" s="499"/>
      <c r="G68" s="500"/>
      <c r="H68" s="500"/>
      <c r="I68" s="500"/>
      <c r="J68" s="501"/>
      <c r="K68" s="502"/>
      <c r="L68" s="502"/>
      <c r="M68" s="51"/>
      <c r="N68" s="503"/>
      <c r="O68" s="503"/>
      <c r="P68" s="504"/>
      <c r="Q68" s="504"/>
      <c r="R68" s="478"/>
      <c r="S68" s="478"/>
      <c r="T68" s="478"/>
      <c r="U68" s="478"/>
      <c r="V68" s="478"/>
      <c r="W68" s="478"/>
      <c r="X68" s="478"/>
      <c r="Y68" s="478"/>
      <c r="Z68" s="478"/>
      <c r="AA68" s="478"/>
      <c r="AB68" s="502"/>
      <c r="AC68" s="502"/>
      <c r="AD68" s="505"/>
      <c r="AF68" s="50"/>
    </row>
    <row r="69" spans="1:32" ht="25.5" customHeight="1">
      <c r="A69" s="497">
        <v>5</v>
      </c>
      <c r="B69" s="498"/>
      <c r="C69" s="104"/>
      <c r="D69" s="417"/>
      <c r="E69" s="420"/>
      <c r="F69" s="499"/>
      <c r="G69" s="500"/>
      <c r="H69" s="500"/>
      <c r="I69" s="500"/>
      <c r="J69" s="501"/>
      <c r="K69" s="502"/>
      <c r="L69" s="502"/>
      <c r="M69" s="51"/>
      <c r="N69" s="503"/>
      <c r="O69" s="503"/>
      <c r="P69" s="504"/>
      <c r="Q69" s="504"/>
      <c r="R69" s="478"/>
      <c r="S69" s="478"/>
      <c r="T69" s="478"/>
      <c r="U69" s="478"/>
      <c r="V69" s="478"/>
      <c r="W69" s="478"/>
      <c r="X69" s="478"/>
      <c r="Y69" s="478"/>
      <c r="Z69" s="478"/>
      <c r="AA69" s="478"/>
      <c r="AB69" s="502"/>
      <c r="AC69" s="502"/>
      <c r="AD69" s="505"/>
      <c r="AF69" s="50"/>
    </row>
    <row r="70" spans="1:32" ht="25.5" customHeight="1">
      <c r="A70" s="497">
        <v>6</v>
      </c>
      <c r="B70" s="498"/>
      <c r="C70" s="104"/>
      <c r="D70" s="417"/>
      <c r="E70" s="420"/>
      <c r="F70" s="499"/>
      <c r="G70" s="500"/>
      <c r="H70" s="500"/>
      <c r="I70" s="500"/>
      <c r="J70" s="501"/>
      <c r="K70" s="502"/>
      <c r="L70" s="502"/>
      <c r="M70" s="51"/>
      <c r="N70" s="503"/>
      <c r="O70" s="503"/>
      <c r="P70" s="504"/>
      <c r="Q70" s="504"/>
      <c r="R70" s="478"/>
      <c r="S70" s="478"/>
      <c r="T70" s="478"/>
      <c r="U70" s="478"/>
      <c r="V70" s="478"/>
      <c r="W70" s="478"/>
      <c r="X70" s="478"/>
      <c r="Y70" s="478"/>
      <c r="Z70" s="478"/>
      <c r="AA70" s="478"/>
      <c r="AB70" s="502"/>
      <c r="AC70" s="502"/>
      <c r="AD70" s="505"/>
      <c r="AF70" s="50"/>
    </row>
    <row r="71" spans="1:32" ht="25.5" customHeight="1">
      <c r="A71" s="497">
        <v>7</v>
      </c>
      <c r="B71" s="498"/>
      <c r="C71" s="104"/>
      <c r="D71" s="417"/>
      <c r="E71" s="420"/>
      <c r="F71" s="499"/>
      <c r="G71" s="500"/>
      <c r="H71" s="500"/>
      <c r="I71" s="500"/>
      <c r="J71" s="501"/>
      <c r="K71" s="502"/>
      <c r="L71" s="502"/>
      <c r="M71" s="51"/>
      <c r="N71" s="503"/>
      <c r="O71" s="503"/>
      <c r="P71" s="504"/>
      <c r="Q71" s="504"/>
      <c r="R71" s="478"/>
      <c r="S71" s="478"/>
      <c r="T71" s="478"/>
      <c r="U71" s="478"/>
      <c r="V71" s="478"/>
      <c r="W71" s="478"/>
      <c r="X71" s="478"/>
      <c r="Y71" s="478"/>
      <c r="Z71" s="478"/>
      <c r="AA71" s="478"/>
      <c r="AB71" s="502"/>
      <c r="AC71" s="502"/>
      <c r="AD71" s="505"/>
      <c r="AF71" s="50"/>
    </row>
    <row r="72" spans="1:32" ht="25.5" customHeight="1">
      <c r="A72" s="497">
        <v>8</v>
      </c>
      <c r="B72" s="498"/>
      <c r="C72" s="104"/>
      <c r="D72" s="417"/>
      <c r="E72" s="420"/>
      <c r="F72" s="506"/>
      <c r="G72" s="502"/>
      <c r="H72" s="502"/>
      <c r="I72" s="502"/>
      <c r="J72" s="502"/>
      <c r="K72" s="502"/>
      <c r="L72" s="502"/>
      <c r="M72" s="51"/>
      <c r="N72" s="503"/>
      <c r="O72" s="503"/>
      <c r="P72" s="504"/>
      <c r="Q72" s="504"/>
      <c r="R72" s="478"/>
      <c r="S72" s="478"/>
      <c r="T72" s="478"/>
      <c r="U72" s="478"/>
      <c r="V72" s="478"/>
      <c r="W72" s="478"/>
      <c r="X72" s="478"/>
      <c r="Y72" s="478"/>
      <c r="Z72" s="478"/>
      <c r="AA72" s="478"/>
      <c r="AB72" s="502"/>
      <c r="AC72" s="502"/>
      <c r="AD72" s="505"/>
      <c r="AF72" s="50"/>
    </row>
    <row r="73" spans="1:32" ht="25.5" customHeight="1">
      <c r="A73" s="497">
        <v>9</v>
      </c>
      <c r="B73" s="498"/>
      <c r="C73" s="104"/>
      <c r="D73" s="417"/>
      <c r="E73" s="420"/>
      <c r="F73" s="506"/>
      <c r="G73" s="502"/>
      <c r="H73" s="502"/>
      <c r="I73" s="502"/>
      <c r="J73" s="502"/>
      <c r="K73" s="502"/>
      <c r="L73" s="502"/>
      <c r="M73" s="51"/>
      <c r="N73" s="503"/>
      <c r="O73" s="503"/>
      <c r="P73" s="504"/>
      <c r="Q73" s="504"/>
      <c r="R73" s="478"/>
      <c r="S73" s="478"/>
      <c r="T73" s="478"/>
      <c r="U73" s="478"/>
      <c r="V73" s="478"/>
      <c r="W73" s="478"/>
      <c r="X73" s="478"/>
      <c r="Y73" s="478"/>
      <c r="Z73" s="478"/>
      <c r="AA73" s="478"/>
      <c r="AB73" s="502"/>
      <c r="AC73" s="502"/>
      <c r="AD73" s="505"/>
      <c r="AF73" s="50"/>
    </row>
    <row r="74" spans="1:32" ht="25.5" customHeight="1">
      <c r="A74" s="497">
        <v>10</v>
      </c>
      <c r="B74" s="498"/>
      <c r="C74" s="104"/>
      <c r="D74" s="417"/>
      <c r="E74" s="420"/>
      <c r="F74" s="506"/>
      <c r="G74" s="502"/>
      <c r="H74" s="502"/>
      <c r="I74" s="502"/>
      <c r="J74" s="502"/>
      <c r="K74" s="502"/>
      <c r="L74" s="502"/>
      <c r="M74" s="51"/>
      <c r="N74" s="503"/>
      <c r="O74" s="503"/>
      <c r="P74" s="504"/>
      <c r="Q74" s="504"/>
      <c r="R74" s="478"/>
      <c r="S74" s="478"/>
      <c r="T74" s="478"/>
      <c r="U74" s="478"/>
      <c r="V74" s="478"/>
      <c r="W74" s="478"/>
      <c r="X74" s="478"/>
      <c r="Y74" s="478"/>
      <c r="Z74" s="478"/>
      <c r="AA74" s="478"/>
      <c r="AB74" s="502"/>
      <c r="AC74" s="502"/>
      <c r="AD74" s="505"/>
      <c r="AF74" s="50"/>
    </row>
    <row r="75" spans="1:32" ht="26.25" customHeight="1" thickBot="1">
      <c r="A75" s="507" t="s">
        <v>580</v>
      </c>
      <c r="B75" s="507"/>
      <c r="C75" s="507"/>
      <c r="D75" s="507"/>
      <c r="E75" s="507"/>
      <c r="F75" s="37"/>
      <c r="G75" s="37"/>
      <c r="H75" s="38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F75" s="50"/>
    </row>
    <row r="76" spans="1:32" ht="23.25" thickBot="1">
      <c r="A76" s="508" t="s">
        <v>127</v>
      </c>
      <c r="B76" s="509"/>
      <c r="C76" s="419" t="s">
        <v>2</v>
      </c>
      <c r="D76" s="419" t="s">
        <v>37</v>
      </c>
      <c r="E76" s="419" t="s">
        <v>126</v>
      </c>
      <c r="F76" s="509" t="s">
        <v>38</v>
      </c>
      <c r="G76" s="509"/>
      <c r="H76" s="509"/>
      <c r="I76" s="509"/>
      <c r="J76" s="509"/>
      <c r="K76" s="510" t="s">
        <v>58</v>
      </c>
      <c r="L76" s="511"/>
      <c r="M76" s="511"/>
      <c r="N76" s="511"/>
      <c r="O76" s="511"/>
      <c r="P76" s="511"/>
      <c r="Q76" s="511"/>
      <c r="R76" s="511"/>
      <c r="S76" s="512"/>
      <c r="T76" s="509" t="s">
        <v>49</v>
      </c>
      <c r="U76" s="509"/>
      <c r="V76" s="510" t="s">
        <v>50</v>
      </c>
      <c r="W76" s="512"/>
      <c r="X76" s="511" t="s">
        <v>51</v>
      </c>
      <c r="Y76" s="511"/>
      <c r="Z76" s="511"/>
      <c r="AA76" s="511"/>
      <c r="AB76" s="511"/>
      <c r="AC76" s="511"/>
      <c r="AD76" s="513"/>
      <c r="AF76" s="50"/>
    </row>
    <row r="77" spans="1:32" ht="33.75" customHeight="1">
      <c r="A77" s="522">
        <v>1</v>
      </c>
      <c r="B77" s="523"/>
      <c r="C77" s="418" t="s">
        <v>112</v>
      </c>
      <c r="D77" s="418"/>
      <c r="E77" s="65" t="s">
        <v>117</v>
      </c>
      <c r="F77" s="524" t="s">
        <v>116</v>
      </c>
      <c r="G77" s="525"/>
      <c r="H77" s="525"/>
      <c r="I77" s="525"/>
      <c r="J77" s="526"/>
      <c r="K77" s="527" t="s">
        <v>119</v>
      </c>
      <c r="L77" s="528"/>
      <c r="M77" s="528"/>
      <c r="N77" s="528"/>
      <c r="O77" s="528"/>
      <c r="P77" s="528"/>
      <c r="Q77" s="528"/>
      <c r="R77" s="528"/>
      <c r="S77" s="529"/>
      <c r="T77" s="530">
        <v>44118</v>
      </c>
      <c r="U77" s="531"/>
      <c r="V77" s="532"/>
      <c r="W77" s="532"/>
      <c r="X77" s="533"/>
      <c r="Y77" s="533"/>
      <c r="Z77" s="533"/>
      <c r="AA77" s="533"/>
      <c r="AB77" s="533"/>
      <c r="AC77" s="533"/>
      <c r="AD77" s="534"/>
      <c r="AF77" s="50"/>
    </row>
    <row r="78" spans="1:32" ht="30" customHeight="1">
      <c r="A78" s="514">
        <f>A77+1</f>
        <v>2</v>
      </c>
      <c r="B78" s="515"/>
      <c r="C78" s="417"/>
      <c r="D78" s="417"/>
      <c r="E78" s="32"/>
      <c r="F78" s="515"/>
      <c r="G78" s="515"/>
      <c r="H78" s="515"/>
      <c r="I78" s="515"/>
      <c r="J78" s="515"/>
      <c r="K78" s="516"/>
      <c r="L78" s="517"/>
      <c r="M78" s="517"/>
      <c r="N78" s="517"/>
      <c r="O78" s="517"/>
      <c r="P78" s="517"/>
      <c r="Q78" s="517"/>
      <c r="R78" s="517"/>
      <c r="S78" s="518"/>
      <c r="T78" s="519"/>
      <c r="U78" s="519"/>
      <c r="V78" s="519"/>
      <c r="W78" s="519"/>
      <c r="X78" s="520"/>
      <c r="Y78" s="520"/>
      <c r="Z78" s="520"/>
      <c r="AA78" s="520"/>
      <c r="AB78" s="520"/>
      <c r="AC78" s="520"/>
      <c r="AD78" s="521"/>
      <c r="AF78" s="50"/>
    </row>
    <row r="79" spans="1:32" ht="30" customHeight="1">
      <c r="A79" s="514">
        <f t="shared" ref="A79:A83" si="18">A78+1</f>
        <v>3</v>
      </c>
      <c r="B79" s="515"/>
      <c r="C79" s="417"/>
      <c r="D79" s="417"/>
      <c r="E79" s="32"/>
      <c r="F79" s="515"/>
      <c r="G79" s="515"/>
      <c r="H79" s="515"/>
      <c r="I79" s="515"/>
      <c r="J79" s="515"/>
      <c r="K79" s="516"/>
      <c r="L79" s="517"/>
      <c r="M79" s="517"/>
      <c r="N79" s="517"/>
      <c r="O79" s="517"/>
      <c r="P79" s="517"/>
      <c r="Q79" s="517"/>
      <c r="R79" s="517"/>
      <c r="S79" s="518"/>
      <c r="T79" s="519"/>
      <c r="U79" s="519"/>
      <c r="V79" s="519"/>
      <c r="W79" s="519"/>
      <c r="X79" s="520"/>
      <c r="Y79" s="520"/>
      <c r="Z79" s="520"/>
      <c r="AA79" s="520"/>
      <c r="AB79" s="520"/>
      <c r="AC79" s="520"/>
      <c r="AD79" s="521"/>
      <c r="AF79" s="50"/>
    </row>
    <row r="80" spans="1:32" ht="30" customHeight="1">
      <c r="A80" s="514">
        <f t="shared" si="18"/>
        <v>4</v>
      </c>
      <c r="B80" s="515"/>
      <c r="C80" s="417"/>
      <c r="D80" s="417"/>
      <c r="E80" s="32"/>
      <c r="F80" s="515"/>
      <c r="G80" s="515"/>
      <c r="H80" s="515"/>
      <c r="I80" s="515"/>
      <c r="J80" s="515"/>
      <c r="K80" s="516"/>
      <c r="L80" s="517"/>
      <c r="M80" s="517"/>
      <c r="N80" s="517"/>
      <c r="O80" s="517"/>
      <c r="P80" s="517"/>
      <c r="Q80" s="517"/>
      <c r="R80" s="517"/>
      <c r="S80" s="518"/>
      <c r="T80" s="519"/>
      <c r="U80" s="519"/>
      <c r="V80" s="519"/>
      <c r="W80" s="519"/>
      <c r="X80" s="520"/>
      <c r="Y80" s="520"/>
      <c r="Z80" s="520"/>
      <c r="AA80" s="520"/>
      <c r="AB80" s="520"/>
      <c r="AC80" s="520"/>
      <c r="AD80" s="521"/>
      <c r="AF80" s="50"/>
    </row>
    <row r="81" spans="1:32" ht="30" customHeight="1">
      <c r="A81" s="514">
        <f t="shared" si="18"/>
        <v>5</v>
      </c>
      <c r="B81" s="515"/>
      <c r="C81" s="417"/>
      <c r="D81" s="417"/>
      <c r="E81" s="32"/>
      <c r="F81" s="515"/>
      <c r="G81" s="515"/>
      <c r="H81" s="515"/>
      <c r="I81" s="515"/>
      <c r="J81" s="515"/>
      <c r="K81" s="516"/>
      <c r="L81" s="517"/>
      <c r="M81" s="517"/>
      <c r="N81" s="517"/>
      <c r="O81" s="517"/>
      <c r="P81" s="517"/>
      <c r="Q81" s="517"/>
      <c r="R81" s="517"/>
      <c r="S81" s="518"/>
      <c r="T81" s="519"/>
      <c r="U81" s="519"/>
      <c r="V81" s="519"/>
      <c r="W81" s="519"/>
      <c r="X81" s="520"/>
      <c r="Y81" s="520"/>
      <c r="Z81" s="520"/>
      <c r="AA81" s="520"/>
      <c r="AB81" s="520"/>
      <c r="AC81" s="520"/>
      <c r="AD81" s="521"/>
      <c r="AF81" s="50"/>
    </row>
    <row r="82" spans="1:32" ht="30" customHeight="1">
      <c r="A82" s="514">
        <f t="shared" si="18"/>
        <v>6</v>
      </c>
      <c r="B82" s="515"/>
      <c r="C82" s="417"/>
      <c r="D82" s="417"/>
      <c r="E82" s="32"/>
      <c r="F82" s="515"/>
      <c r="G82" s="515"/>
      <c r="H82" s="515"/>
      <c r="I82" s="515"/>
      <c r="J82" s="515"/>
      <c r="K82" s="516"/>
      <c r="L82" s="517"/>
      <c r="M82" s="517"/>
      <c r="N82" s="517"/>
      <c r="O82" s="517"/>
      <c r="P82" s="517"/>
      <c r="Q82" s="517"/>
      <c r="R82" s="517"/>
      <c r="S82" s="518"/>
      <c r="T82" s="519"/>
      <c r="U82" s="519"/>
      <c r="V82" s="519"/>
      <c r="W82" s="519"/>
      <c r="X82" s="520"/>
      <c r="Y82" s="520"/>
      <c r="Z82" s="520"/>
      <c r="AA82" s="520"/>
      <c r="AB82" s="520"/>
      <c r="AC82" s="520"/>
      <c r="AD82" s="521"/>
      <c r="AF82" s="50"/>
    </row>
    <row r="83" spans="1:32" ht="30" customHeight="1">
      <c r="A83" s="514">
        <f t="shared" si="18"/>
        <v>7</v>
      </c>
      <c r="B83" s="515"/>
      <c r="C83" s="417"/>
      <c r="D83" s="417"/>
      <c r="E83" s="32"/>
      <c r="F83" s="515"/>
      <c r="G83" s="515"/>
      <c r="H83" s="515"/>
      <c r="I83" s="515"/>
      <c r="J83" s="515"/>
      <c r="K83" s="516"/>
      <c r="L83" s="517"/>
      <c r="M83" s="517"/>
      <c r="N83" s="517"/>
      <c r="O83" s="517"/>
      <c r="P83" s="517"/>
      <c r="Q83" s="517"/>
      <c r="R83" s="517"/>
      <c r="S83" s="518"/>
      <c r="T83" s="519"/>
      <c r="U83" s="519"/>
      <c r="V83" s="519"/>
      <c r="W83" s="519"/>
      <c r="X83" s="520"/>
      <c r="Y83" s="520"/>
      <c r="Z83" s="520"/>
      <c r="AA83" s="520"/>
      <c r="AB83" s="520"/>
      <c r="AC83" s="520"/>
      <c r="AD83" s="521"/>
      <c r="AF83" s="50"/>
    </row>
    <row r="84" spans="1:32" ht="36" thickBot="1">
      <c r="A84" s="507" t="s">
        <v>581</v>
      </c>
      <c r="B84" s="507"/>
      <c r="C84" s="507"/>
      <c r="D84" s="507"/>
      <c r="E84" s="507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508" t="s">
        <v>111</v>
      </c>
      <c r="B85" s="509"/>
      <c r="C85" s="535" t="s">
        <v>52</v>
      </c>
      <c r="D85" s="535"/>
      <c r="E85" s="535" t="s">
        <v>53</v>
      </c>
      <c r="F85" s="535"/>
      <c r="G85" s="535"/>
      <c r="H85" s="535"/>
      <c r="I85" s="535"/>
      <c r="J85" s="535"/>
      <c r="K85" s="535" t="s">
        <v>54</v>
      </c>
      <c r="L85" s="535"/>
      <c r="M85" s="535"/>
      <c r="N85" s="535"/>
      <c r="O85" s="535"/>
      <c r="P85" s="535"/>
      <c r="Q85" s="535"/>
      <c r="R85" s="535"/>
      <c r="S85" s="535"/>
      <c r="T85" s="535" t="s">
        <v>55</v>
      </c>
      <c r="U85" s="535"/>
      <c r="V85" s="535" t="s">
        <v>56</v>
      </c>
      <c r="W85" s="535"/>
      <c r="X85" s="535"/>
      <c r="Y85" s="535" t="s">
        <v>51</v>
      </c>
      <c r="Z85" s="535"/>
      <c r="AA85" s="535"/>
      <c r="AB85" s="535"/>
      <c r="AC85" s="535"/>
      <c r="AD85" s="536"/>
      <c r="AF85" s="50"/>
    </row>
    <row r="86" spans="1:32" ht="30.75" customHeight="1">
      <c r="A86" s="522">
        <v>1</v>
      </c>
      <c r="B86" s="523"/>
      <c r="C86" s="537">
        <v>9</v>
      </c>
      <c r="D86" s="537"/>
      <c r="E86" s="537" t="s">
        <v>529</v>
      </c>
      <c r="F86" s="537"/>
      <c r="G86" s="537"/>
      <c r="H86" s="537"/>
      <c r="I86" s="537"/>
      <c r="J86" s="537"/>
      <c r="K86" s="537" t="s">
        <v>530</v>
      </c>
      <c r="L86" s="537"/>
      <c r="M86" s="537"/>
      <c r="N86" s="537"/>
      <c r="O86" s="537"/>
      <c r="P86" s="537"/>
      <c r="Q86" s="537"/>
      <c r="R86" s="537"/>
      <c r="S86" s="537"/>
      <c r="T86" s="537" t="s">
        <v>531</v>
      </c>
      <c r="U86" s="537"/>
      <c r="V86" s="538"/>
      <c r="W86" s="538"/>
      <c r="X86" s="538"/>
      <c r="Y86" s="539" t="s">
        <v>532</v>
      </c>
      <c r="Z86" s="539"/>
      <c r="AA86" s="539"/>
      <c r="AB86" s="539"/>
      <c r="AC86" s="539"/>
      <c r="AD86" s="540"/>
      <c r="AF86" s="50"/>
    </row>
    <row r="87" spans="1:32" ht="30.75" customHeight="1">
      <c r="A87" s="514">
        <v>2</v>
      </c>
      <c r="B87" s="515"/>
      <c r="C87" s="548"/>
      <c r="D87" s="548"/>
      <c r="E87" s="548"/>
      <c r="F87" s="548"/>
      <c r="G87" s="548"/>
      <c r="H87" s="548"/>
      <c r="I87" s="548"/>
      <c r="J87" s="548"/>
      <c r="K87" s="548"/>
      <c r="L87" s="548"/>
      <c r="M87" s="548"/>
      <c r="N87" s="548"/>
      <c r="O87" s="548"/>
      <c r="P87" s="548"/>
      <c r="Q87" s="548"/>
      <c r="R87" s="548"/>
      <c r="S87" s="548"/>
      <c r="T87" s="549"/>
      <c r="U87" s="549"/>
      <c r="V87" s="550"/>
      <c r="W87" s="550"/>
      <c r="X87" s="550"/>
      <c r="Y87" s="541"/>
      <c r="Z87" s="541"/>
      <c r="AA87" s="541"/>
      <c r="AB87" s="541"/>
      <c r="AC87" s="541"/>
      <c r="AD87" s="542"/>
      <c r="AF87" s="50"/>
    </row>
    <row r="88" spans="1:32" ht="30.75" customHeight="1" thickBot="1">
      <c r="A88" s="543">
        <v>3</v>
      </c>
      <c r="B88" s="544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6"/>
      <c r="Z88" s="546"/>
      <c r="AA88" s="546"/>
      <c r="AB88" s="546"/>
      <c r="AC88" s="546"/>
      <c r="AD88" s="547"/>
      <c r="AF88" s="50"/>
    </row>
  </sheetData>
  <mergeCells count="232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B74:AD74"/>
    <mergeCell ref="A75:E75"/>
    <mergeCell ref="A76:B76"/>
    <mergeCell ref="F76:J76"/>
    <mergeCell ref="K76:S76"/>
    <mergeCell ref="T76:U76"/>
    <mergeCell ref="V76:W76"/>
    <mergeCell ref="X76:AD76"/>
    <mergeCell ref="A74:B74"/>
    <mergeCell ref="F74:J74"/>
    <mergeCell ref="K74:L74"/>
    <mergeCell ref="N74:O74"/>
    <mergeCell ref="P74:Q74"/>
    <mergeCell ref="R74:AA74"/>
    <mergeCell ref="AB72:AD72"/>
    <mergeCell ref="A73:B73"/>
    <mergeCell ref="F73:J73"/>
    <mergeCell ref="K73:L73"/>
    <mergeCell ref="N73:O73"/>
    <mergeCell ref="P73:Q73"/>
    <mergeCell ref="R73:AA73"/>
    <mergeCell ref="AB73:AD73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39" fitToHeight="2" orientation="landscape" r:id="rId1"/>
  <rowBreaks count="1" manualBreakCount="1">
    <brk id="48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20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F7" sqref="AF7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2" width="5.5" style="68" bestFit="1" customWidth="1"/>
    <col min="33" max="33" width="6.5" style="68" bestFit="1" customWidth="1"/>
    <col min="34" max="16384" width="9" style="68"/>
  </cols>
  <sheetData>
    <row r="1" spans="1:33" ht="33.75" customHeight="1" thickBot="1">
      <c r="A1" s="551" t="s">
        <v>168</v>
      </c>
      <c r="B1" s="551"/>
      <c r="C1" s="551"/>
      <c r="D1" s="551"/>
      <c r="E1" s="551"/>
      <c r="F1" s="551"/>
      <c r="G1" s="551"/>
      <c r="H1" s="551"/>
    </row>
    <row r="2" spans="1:33" ht="21.75" customHeight="1" thickBot="1">
      <c r="A2" s="86" t="s">
        <v>59</v>
      </c>
      <c r="B2" s="88" t="s">
        <v>73</v>
      </c>
      <c r="C2" s="89" t="s">
        <v>74</v>
      </c>
      <c r="D2" s="89" t="s">
        <v>75</v>
      </c>
      <c r="E2" s="89" t="s">
        <v>76</v>
      </c>
      <c r="F2" s="89" t="s">
        <v>77</v>
      </c>
      <c r="G2" s="89" t="s">
        <v>78</v>
      </c>
      <c r="H2" s="89" t="s">
        <v>79</v>
      </c>
      <c r="I2" s="89" t="s">
        <v>80</v>
      </c>
      <c r="J2" s="89" t="s">
        <v>81</v>
      </c>
      <c r="K2" s="89" t="s">
        <v>82</v>
      </c>
      <c r="L2" s="89" t="s">
        <v>83</v>
      </c>
      <c r="M2" s="89" t="s">
        <v>84</v>
      </c>
      <c r="N2" s="89" t="s">
        <v>85</v>
      </c>
      <c r="O2" s="89" t="s">
        <v>86</v>
      </c>
      <c r="P2" s="89" t="s">
        <v>87</v>
      </c>
      <c r="Q2" s="89" t="s">
        <v>88</v>
      </c>
      <c r="R2" s="89" t="s">
        <v>89</v>
      </c>
      <c r="S2" s="89" t="s">
        <v>90</v>
      </c>
      <c r="T2" s="89" t="s">
        <v>91</v>
      </c>
      <c r="U2" s="89" t="s">
        <v>92</v>
      </c>
      <c r="V2" s="89" t="s">
        <v>93</v>
      </c>
      <c r="W2" s="89" t="s">
        <v>94</v>
      </c>
      <c r="X2" s="89" t="s">
        <v>95</v>
      </c>
      <c r="Y2" s="89" t="s">
        <v>96</v>
      </c>
      <c r="Z2" s="89" t="s">
        <v>97</v>
      </c>
      <c r="AA2" s="89" t="s">
        <v>98</v>
      </c>
      <c r="AB2" s="89" t="s">
        <v>99</v>
      </c>
      <c r="AC2" s="89" t="s">
        <v>100</v>
      </c>
      <c r="AD2" s="89" t="s">
        <v>101</v>
      </c>
      <c r="AE2" s="89" t="s">
        <v>102</v>
      </c>
      <c r="AF2" s="90" t="s">
        <v>103</v>
      </c>
      <c r="AG2" s="86" t="s">
        <v>105</v>
      </c>
    </row>
    <row r="3" spans="1:33" ht="21.75" customHeight="1">
      <c r="A3" s="113" t="s">
        <v>60</v>
      </c>
      <c r="B3" s="114">
        <f>'01'!AD6</f>
        <v>0</v>
      </c>
      <c r="C3" s="114">
        <f>'02'!AD6</f>
        <v>0</v>
      </c>
      <c r="D3" s="115"/>
      <c r="E3" s="115">
        <f>'04'!AD6</f>
        <v>0</v>
      </c>
      <c r="F3" s="115">
        <f>'05'!AD6</f>
        <v>0</v>
      </c>
      <c r="G3" s="115">
        <f>'06'!AD6</f>
        <v>0</v>
      </c>
      <c r="H3" s="115">
        <f>'07'!AD6</f>
        <v>0</v>
      </c>
      <c r="I3" s="115">
        <f>'08'!AD6</f>
        <v>0</v>
      </c>
      <c r="J3" s="115">
        <f>'09'!AD6</f>
        <v>0</v>
      </c>
      <c r="K3" s="115"/>
      <c r="L3" s="115">
        <f>'11'!AD6</f>
        <v>0</v>
      </c>
      <c r="M3" s="115">
        <f>'12'!AD6</f>
        <v>0</v>
      </c>
      <c r="N3" s="116">
        <f>'13'!AD6</f>
        <v>0</v>
      </c>
      <c r="O3" s="115">
        <f>'14'!AD6</f>
        <v>0</v>
      </c>
      <c r="P3" s="115">
        <f>'15'!AD6</f>
        <v>0.41666666666666669</v>
      </c>
      <c r="Q3" s="115"/>
      <c r="R3" s="115"/>
      <c r="S3" s="115">
        <f>'18'!AD6</f>
        <v>0</v>
      </c>
      <c r="T3" s="115">
        <f>'19'!AD6</f>
        <v>0.45833333333333331</v>
      </c>
      <c r="U3" s="115">
        <f>'20'!AD6</f>
        <v>0.33333333333333331</v>
      </c>
      <c r="V3" s="115">
        <f>'21'!AD6</f>
        <v>0</v>
      </c>
      <c r="W3" s="116">
        <f>'22'!AD6</f>
        <v>0</v>
      </c>
      <c r="X3" s="115">
        <f>'23'!AD6</f>
        <v>0</v>
      </c>
      <c r="Y3" s="115"/>
      <c r="Z3" s="115">
        <f>'25'!AD6</f>
        <v>0.20833333333333334</v>
      </c>
      <c r="AA3" s="115">
        <f>'26'!AD6</f>
        <v>0.29166666666666669</v>
      </c>
      <c r="AB3" s="115">
        <f>'27'!AD6</f>
        <v>0.66666666666666663</v>
      </c>
      <c r="AC3" s="115">
        <f>'28'!AD6</f>
        <v>0</v>
      </c>
      <c r="AD3" s="115">
        <f>'29'!AD6</f>
        <v>0.16666666666666666</v>
      </c>
      <c r="AE3" s="115"/>
      <c r="AF3" s="117"/>
      <c r="AG3" s="118">
        <f>SUM(B3:AF3)/31</f>
        <v>8.1989247311827954E-2</v>
      </c>
    </row>
    <row r="4" spans="1:33" ht="21.75" customHeight="1">
      <c r="A4" s="101" t="s">
        <v>61</v>
      </c>
      <c r="B4" s="98">
        <f>'01'!AD7</f>
        <v>1</v>
      </c>
      <c r="C4" s="98">
        <f>'02'!AD7</f>
        <v>0.45833333333333331</v>
      </c>
      <c r="D4" s="77"/>
      <c r="E4" s="77">
        <f>'04'!AD7+'04'!AD8</f>
        <v>0.33333333333333331</v>
      </c>
      <c r="F4" s="77">
        <f>'05'!AD7</f>
        <v>0</v>
      </c>
      <c r="G4" s="119">
        <f>'06'!AD7</f>
        <v>0</v>
      </c>
      <c r="H4" s="77">
        <f>'07'!AD7</f>
        <v>0</v>
      </c>
      <c r="I4" s="77">
        <f>'08'!AD7</f>
        <v>0.58333333333333337</v>
      </c>
      <c r="J4" s="77">
        <f>'09'!AD7</f>
        <v>1</v>
      </c>
      <c r="K4" s="77"/>
      <c r="L4" s="77">
        <f>'11'!AD7</f>
        <v>1</v>
      </c>
      <c r="M4" s="77">
        <f>'12'!AD7</f>
        <v>0.83333333333333337</v>
      </c>
      <c r="N4" s="77">
        <f>'13'!AD8+'13'!AD7</f>
        <v>0.79166666666666663</v>
      </c>
      <c r="O4" s="77">
        <f>'14'!AD7+'14'!AD8</f>
        <v>0.70833333333333337</v>
      </c>
      <c r="P4" s="77">
        <f>'15'!AD7</f>
        <v>0.875</v>
      </c>
      <c r="Q4" s="77"/>
      <c r="R4" s="77"/>
      <c r="S4" s="77">
        <f>'18'!AD7</f>
        <v>0.875</v>
      </c>
      <c r="T4" s="77">
        <f>'19'!AD7</f>
        <v>0.95833333333333337</v>
      </c>
      <c r="U4" s="77">
        <f>'20'!AD7</f>
        <v>0.70833333333333337</v>
      </c>
      <c r="V4" s="77">
        <f>'21'!AD7</f>
        <v>1</v>
      </c>
      <c r="W4" s="77">
        <f>'22'!AD7</f>
        <v>0.70833333333333337</v>
      </c>
      <c r="X4" s="77">
        <f>'23'!AD7</f>
        <v>0</v>
      </c>
      <c r="Y4" s="77"/>
      <c r="Z4" s="77">
        <f>'25'!AD7</f>
        <v>0</v>
      </c>
      <c r="AA4" s="77">
        <f>'26'!AD7</f>
        <v>0</v>
      </c>
      <c r="AB4" s="77">
        <f>'27'!AD7</f>
        <v>0</v>
      </c>
      <c r="AC4" s="77">
        <f>'28'!AD7</f>
        <v>0</v>
      </c>
      <c r="AD4" s="77">
        <f>'29'!AD7</f>
        <v>0.75</v>
      </c>
      <c r="AE4" s="77"/>
      <c r="AF4" s="78"/>
      <c r="AG4" s="79">
        <f t="shared" ref="AG4:AG18" si="0">SUM(B4:AF4)/31</f>
        <v>0.40591397849462368</v>
      </c>
    </row>
    <row r="5" spans="1:33" ht="21.75" customHeight="1">
      <c r="A5" s="101" t="s">
        <v>62</v>
      </c>
      <c r="B5" s="98">
        <f>'01'!AD8</f>
        <v>0.58333333333333337</v>
      </c>
      <c r="C5" s="98">
        <f>'02'!AD8</f>
        <v>0.29166666666666669</v>
      </c>
      <c r="D5" s="77"/>
      <c r="E5" s="77">
        <f>'04'!AD9</f>
        <v>0.41666666666666669</v>
      </c>
      <c r="F5" s="77">
        <f>'05'!AD8</f>
        <v>0.29166666666666669</v>
      </c>
      <c r="G5" s="77">
        <f>'06'!AD8+'06'!AD9</f>
        <v>0.95833333333333337</v>
      </c>
      <c r="H5" s="77">
        <f>'07'!AD8</f>
        <v>1</v>
      </c>
      <c r="I5" s="77">
        <f>'08'!AD8</f>
        <v>0.875</v>
      </c>
      <c r="J5" s="77">
        <f>'09'!AD8+'09'!AD9</f>
        <v>0.375</v>
      </c>
      <c r="K5" s="77"/>
      <c r="L5" s="77">
        <f>'11'!AD8</f>
        <v>0.70833333333333337</v>
      </c>
      <c r="M5" s="77">
        <f>'12'!AD8</f>
        <v>0.70833333333333337</v>
      </c>
      <c r="N5" s="77">
        <f>'13'!AD9</f>
        <v>0.75</v>
      </c>
      <c r="O5" s="77">
        <f>'14'!AD9+'14'!AD10</f>
        <v>0.95833333333333337</v>
      </c>
      <c r="P5" s="77">
        <f>'15'!AD8</f>
        <v>1</v>
      </c>
      <c r="Q5" s="77"/>
      <c r="R5" s="77"/>
      <c r="S5" s="77">
        <f>'18'!AD8+'18'!AD9</f>
        <v>0.91666666666666674</v>
      </c>
      <c r="T5" s="77">
        <f>'19'!AD8</f>
        <v>0.91666666666666663</v>
      </c>
      <c r="U5" s="77">
        <f>'20'!AD8</f>
        <v>1</v>
      </c>
      <c r="V5" s="77">
        <f>'21'!AD8</f>
        <v>0.16666666666666666</v>
      </c>
      <c r="W5" s="119">
        <f>'22'!AD8</f>
        <v>0.16666666666666666</v>
      </c>
      <c r="X5" s="77">
        <f>'23'!AD8</f>
        <v>0</v>
      </c>
      <c r="Y5" s="77"/>
      <c r="Z5" s="77">
        <f>'25'!AD8</f>
        <v>0</v>
      </c>
      <c r="AA5" s="77">
        <f>'26'!AD8</f>
        <v>0</v>
      </c>
      <c r="AB5" s="77">
        <f>'27'!AD8</f>
        <v>0</v>
      </c>
      <c r="AC5" s="77">
        <f>'28'!AD8</f>
        <v>0</v>
      </c>
      <c r="AD5" s="77">
        <f>'29'!AD8</f>
        <v>0</v>
      </c>
      <c r="AE5" s="77"/>
      <c r="AF5" s="78"/>
      <c r="AG5" s="79">
        <f t="shared" si="0"/>
        <v>0.38978494623655907</v>
      </c>
    </row>
    <row r="6" spans="1:33" ht="21.75" customHeight="1">
      <c r="A6" s="101" t="s">
        <v>63</v>
      </c>
      <c r="B6" s="98">
        <f>'01'!AD9</f>
        <v>0.91666666666666663</v>
      </c>
      <c r="C6" s="98">
        <f>'02'!AD9</f>
        <v>0.45833333333333331</v>
      </c>
      <c r="D6" s="77"/>
      <c r="E6" s="77">
        <f>'04'!AD10</f>
        <v>1</v>
      </c>
      <c r="F6" s="77">
        <f>'05'!AD9</f>
        <v>1</v>
      </c>
      <c r="G6" s="77">
        <f>'06'!AD10</f>
        <v>0.83333333333333337</v>
      </c>
      <c r="H6" s="77">
        <f>'07'!AD9</f>
        <v>0.75</v>
      </c>
      <c r="I6" s="77">
        <f>'08'!AD9</f>
        <v>0.875</v>
      </c>
      <c r="J6" s="77">
        <f>'09'!AD10</f>
        <v>1</v>
      </c>
      <c r="K6" s="77"/>
      <c r="L6" s="77">
        <f>'11'!AD9</f>
        <v>0.58333333333333337</v>
      </c>
      <c r="M6" s="77">
        <f>'12'!AD9</f>
        <v>0.83333333333333337</v>
      </c>
      <c r="N6" s="77">
        <f>'13'!AD10</f>
        <v>1</v>
      </c>
      <c r="O6" s="77">
        <f>'14'!AD11</f>
        <v>0.375</v>
      </c>
      <c r="P6" s="77">
        <f>'15'!AD9</f>
        <v>0.875</v>
      </c>
      <c r="Q6" s="77"/>
      <c r="R6" s="77"/>
      <c r="S6" s="77">
        <f>'18'!AD10</f>
        <v>0.91666666666666663</v>
      </c>
      <c r="T6" s="77">
        <f>'19'!AD9</f>
        <v>0.91666666666666663</v>
      </c>
      <c r="U6" s="77">
        <f>'20'!AD9</f>
        <v>0.75</v>
      </c>
      <c r="V6" s="77">
        <f>'21'!AD9</f>
        <v>1</v>
      </c>
      <c r="W6" s="77">
        <f>'22'!AD9</f>
        <v>1</v>
      </c>
      <c r="X6" s="77">
        <f>'23'!AD9</f>
        <v>0.5</v>
      </c>
      <c r="Y6" s="77"/>
      <c r="Z6" s="77">
        <f>'25'!AD9</f>
        <v>0.91666666666666663</v>
      </c>
      <c r="AA6" s="77">
        <f>'26'!AD9</f>
        <v>1</v>
      </c>
      <c r="AB6" s="77">
        <f>'27'!AD9</f>
        <v>1</v>
      </c>
      <c r="AC6" s="77">
        <f>'28'!AD9</f>
        <v>1</v>
      </c>
      <c r="AD6" s="77">
        <f>'29'!AD9</f>
        <v>1</v>
      </c>
      <c r="AE6" s="77"/>
      <c r="AF6" s="78"/>
      <c r="AG6" s="79">
        <f t="shared" si="0"/>
        <v>0.66129032258064513</v>
      </c>
    </row>
    <row r="7" spans="1:33" ht="21.75" customHeight="1">
      <c r="A7" s="101" t="s">
        <v>64</v>
      </c>
      <c r="B7" s="98">
        <f>'01'!AD10+'01'!AD11</f>
        <v>0.91666666666666663</v>
      </c>
      <c r="C7" s="98">
        <f>'02'!AD10</f>
        <v>0.41666666666666669</v>
      </c>
      <c r="D7" s="77"/>
      <c r="E7" s="77">
        <f>'04'!AD11</f>
        <v>1</v>
      </c>
      <c r="F7" s="77">
        <f>'05'!AD10</f>
        <v>1</v>
      </c>
      <c r="G7" s="77">
        <f>'06'!AD11</f>
        <v>0.70833333333333337</v>
      </c>
      <c r="H7" s="77">
        <f>'07'!AD10</f>
        <v>1</v>
      </c>
      <c r="I7" s="77">
        <f>'08'!AD10</f>
        <v>1</v>
      </c>
      <c r="J7" s="77">
        <f>'09'!AD11</f>
        <v>0.79166666666666663</v>
      </c>
      <c r="K7" s="77"/>
      <c r="L7" s="77">
        <f>'11'!AD10</f>
        <v>1</v>
      </c>
      <c r="M7" s="77">
        <f>'12'!AD10</f>
        <v>0.66666666666666663</v>
      </c>
      <c r="N7" s="77">
        <f>'13'!AD11</f>
        <v>0</v>
      </c>
      <c r="O7" s="77">
        <f>'14'!AD12</f>
        <v>0.75</v>
      </c>
      <c r="P7" s="77">
        <f>'15'!AD10</f>
        <v>0.66666666666666663</v>
      </c>
      <c r="Q7" s="77"/>
      <c r="R7" s="77"/>
      <c r="S7" s="77">
        <f>'18'!AD11</f>
        <v>0.16666666666666666</v>
      </c>
      <c r="T7" s="77">
        <f>'19'!AD10</f>
        <v>0.41666666666666669</v>
      </c>
      <c r="U7" s="77">
        <f>'20'!AD10</f>
        <v>0</v>
      </c>
      <c r="V7" s="77">
        <f>'21'!AD10</f>
        <v>0</v>
      </c>
      <c r="W7" s="77">
        <f>'22'!AD10</f>
        <v>0</v>
      </c>
      <c r="X7" s="77">
        <f>'23'!AD10</f>
        <v>0</v>
      </c>
      <c r="Y7" s="77"/>
      <c r="Z7" s="77">
        <f>'25'!AD10</f>
        <v>0.625</v>
      </c>
      <c r="AA7" s="77">
        <f>'26'!AD10</f>
        <v>1</v>
      </c>
      <c r="AB7" s="77">
        <f>'27'!AD10</f>
        <v>1</v>
      </c>
      <c r="AC7" s="77">
        <f>'28'!AD10</f>
        <v>1</v>
      </c>
      <c r="AD7" s="77">
        <f>'29'!AD10</f>
        <v>1</v>
      </c>
      <c r="AE7" s="77"/>
      <c r="AF7" s="78"/>
      <c r="AG7" s="79">
        <f t="shared" si="0"/>
        <v>0.48790322580645157</v>
      </c>
    </row>
    <row r="8" spans="1:33" ht="21.75" customHeight="1">
      <c r="A8" s="101" t="s">
        <v>65</v>
      </c>
      <c r="B8" s="98">
        <f>'01'!AD12</f>
        <v>1</v>
      </c>
      <c r="C8" s="98">
        <f>'02'!AD11</f>
        <v>0.45833333333333331</v>
      </c>
      <c r="D8" s="77"/>
      <c r="E8" s="77">
        <f>'04'!AD12</f>
        <v>1</v>
      </c>
      <c r="F8" s="77">
        <f>'05'!AD11</f>
        <v>1</v>
      </c>
      <c r="G8" s="77">
        <f>'06'!AD12</f>
        <v>1</v>
      </c>
      <c r="H8" s="77">
        <f>'07'!AD11</f>
        <v>1</v>
      </c>
      <c r="I8" s="77">
        <f>'08'!AD11</f>
        <v>1</v>
      </c>
      <c r="J8" s="77">
        <f>'09'!AD12</f>
        <v>1</v>
      </c>
      <c r="K8" s="77"/>
      <c r="L8" s="77">
        <f>'11'!AD11</f>
        <v>1</v>
      </c>
      <c r="M8" s="77">
        <f>'12'!AD11</f>
        <v>0.95833333333333337</v>
      </c>
      <c r="N8" s="77">
        <f>'13'!AD12</f>
        <v>1</v>
      </c>
      <c r="O8" s="77">
        <f>'14'!AD13</f>
        <v>1</v>
      </c>
      <c r="P8" s="77">
        <f>'15'!AD11</f>
        <v>0.875</v>
      </c>
      <c r="Q8" s="77"/>
      <c r="R8" s="77"/>
      <c r="S8" s="77">
        <f>'18'!AD12</f>
        <v>1</v>
      </c>
      <c r="T8" s="77">
        <f>'19'!AD11</f>
        <v>1</v>
      </c>
      <c r="U8" s="77">
        <f>'20'!AD11</f>
        <v>0</v>
      </c>
      <c r="V8" s="77">
        <f>'21'!AD11</f>
        <v>0</v>
      </c>
      <c r="W8" s="77">
        <f>'22'!AD11</f>
        <v>0.66666666666666663</v>
      </c>
      <c r="X8" s="77">
        <f>'23'!AD11</f>
        <v>0.5</v>
      </c>
      <c r="Y8" s="77"/>
      <c r="Z8" s="77">
        <f>'25'!AD11</f>
        <v>0</v>
      </c>
      <c r="AA8" s="77">
        <f>'26'!AD11</f>
        <v>0</v>
      </c>
      <c r="AB8" s="77">
        <f>'27'!AD11</f>
        <v>0.16666666666666666</v>
      </c>
      <c r="AC8" s="77">
        <f>'28'!AD11</f>
        <v>0</v>
      </c>
      <c r="AD8" s="77">
        <f>'29'!AD11</f>
        <v>0</v>
      </c>
      <c r="AE8" s="77"/>
      <c r="AF8" s="78"/>
      <c r="AG8" s="79">
        <f t="shared" si="0"/>
        <v>0.50403225806451613</v>
      </c>
    </row>
    <row r="9" spans="1:33" ht="21.75" customHeight="1">
      <c r="A9" s="101" t="s">
        <v>66</v>
      </c>
      <c r="B9" s="98">
        <f>'01'!AD13</f>
        <v>0.875</v>
      </c>
      <c r="C9" s="98">
        <f>'02'!AD12</f>
        <v>0.45833333333333331</v>
      </c>
      <c r="D9" s="77"/>
      <c r="E9" s="77">
        <f>'04'!AD13</f>
        <v>1</v>
      </c>
      <c r="F9" s="77">
        <f>'05'!AD12</f>
        <v>1</v>
      </c>
      <c r="G9" s="77">
        <f>'06'!AD13</f>
        <v>0.58333333333333337</v>
      </c>
      <c r="H9" s="77">
        <f>'07'!AD12</f>
        <v>0.91666666666666663</v>
      </c>
      <c r="I9" s="77">
        <f>'08'!AD12</f>
        <v>0.83333333333333337</v>
      </c>
      <c r="J9" s="77">
        <f>'09'!AD13</f>
        <v>0.66666666666666663</v>
      </c>
      <c r="K9" s="77"/>
      <c r="L9" s="77">
        <f>'11'!AD12</f>
        <v>0.875</v>
      </c>
      <c r="M9" s="77">
        <f>'12'!AD12</f>
        <v>0.95833333333333337</v>
      </c>
      <c r="N9" s="77">
        <f>'13'!AD13</f>
        <v>1</v>
      </c>
      <c r="O9" s="77">
        <f>'14'!AD14</f>
        <v>1</v>
      </c>
      <c r="P9" s="77">
        <f>'15'!AD12</f>
        <v>1</v>
      </c>
      <c r="Q9" s="77"/>
      <c r="R9" s="77"/>
      <c r="S9" s="77">
        <f>'18'!AD13</f>
        <v>0.58333333333333337</v>
      </c>
      <c r="T9" s="77">
        <f>'19'!AD12</f>
        <v>0.95833333333333337</v>
      </c>
      <c r="U9" s="77">
        <f>'20'!AD12</f>
        <v>0.83333333333333337</v>
      </c>
      <c r="V9" s="77">
        <f>'21'!AD12</f>
        <v>0.66666666666666663</v>
      </c>
      <c r="W9" s="77">
        <f>'22'!AD12</f>
        <v>0.83333333333333337</v>
      </c>
      <c r="X9" s="77">
        <f>'23'!AD12</f>
        <v>0</v>
      </c>
      <c r="Y9" s="77"/>
      <c r="Z9" s="77">
        <f>'25'!AD12</f>
        <v>0.875</v>
      </c>
      <c r="AA9" s="77">
        <f>'26'!AD12</f>
        <v>0.79166666666666663</v>
      </c>
      <c r="AB9" s="77">
        <f>'27'!AD12</f>
        <v>0.75</v>
      </c>
      <c r="AC9" s="77">
        <f>'28'!AD12</f>
        <v>0.91666666666666663</v>
      </c>
      <c r="AD9" s="77">
        <f>'29'!AD12</f>
        <v>0.91666666666666663</v>
      </c>
      <c r="AE9" s="77"/>
      <c r="AF9" s="78"/>
      <c r="AG9" s="79">
        <f t="shared" si="0"/>
        <v>0.62231182795698936</v>
      </c>
    </row>
    <row r="10" spans="1:33" ht="21.75" customHeight="1">
      <c r="A10" s="101" t="s">
        <v>67</v>
      </c>
      <c r="B10" s="98">
        <f>'01'!AD14</f>
        <v>0.83333333333333337</v>
      </c>
      <c r="C10" s="98">
        <f>'02'!AD13</f>
        <v>0.375</v>
      </c>
      <c r="D10" s="77"/>
      <c r="E10" s="77">
        <f>'04'!AD14</f>
        <v>0.91666666666666663</v>
      </c>
      <c r="F10" s="77">
        <f>'05'!AD13</f>
        <v>0.875</v>
      </c>
      <c r="G10" s="77">
        <f>'06'!AD14+'06'!AD15</f>
        <v>0.375</v>
      </c>
      <c r="H10" s="77">
        <f>'07'!AD13+'07'!AD14+'07'!AD15+'07'!AD16</f>
        <v>0.64166666666666672</v>
      </c>
      <c r="I10" s="77">
        <f>'08'!AD13</f>
        <v>0.16666666666666666</v>
      </c>
      <c r="J10" s="77">
        <f>'09'!AD14</f>
        <v>0</v>
      </c>
      <c r="K10" s="77"/>
      <c r="L10" s="77">
        <f>'11'!AD13</f>
        <v>0.83333333333333337</v>
      </c>
      <c r="M10" s="77">
        <f>'12'!AD13</f>
        <v>0.41666666666666669</v>
      </c>
      <c r="N10" s="77">
        <f>'13'!AD14</f>
        <v>0.95833333333333337</v>
      </c>
      <c r="O10" s="77">
        <f>'14'!AD15</f>
        <v>0</v>
      </c>
      <c r="P10" s="77">
        <f>'15'!AD13</f>
        <v>0</v>
      </c>
      <c r="Q10" s="77"/>
      <c r="R10" s="77"/>
      <c r="S10" s="77">
        <f>'18'!AD14</f>
        <v>0.625</v>
      </c>
      <c r="T10" s="77">
        <f>'19'!AD13</f>
        <v>1</v>
      </c>
      <c r="U10" s="77">
        <f>'20'!AD13</f>
        <v>0.16666666666666666</v>
      </c>
      <c r="V10" s="77">
        <f>'21'!AD13</f>
        <v>0.16666666666666666</v>
      </c>
      <c r="W10" s="77">
        <f>'22'!AD13</f>
        <v>0.66666666666666663</v>
      </c>
      <c r="X10" s="77">
        <f>'23'!AD13</f>
        <v>0.5</v>
      </c>
      <c r="Y10" s="77"/>
      <c r="Z10" s="77">
        <f>'25'!AD13</f>
        <v>1</v>
      </c>
      <c r="AA10" s="77">
        <f>'26'!AD13</f>
        <v>1</v>
      </c>
      <c r="AB10" s="77">
        <f>'27'!AD13+'27'!AD14</f>
        <v>0.45833333333333337</v>
      </c>
      <c r="AC10" s="77">
        <f>'28'!AD13</f>
        <v>0.91666666666666663</v>
      </c>
      <c r="AD10" s="77">
        <f>'29'!AD13+'29'!AD14</f>
        <v>0.54166666666666674</v>
      </c>
      <c r="AE10" s="77"/>
      <c r="AF10" s="78"/>
      <c r="AG10" s="79">
        <f t="shared" si="0"/>
        <v>0.43333333333333324</v>
      </c>
    </row>
    <row r="11" spans="1:33" ht="21.75" customHeight="1">
      <c r="A11" s="106" t="s">
        <v>68</v>
      </c>
      <c r="B11" s="107">
        <f>'01'!AD15</f>
        <v>0</v>
      </c>
      <c r="C11" s="107">
        <f>'02'!AD14</f>
        <v>0</v>
      </c>
      <c r="D11" s="108"/>
      <c r="E11" s="108">
        <f>'04'!AD15</f>
        <v>0</v>
      </c>
      <c r="F11" s="108">
        <f>'05'!AD14</f>
        <v>0</v>
      </c>
      <c r="G11" s="108">
        <f>'06'!AD16</f>
        <v>0</v>
      </c>
      <c r="H11" s="108">
        <f>'07'!AD17</f>
        <v>0.20833333333333334</v>
      </c>
      <c r="I11" s="108">
        <f>'08'!AD14</f>
        <v>0</v>
      </c>
      <c r="J11" s="108">
        <f>'09'!AD15</f>
        <v>0</v>
      </c>
      <c r="K11" s="108"/>
      <c r="L11" s="108">
        <f>'11'!AD14</f>
        <v>0</v>
      </c>
      <c r="M11" s="108">
        <f>'12'!AD14</f>
        <v>0.25</v>
      </c>
      <c r="N11" s="108">
        <f>'13'!AD15</f>
        <v>0</v>
      </c>
      <c r="O11" s="108">
        <f>'14'!AD16</f>
        <v>0</v>
      </c>
      <c r="P11" s="108">
        <f>'15'!AD14</f>
        <v>0</v>
      </c>
      <c r="Q11" s="108"/>
      <c r="R11" s="108"/>
      <c r="S11" s="108">
        <f>'18'!AD15</f>
        <v>0.20833333333333334</v>
      </c>
      <c r="T11" s="108">
        <f>'19'!AD14</f>
        <v>0</v>
      </c>
      <c r="U11" s="108">
        <f>'20'!AD14</f>
        <v>0.25</v>
      </c>
      <c r="V11" s="108">
        <f>'21'!AD14</f>
        <v>0</v>
      </c>
      <c r="W11" s="108">
        <f>'22'!AD14</f>
        <v>0</v>
      </c>
      <c r="X11" s="108">
        <f>'23'!AD14</f>
        <v>0</v>
      </c>
      <c r="Y11" s="108"/>
      <c r="Z11" s="108">
        <f>'25'!AD14</f>
        <v>0</v>
      </c>
      <c r="AA11" s="108">
        <f>'26'!AD14</f>
        <v>0</v>
      </c>
      <c r="AB11" s="108">
        <f>'27'!AD15</f>
        <v>0</v>
      </c>
      <c r="AC11" s="108">
        <f>'28'!AD14</f>
        <v>0</v>
      </c>
      <c r="AD11" s="108">
        <f>'29'!AD15</f>
        <v>0</v>
      </c>
      <c r="AE11" s="108"/>
      <c r="AF11" s="109"/>
      <c r="AG11" s="110">
        <f t="shared" si="0"/>
        <v>2.9569892473118281E-2</v>
      </c>
    </row>
    <row r="12" spans="1:33" ht="21.75" customHeight="1">
      <c r="A12" s="100" t="s">
        <v>69</v>
      </c>
      <c r="B12" s="97">
        <f>'01'!AD16</f>
        <v>0</v>
      </c>
      <c r="C12" s="97">
        <f>'02'!AD15</f>
        <v>0</v>
      </c>
      <c r="D12" s="74"/>
      <c r="E12" s="74">
        <f>'04'!AD16</f>
        <v>0</v>
      </c>
      <c r="F12" s="74">
        <f>'05'!AD15</f>
        <v>0</v>
      </c>
      <c r="G12" s="74">
        <f>'06'!AD17</f>
        <v>0.875</v>
      </c>
      <c r="H12" s="74">
        <f>'07'!AD18</f>
        <v>0.20833333333333334</v>
      </c>
      <c r="I12" s="74">
        <f>'08'!AD15</f>
        <v>1</v>
      </c>
      <c r="J12" s="74">
        <f>'09'!AD16</f>
        <v>1</v>
      </c>
      <c r="K12" s="74"/>
      <c r="L12" s="74">
        <f>'11'!AD15</f>
        <v>1</v>
      </c>
      <c r="M12" s="74">
        <f>'12'!AD15+'12'!AD16</f>
        <v>0.95833333333333326</v>
      </c>
      <c r="N12" s="74">
        <f>'13'!AD16</f>
        <v>1</v>
      </c>
      <c r="O12" s="74">
        <f>'14'!AD17</f>
        <v>0.58333333333333337</v>
      </c>
      <c r="P12" s="74">
        <f>'15'!AD15</f>
        <v>1</v>
      </c>
      <c r="Q12" s="74"/>
      <c r="R12" s="74"/>
      <c r="S12" s="74">
        <f>'18'!AD16</f>
        <v>1</v>
      </c>
      <c r="T12" s="74">
        <f>'19'!AD15</f>
        <v>0</v>
      </c>
      <c r="U12" s="74">
        <f>'20'!AD15</f>
        <v>0</v>
      </c>
      <c r="V12" s="74">
        <f>'21'!AD15</f>
        <v>0.875</v>
      </c>
      <c r="W12" s="74">
        <f>'22'!AD15</f>
        <v>1</v>
      </c>
      <c r="X12" s="74">
        <f>'23'!AD15</f>
        <v>0</v>
      </c>
      <c r="Y12" s="74"/>
      <c r="Z12" s="74">
        <f>'25'!AD15</f>
        <v>0</v>
      </c>
      <c r="AA12" s="74">
        <f>'26'!AD15</f>
        <v>0</v>
      </c>
      <c r="AB12" s="74">
        <f>'27'!AD16</f>
        <v>0.16666666666666666</v>
      </c>
      <c r="AC12" s="74">
        <f>'28'!AD15</f>
        <v>0.75</v>
      </c>
      <c r="AD12" s="74">
        <f>'29'!AD16</f>
        <v>0.75</v>
      </c>
      <c r="AE12" s="74"/>
      <c r="AF12" s="75"/>
      <c r="AG12" s="76">
        <f t="shared" si="0"/>
        <v>0.39247311827956988</v>
      </c>
    </row>
    <row r="13" spans="1:33" ht="21.75" customHeight="1">
      <c r="A13" s="101" t="s">
        <v>70</v>
      </c>
      <c r="B13" s="98">
        <f>'01'!AD17</f>
        <v>1</v>
      </c>
      <c r="C13" s="98">
        <f>'02'!AD16</f>
        <v>0.45833333333333331</v>
      </c>
      <c r="D13" s="77"/>
      <c r="E13" s="77">
        <f>'04'!AD17+'04'!AD18</f>
        <v>0.25</v>
      </c>
      <c r="F13" s="77">
        <f>'05'!AD16</f>
        <v>0.79166666666666663</v>
      </c>
      <c r="G13" s="77">
        <f>'06'!AD18</f>
        <v>1</v>
      </c>
      <c r="H13" s="77">
        <f>'07'!AD19</f>
        <v>0.91666666666666663</v>
      </c>
      <c r="I13" s="77">
        <f>'08'!AD16</f>
        <v>0</v>
      </c>
      <c r="J13" s="77">
        <f>'09'!AD17</f>
        <v>1</v>
      </c>
      <c r="K13" s="77"/>
      <c r="L13" s="77">
        <f>'11'!AD16</f>
        <v>1</v>
      </c>
      <c r="M13" s="77">
        <f>'12'!AD17</f>
        <v>0.91666666666666663</v>
      </c>
      <c r="N13" s="77">
        <f>'13'!AD17</f>
        <v>1</v>
      </c>
      <c r="O13" s="77">
        <f>'14'!AD18</f>
        <v>1</v>
      </c>
      <c r="P13" s="77">
        <f>'15'!AD16</f>
        <v>1</v>
      </c>
      <c r="Q13" s="77"/>
      <c r="R13" s="77"/>
      <c r="S13" s="77">
        <f>'18'!AD17</f>
        <v>1</v>
      </c>
      <c r="T13" s="77">
        <f>'19'!AD16</f>
        <v>1</v>
      </c>
      <c r="U13" s="77">
        <f>'20'!AD16</f>
        <v>0.75</v>
      </c>
      <c r="V13" s="77">
        <f>'21'!AD16</f>
        <v>1</v>
      </c>
      <c r="W13" s="77">
        <f>'22'!AD16</f>
        <v>1</v>
      </c>
      <c r="X13" s="77">
        <f>'23'!AD16</f>
        <v>0.5</v>
      </c>
      <c r="Y13" s="77"/>
      <c r="Z13" s="77">
        <f>'25'!AD16</f>
        <v>1</v>
      </c>
      <c r="AA13" s="77">
        <f>'26'!AD16</f>
        <v>1</v>
      </c>
      <c r="AB13" s="77">
        <f>'27'!AD17</f>
        <v>0.16666666666666666</v>
      </c>
      <c r="AC13" s="77">
        <f>'28'!AD16</f>
        <v>0</v>
      </c>
      <c r="AD13" s="77">
        <f>'29'!AD17</f>
        <v>0.16666666666666666</v>
      </c>
      <c r="AE13" s="77"/>
      <c r="AF13" s="78"/>
      <c r="AG13" s="79">
        <f t="shared" si="0"/>
        <v>0.57795698924731198</v>
      </c>
    </row>
    <row r="14" spans="1:33" ht="21.75" customHeight="1">
      <c r="A14" s="100" t="s">
        <v>71</v>
      </c>
      <c r="B14" s="97">
        <f>'01'!AD18</f>
        <v>1</v>
      </c>
      <c r="C14" s="97">
        <f>'02'!AD17</f>
        <v>0.25</v>
      </c>
      <c r="D14" s="74"/>
      <c r="E14" s="74">
        <f>'04'!AD19+'04'!AD20</f>
        <v>0.91666666666666674</v>
      </c>
      <c r="F14" s="74">
        <f>'05'!AD17</f>
        <v>1</v>
      </c>
      <c r="G14" s="74">
        <f>'06'!AD19</f>
        <v>0.75</v>
      </c>
      <c r="H14" s="74">
        <f>'07'!AD20</f>
        <v>0.41666666666666669</v>
      </c>
      <c r="I14" s="74">
        <f>'08'!AD17</f>
        <v>8.3333333333333329E-2</v>
      </c>
      <c r="J14" s="74">
        <f>'09'!AD18</f>
        <v>0</v>
      </c>
      <c r="K14" s="74"/>
      <c r="L14" s="74">
        <f>'11'!AD17</f>
        <v>0.91666666666666663</v>
      </c>
      <c r="M14" s="74">
        <f>'12'!AD18</f>
        <v>1</v>
      </c>
      <c r="N14" s="74">
        <f>'13'!AD18</f>
        <v>1</v>
      </c>
      <c r="O14" s="74">
        <f>'14'!AD19</f>
        <v>1</v>
      </c>
      <c r="P14" s="74">
        <f>'15'!AD17</f>
        <v>1</v>
      </c>
      <c r="Q14" s="74"/>
      <c r="R14" s="74"/>
      <c r="S14" s="74">
        <f>'18'!AD18</f>
        <v>1</v>
      </c>
      <c r="T14" s="74">
        <f>'19'!AD17</f>
        <v>1</v>
      </c>
      <c r="U14" s="74">
        <f>'20'!AD17</f>
        <v>1</v>
      </c>
      <c r="V14" s="74">
        <f>'21'!AD17</f>
        <v>0.29169351374570451</v>
      </c>
      <c r="W14" s="74">
        <f>'22'!AD17</f>
        <v>0</v>
      </c>
      <c r="X14" s="74">
        <f>'23'!AD17</f>
        <v>0</v>
      </c>
      <c r="Y14" s="74"/>
      <c r="Z14" s="74">
        <f>'25'!AD17</f>
        <v>0</v>
      </c>
      <c r="AA14" s="74">
        <f>'26'!AD17</f>
        <v>0.83333333333333337</v>
      </c>
      <c r="AB14" s="74">
        <f>'27'!AD18</f>
        <v>1</v>
      </c>
      <c r="AC14" s="74">
        <f>'28'!AD17</f>
        <v>1</v>
      </c>
      <c r="AD14" s="74">
        <f>'29'!AD18</f>
        <v>0.20833333333333334</v>
      </c>
      <c r="AE14" s="74"/>
      <c r="AF14" s="75"/>
      <c r="AG14" s="76">
        <f t="shared" si="0"/>
        <v>0.50537721012082926</v>
      </c>
    </row>
    <row r="15" spans="1:33" ht="21.75" customHeight="1">
      <c r="A15" s="101" t="s">
        <v>72</v>
      </c>
      <c r="B15" s="98">
        <f>'01'!AD19</f>
        <v>1</v>
      </c>
      <c r="C15" s="98">
        <f>'02'!AD18</f>
        <v>0.45833333333333331</v>
      </c>
      <c r="D15" s="77"/>
      <c r="E15" s="77">
        <f>'04'!AD21</f>
        <v>1</v>
      </c>
      <c r="F15" s="77">
        <f>'05'!AD18</f>
        <v>0.92757023965959573</v>
      </c>
      <c r="G15" s="77">
        <f>'06'!AD20</f>
        <v>1</v>
      </c>
      <c r="H15" s="77">
        <f>'07'!AD21</f>
        <v>0.875</v>
      </c>
      <c r="I15" s="77">
        <f>'08'!AD18</f>
        <v>0.33333333333333331</v>
      </c>
      <c r="J15" s="77">
        <f>'09'!AD19</f>
        <v>0.70833333333333337</v>
      </c>
      <c r="K15" s="77"/>
      <c r="L15" s="77">
        <f>'11'!AD18</f>
        <v>0.95833333333333337</v>
      </c>
      <c r="M15" s="77">
        <f>'12'!AD19</f>
        <v>0.91666666666666663</v>
      </c>
      <c r="N15" s="77">
        <f>'13'!AD19</f>
        <v>0.79166666666666663</v>
      </c>
      <c r="O15" s="77">
        <f>'14'!AD20</f>
        <v>0.83333333333333337</v>
      </c>
      <c r="P15" s="77">
        <f>'15'!AD18</f>
        <v>0.54166666666666663</v>
      </c>
      <c r="Q15" s="77"/>
      <c r="R15" s="77"/>
      <c r="S15" s="77">
        <f>'18'!AD19</f>
        <v>0</v>
      </c>
      <c r="T15" s="77">
        <f>'19'!AD18</f>
        <v>0.54166666666666663</v>
      </c>
      <c r="U15" s="77">
        <f>'20'!AD18</f>
        <v>1</v>
      </c>
      <c r="V15" s="77">
        <f>'21'!AD18</f>
        <v>0.91666666666666663</v>
      </c>
      <c r="W15" s="77">
        <f>'22'!AD18</f>
        <v>1</v>
      </c>
      <c r="X15" s="77">
        <f>'23'!AD18</f>
        <v>0.5</v>
      </c>
      <c r="Y15" s="77"/>
      <c r="Z15" s="77">
        <f>'25'!AD18</f>
        <v>0.875</v>
      </c>
      <c r="AA15" s="77">
        <f>'26'!AD18</f>
        <v>1</v>
      </c>
      <c r="AB15" s="77">
        <f>'27'!AD19</f>
        <v>0.625</v>
      </c>
      <c r="AC15" s="77">
        <f>'28'!AD18</f>
        <v>0.375</v>
      </c>
      <c r="AD15" s="77">
        <f>'29'!AD19</f>
        <v>0.83333333333333337</v>
      </c>
      <c r="AE15" s="77"/>
      <c r="AF15" s="78"/>
      <c r="AG15" s="79">
        <f t="shared" si="0"/>
        <v>0.58099688945138472</v>
      </c>
    </row>
    <row r="16" spans="1:33" ht="21.75" customHeight="1">
      <c r="A16" s="101" t="s">
        <v>121</v>
      </c>
      <c r="B16" s="98">
        <f>'01'!AD20</f>
        <v>1</v>
      </c>
      <c r="C16" s="98">
        <f>'02'!AD19</f>
        <v>0.45833333333333331</v>
      </c>
      <c r="D16" s="77"/>
      <c r="E16" s="77">
        <f>'04'!AD22</f>
        <v>0.875</v>
      </c>
      <c r="F16" s="77">
        <f>'05'!AD19</f>
        <v>1</v>
      </c>
      <c r="G16" s="77">
        <f>'06'!AD21</f>
        <v>0.75</v>
      </c>
      <c r="H16" s="77">
        <f>'07'!AD22</f>
        <v>1</v>
      </c>
      <c r="I16" s="77">
        <f>'08'!AD19</f>
        <v>1</v>
      </c>
      <c r="J16" s="77">
        <f>'09'!AD20</f>
        <v>1</v>
      </c>
      <c r="K16" s="77"/>
      <c r="L16" s="77">
        <f>'11'!AD19+'11'!AD20</f>
        <v>0.79166666666666663</v>
      </c>
      <c r="M16" s="77">
        <f>'12'!AD20</f>
        <v>0.75</v>
      </c>
      <c r="N16" s="77">
        <f>'13'!AD20</f>
        <v>0.66666666666666663</v>
      </c>
      <c r="O16" s="77">
        <f>'14'!AD21</f>
        <v>0.875</v>
      </c>
      <c r="P16" s="77">
        <f>'15'!AD19</f>
        <v>0.45833333333333331</v>
      </c>
      <c r="Q16" s="77"/>
      <c r="R16" s="77"/>
      <c r="S16" s="77">
        <f>'18'!AD20</f>
        <v>0.91666666666666663</v>
      </c>
      <c r="T16" s="77">
        <f>'19'!AD19</f>
        <v>1</v>
      </c>
      <c r="U16" s="77">
        <f>'20'!AD19</f>
        <v>0.91666666666666663</v>
      </c>
      <c r="V16" s="77">
        <f>'21'!AD19</f>
        <v>1</v>
      </c>
      <c r="W16" s="77">
        <f>'22'!AD19</f>
        <v>1</v>
      </c>
      <c r="X16" s="77">
        <f>'23'!AD19</f>
        <v>0.5</v>
      </c>
      <c r="Y16" s="77"/>
      <c r="Z16" s="77">
        <f>'25'!AD19</f>
        <v>0.25</v>
      </c>
      <c r="AA16" s="77">
        <f>'26'!AD19</f>
        <v>0</v>
      </c>
      <c r="AB16" s="77">
        <f>'27'!AD20</f>
        <v>0.625</v>
      </c>
      <c r="AC16" s="77">
        <f>'28'!AD19</f>
        <v>0</v>
      </c>
      <c r="AD16" s="77">
        <f>'29'!AD20</f>
        <v>0.58333333333333337</v>
      </c>
      <c r="AE16" s="77"/>
      <c r="AF16" s="78"/>
      <c r="AG16" s="79">
        <f t="shared" si="0"/>
        <v>0.56182795698924726</v>
      </c>
    </row>
    <row r="17" spans="1:33" ht="21.75" customHeight="1">
      <c r="A17" s="101" t="s">
        <v>122</v>
      </c>
      <c r="B17" s="98">
        <f>'01'!AD21</f>
        <v>1</v>
      </c>
      <c r="C17" s="98">
        <f>'02'!AD20</f>
        <v>0.375</v>
      </c>
      <c r="D17" s="77"/>
      <c r="E17" s="77">
        <f>'04'!AD23</f>
        <v>1</v>
      </c>
      <c r="F17" s="77">
        <f>'05'!AD20</f>
        <v>0.625</v>
      </c>
      <c r="G17" s="77">
        <f>'06'!AD22</f>
        <v>1</v>
      </c>
      <c r="H17" s="77">
        <f>'07'!AD23</f>
        <v>1</v>
      </c>
      <c r="I17" s="77">
        <f>'08'!AD20</f>
        <v>1</v>
      </c>
      <c r="J17" s="77">
        <f>'09'!AD21</f>
        <v>0.91666666666666663</v>
      </c>
      <c r="K17" s="77"/>
      <c r="L17" s="77">
        <f>'11'!AD21</f>
        <v>1</v>
      </c>
      <c r="M17" s="77">
        <f>'12'!AD21</f>
        <v>1</v>
      </c>
      <c r="N17" s="77">
        <f>'13'!AD21</f>
        <v>1</v>
      </c>
      <c r="O17" s="77">
        <f>'14'!AD22</f>
        <v>1</v>
      </c>
      <c r="P17" s="77">
        <f>'15'!AD20</f>
        <v>1</v>
      </c>
      <c r="Q17" s="77"/>
      <c r="R17" s="77"/>
      <c r="S17" s="77">
        <f>'18'!AD21</f>
        <v>0.41666666666666669</v>
      </c>
      <c r="T17" s="77">
        <f>'19'!AD20</f>
        <v>0.58333333333333337</v>
      </c>
      <c r="U17" s="77">
        <f>'20'!AD20</f>
        <v>1</v>
      </c>
      <c r="V17" s="77">
        <f>'21'!AD20</f>
        <v>1</v>
      </c>
      <c r="W17" s="77">
        <f>'22'!AD20</f>
        <v>1</v>
      </c>
      <c r="X17" s="77">
        <f>'23'!AD20</f>
        <v>0.5</v>
      </c>
      <c r="Y17" s="77"/>
      <c r="Z17" s="77">
        <f>'25'!AD20</f>
        <v>0.125</v>
      </c>
      <c r="AA17" s="77">
        <f>'26'!AD20</f>
        <v>0</v>
      </c>
      <c r="AB17" s="77">
        <f>'27'!AD21</f>
        <v>0</v>
      </c>
      <c r="AC17" s="77">
        <f>'28'!AD20</f>
        <v>0.79166666666666663</v>
      </c>
      <c r="AD17" s="77">
        <f>'29'!AD21</f>
        <v>1</v>
      </c>
      <c r="AE17" s="77"/>
      <c r="AF17" s="78"/>
      <c r="AG17" s="79">
        <f t="shared" si="0"/>
        <v>0.59139784946236562</v>
      </c>
    </row>
    <row r="18" spans="1:33" ht="21.75" customHeight="1" thickBot="1">
      <c r="A18" s="102" t="s">
        <v>123</v>
      </c>
      <c r="B18" s="99">
        <f>'01'!AD22</f>
        <v>0</v>
      </c>
      <c r="C18" s="99">
        <f>'02'!AD21</f>
        <v>0</v>
      </c>
      <c r="D18" s="80"/>
      <c r="E18" s="80">
        <f>'04'!AD24</f>
        <v>0.91666666666666663</v>
      </c>
      <c r="F18" s="80">
        <f>'05'!AD21</f>
        <v>1</v>
      </c>
      <c r="G18" s="80">
        <f>'06'!AD23</f>
        <v>1</v>
      </c>
      <c r="H18" s="80">
        <f>'07'!AD24</f>
        <v>1</v>
      </c>
      <c r="I18" s="80">
        <f>'08'!AD21</f>
        <v>0.41666666666666669</v>
      </c>
      <c r="J18" s="80">
        <f>'09'!AD22</f>
        <v>0</v>
      </c>
      <c r="K18" s="80"/>
      <c r="L18" s="80">
        <f>'11'!AD22</f>
        <v>0.91666666666666663</v>
      </c>
      <c r="M18" s="80">
        <f>'12'!AD22</f>
        <v>1</v>
      </c>
      <c r="N18" s="80">
        <f>'13'!AD22</f>
        <v>1</v>
      </c>
      <c r="O18" s="80">
        <f>'14'!AD23</f>
        <v>1</v>
      </c>
      <c r="P18" s="80">
        <f>'15'!AD21</f>
        <v>1</v>
      </c>
      <c r="Q18" s="80"/>
      <c r="R18" s="80"/>
      <c r="S18" s="80">
        <f>'18'!AD22</f>
        <v>0.16666666666666666</v>
      </c>
      <c r="T18" s="80">
        <f>'19'!AD21</f>
        <v>0</v>
      </c>
      <c r="U18" s="80">
        <f>'20'!AD21</f>
        <v>0.875</v>
      </c>
      <c r="V18" s="80">
        <f>'21'!AD21</f>
        <v>0.875</v>
      </c>
      <c r="W18" s="80">
        <f>'22'!AD21</f>
        <v>1</v>
      </c>
      <c r="X18" s="80">
        <f>'23'!AD21</f>
        <v>0.5</v>
      </c>
      <c r="Y18" s="80"/>
      <c r="Z18" s="80">
        <f>'25'!AD21</f>
        <v>0.875</v>
      </c>
      <c r="AA18" s="80">
        <f>'26'!AD21</f>
        <v>1</v>
      </c>
      <c r="AB18" s="80">
        <f>'27'!AD22</f>
        <v>1</v>
      </c>
      <c r="AC18" s="80">
        <f>'28'!AD21</f>
        <v>1</v>
      </c>
      <c r="AD18" s="80">
        <f>'29'!AD22</f>
        <v>1</v>
      </c>
      <c r="AE18" s="80"/>
      <c r="AF18" s="81"/>
      <c r="AG18" s="82">
        <f t="shared" si="0"/>
        <v>0.56586021505376338</v>
      </c>
    </row>
    <row r="19" spans="1:33" s="83" customFormat="1" ht="21.75" customHeight="1">
      <c r="A19" s="87" t="s">
        <v>104</v>
      </c>
      <c r="B19" s="91">
        <f>'01'!AD23</f>
        <v>0.65441176470588236</v>
      </c>
      <c r="C19" s="91">
        <f>'02'!AD22</f>
        <v>0.30729166666666669</v>
      </c>
      <c r="D19" s="92"/>
      <c r="E19" s="92">
        <f>'04'!AD25</f>
        <v>0.55921052631578949</v>
      </c>
      <c r="F19" s="92">
        <f>'05'!AD22</f>
        <v>0.65693147331205815</v>
      </c>
      <c r="G19" s="92">
        <f>'06'!AD24</f>
        <v>0.60185185185185175</v>
      </c>
      <c r="H19" s="92">
        <f>'07'!AD25</f>
        <v>0.57543859649122808</v>
      </c>
      <c r="I19" s="92">
        <f>'08'!AD22</f>
        <v>0.57291666666666663</v>
      </c>
      <c r="J19" s="92">
        <f>'09'!AD23</f>
        <v>0.55637254901960775</v>
      </c>
      <c r="K19" s="92"/>
      <c r="L19" s="92">
        <f>'11'!AD23</f>
        <v>0.74019607843137247</v>
      </c>
      <c r="M19" s="92">
        <f>'12'!AD23</f>
        <v>0.71568627450980393</v>
      </c>
      <c r="N19" s="92">
        <f>'13'!AD23</f>
        <v>0.70343137254901955</v>
      </c>
      <c r="O19" s="92">
        <f>'14'!AD24</f>
        <v>0.61574074074074081</v>
      </c>
      <c r="P19" s="92">
        <f>'15'!AD22</f>
        <v>0.73177083333333337</v>
      </c>
      <c r="Q19" s="92"/>
      <c r="R19" s="92"/>
      <c r="S19" s="92">
        <f>'18'!AD23</f>
        <v>0.57598039215686259</v>
      </c>
      <c r="T19" s="92">
        <f>'19'!AD22</f>
        <v>0.671875</v>
      </c>
      <c r="U19" s="92">
        <f>'20'!AD22</f>
        <v>0.59895833333333337</v>
      </c>
      <c r="V19" s="92">
        <f>'21'!AD22</f>
        <v>0.55989751127577314</v>
      </c>
      <c r="W19" s="92">
        <f>'22'!AD22</f>
        <v>0.62760416666666674</v>
      </c>
      <c r="X19" s="92">
        <f>'23'!AD22</f>
        <v>0.25</v>
      </c>
      <c r="Y19" s="92"/>
      <c r="Z19" s="92">
        <f>'25'!AD22</f>
        <v>0.421875</v>
      </c>
      <c r="AA19" s="92">
        <f>'26'!AD22</f>
        <v>0.49479166666666669</v>
      </c>
      <c r="AB19" s="92">
        <f>'27'!AD23</f>
        <v>0.4485294117647059</v>
      </c>
      <c r="AC19" s="92">
        <f>'28'!AD22</f>
        <v>0.484375</v>
      </c>
      <c r="AD19" s="92">
        <f>'29'!AD23</f>
        <v>0.52450980392156854</v>
      </c>
      <c r="AE19" s="92"/>
      <c r="AF19" s="93"/>
      <c r="AG19" s="94">
        <f>SUM(B19:AF19)/31</f>
        <v>0.44031118323805152</v>
      </c>
    </row>
    <row r="20" spans="1:33" ht="21.75" customHeight="1" thickBot="1">
      <c r="A20" s="69" t="s">
        <v>108</v>
      </c>
      <c r="B20" s="70">
        <v>0.62</v>
      </c>
      <c r="C20" s="71">
        <v>0.62</v>
      </c>
      <c r="D20" s="71">
        <v>0.62</v>
      </c>
      <c r="E20" s="71">
        <v>0.62</v>
      </c>
      <c r="F20" s="71">
        <v>0.62</v>
      </c>
      <c r="G20" s="71">
        <v>0.62</v>
      </c>
      <c r="H20" s="71">
        <v>0.62</v>
      </c>
      <c r="I20" s="71">
        <v>0.62</v>
      </c>
      <c r="J20" s="71">
        <v>0.62</v>
      </c>
      <c r="K20" s="71">
        <v>0.62</v>
      </c>
      <c r="L20" s="71">
        <v>0.62</v>
      </c>
      <c r="M20" s="71">
        <v>0.62</v>
      </c>
      <c r="N20" s="71">
        <v>0.62</v>
      </c>
      <c r="O20" s="71">
        <v>0.62</v>
      </c>
      <c r="P20" s="71">
        <v>0.62</v>
      </c>
      <c r="Q20" s="71">
        <v>0.62</v>
      </c>
      <c r="R20" s="71">
        <v>0.62</v>
      </c>
      <c r="S20" s="71">
        <v>0.62</v>
      </c>
      <c r="T20" s="71">
        <v>0.62</v>
      </c>
      <c r="U20" s="71">
        <v>0.62</v>
      </c>
      <c r="V20" s="71">
        <v>0.62</v>
      </c>
      <c r="W20" s="71">
        <v>0.62</v>
      </c>
      <c r="X20" s="71">
        <v>0.62</v>
      </c>
      <c r="Y20" s="71">
        <v>0.62</v>
      </c>
      <c r="Z20" s="71">
        <v>0.62</v>
      </c>
      <c r="AA20" s="71">
        <v>0.62</v>
      </c>
      <c r="AB20" s="71">
        <v>0.62</v>
      </c>
      <c r="AC20" s="71">
        <v>0.62</v>
      </c>
      <c r="AD20" s="71">
        <v>0.62</v>
      </c>
      <c r="AE20" s="71">
        <v>0.62</v>
      </c>
      <c r="AF20" s="72">
        <v>0.62</v>
      </c>
      <c r="AG20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25</vt:i4>
      </vt:variant>
      <vt:variant>
        <vt:lpstr>이름 지정된 범위</vt:lpstr>
      </vt:variant>
      <vt:variant>
        <vt:i4>48</vt:i4>
      </vt:variant>
    </vt:vector>
  </HeadingPairs>
  <TitlesOfParts>
    <vt:vector size="73" baseType="lpstr">
      <vt:lpstr>01</vt:lpstr>
      <vt:lpstr>02</vt:lpstr>
      <vt:lpstr>04</vt:lpstr>
      <vt:lpstr>05</vt:lpstr>
      <vt:lpstr>06</vt:lpstr>
      <vt:lpstr>07</vt:lpstr>
      <vt:lpstr>08</vt:lpstr>
      <vt:lpstr>09</vt:lpstr>
      <vt:lpstr>11</vt:lpstr>
      <vt:lpstr>12</vt:lpstr>
      <vt:lpstr>13</vt:lpstr>
      <vt:lpstr>14</vt:lpstr>
      <vt:lpstr>15</vt:lpstr>
      <vt:lpstr>18</vt:lpstr>
      <vt:lpstr>19</vt:lpstr>
      <vt:lpstr>20</vt:lpstr>
      <vt:lpstr>21</vt:lpstr>
      <vt:lpstr>22</vt:lpstr>
      <vt:lpstr>23</vt:lpstr>
      <vt:lpstr>25</vt:lpstr>
      <vt:lpstr>26</vt:lpstr>
      <vt:lpstr>27</vt:lpstr>
      <vt:lpstr>28</vt:lpstr>
      <vt:lpstr>29</vt:lpstr>
      <vt:lpstr>총괄</vt:lpstr>
      <vt:lpstr>'01'!Print_Area</vt:lpstr>
      <vt:lpstr>'02'!Print_Area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'11'!Print_Area</vt:lpstr>
      <vt:lpstr>'12'!Print_Area</vt:lpstr>
      <vt:lpstr>'13'!Print_Area</vt:lpstr>
      <vt:lpstr>'14'!Print_Area</vt:lpstr>
      <vt:lpstr>'15'!Print_Area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'25'!Print_Area</vt:lpstr>
      <vt:lpstr>'26'!Print_Area</vt:lpstr>
      <vt:lpstr>'27'!Print_Area</vt:lpstr>
      <vt:lpstr>'28'!Print_Area</vt:lpstr>
      <vt:lpstr>'29'!Print_Area</vt:lpstr>
      <vt:lpstr>'01'!ㅁ1</vt:lpstr>
      <vt:lpstr>'02'!ㅁ1</vt:lpstr>
      <vt:lpstr>'04'!ㅁ1</vt:lpstr>
      <vt:lpstr>'05'!ㅁ1</vt:lpstr>
      <vt:lpstr>'06'!ㅁ1</vt:lpstr>
      <vt:lpstr>'07'!ㅁ1</vt:lpstr>
      <vt:lpstr>'08'!ㅁ1</vt:lpstr>
      <vt:lpstr>'09'!ㅁ1</vt:lpstr>
      <vt:lpstr>'11'!ㅁ1</vt:lpstr>
      <vt:lpstr>'12'!ㅁ1</vt:lpstr>
      <vt:lpstr>'13'!ㅁ1</vt:lpstr>
      <vt:lpstr>'14'!ㅁ1</vt:lpstr>
      <vt:lpstr>'15'!ㅁ1</vt:lpstr>
      <vt:lpstr>'18'!ㅁ1</vt:lpstr>
      <vt:lpstr>'19'!ㅁ1</vt:lpstr>
      <vt:lpstr>'20'!ㅁ1</vt:lpstr>
      <vt:lpstr>'21'!ㅁ1</vt:lpstr>
      <vt:lpstr>'22'!ㅁ1</vt:lpstr>
      <vt:lpstr>'23'!ㅁ1</vt:lpstr>
      <vt:lpstr>'25'!ㅁ1</vt:lpstr>
      <vt:lpstr>'26'!ㅁ1</vt:lpstr>
      <vt:lpstr>'27'!ㅁ1</vt:lpstr>
      <vt:lpstr>'28'!ㅁ1</vt:lpstr>
      <vt:lpstr>'29'!ㅁ1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2020-03-30T05:00:42Z</cp:lastPrinted>
  <dcterms:created xsi:type="dcterms:W3CDTF">2014-05-16T00:06:55Z</dcterms:created>
  <dcterms:modified xsi:type="dcterms:W3CDTF">2021-01-30T01:21:18Z</dcterms:modified>
</cp:coreProperties>
</file>