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1년도\일일업무\생산일보\"/>
    </mc:Choice>
  </mc:AlternateContent>
  <xr:revisionPtr revIDLastSave="0" documentId="13_ncr:1_{5FE914FC-D654-49BE-AD30-4DAAD8FBF0D0}" xr6:coauthVersionLast="47" xr6:coauthVersionMax="47" xr10:uidLastSave="{00000000-0000-0000-0000-000000000000}"/>
  <bookViews>
    <workbookView xWindow="-120" yWindow="-120" windowWidth="29040" windowHeight="15840" firstSheet="1" activeTab="23" xr2:uid="{00000000-000D-0000-FFFF-FFFF00000000}"/>
  </bookViews>
  <sheets>
    <sheet name="01" sheetId="2114" r:id="rId1"/>
    <sheet name="02" sheetId="2115" r:id="rId2"/>
    <sheet name="04" sheetId="2116" r:id="rId3"/>
    <sheet name="05" sheetId="2117" r:id="rId4"/>
    <sheet name="06" sheetId="2119" r:id="rId5"/>
    <sheet name="07" sheetId="2120" r:id="rId6"/>
    <sheet name="08" sheetId="2121" r:id="rId7"/>
    <sheet name="09" sheetId="2122" r:id="rId8"/>
    <sheet name="10" sheetId="2123" r:id="rId9"/>
    <sheet name="11" sheetId="2124" r:id="rId10"/>
    <sheet name="12" sheetId="2125" r:id="rId11"/>
    <sheet name="13" sheetId="2126" r:id="rId12"/>
    <sheet name="14" sheetId="2127" r:id="rId13"/>
    <sheet name="15" sheetId="2128" r:id="rId14"/>
    <sheet name="18" sheetId="2129" r:id="rId15"/>
    <sheet name="19" sheetId="2130" r:id="rId16"/>
    <sheet name="20" sheetId="2131" r:id="rId17"/>
    <sheet name="21" sheetId="2132" r:id="rId18"/>
    <sheet name="22" sheetId="2133" r:id="rId19"/>
    <sheet name="25" sheetId="2134" r:id="rId20"/>
    <sheet name="26" sheetId="2135" r:id="rId21"/>
    <sheet name="27" sheetId="2136" r:id="rId22"/>
    <sheet name="28" sheetId="2137" r:id="rId23"/>
    <sheet name="29" sheetId="2138" r:id="rId24"/>
    <sheet name="총괄" sheetId="16" r:id="rId25"/>
  </sheets>
  <definedNames>
    <definedName name="_xlnm.Print_Area" localSheetId="0">'01'!$A$1:$AD$93</definedName>
    <definedName name="_xlnm.Print_Area" localSheetId="1">'02'!$A$1:$AD$93</definedName>
    <definedName name="_xlnm.Print_Area" localSheetId="2">'04'!$A$1:$AD$93</definedName>
    <definedName name="_xlnm.Print_Area" localSheetId="3">'05'!$A$1:$AD$93</definedName>
    <definedName name="_xlnm.Print_Area" localSheetId="4">'06'!$A$1:$AD$95</definedName>
    <definedName name="_xlnm.Print_Area" localSheetId="5">'07'!$A$1:$AD$93</definedName>
    <definedName name="_xlnm.Print_Area" localSheetId="6">'08'!$A$1:$AD$93</definedName>
    <definedName name="_xlnm.Print_Area" localSheetId="7">'09'!$A$1:$AD$93</definedName>
    <definedName name="_xlnm.Print_Area" localSheetId="8">'10'!$A$1:$AD$93</definedName>
    <definedName name="_xlnm.Print_Area" localSheetId="9">'11'!$A$1:$AD$93</definedName>
    <definedName name="_xlnm.Print_Area" localSheetId="10">'12'!$A$1:$AD$93</definedName>
    <definedName name="_xlnm.Print_Area" localSheetId="11">'13'!$A$1:$AD$94</definedName>
    <definedName name="_xlnm.Print_Area" localSheetId="12">'14'!$A$1:$AD$93</definedName>
    <definedName name="_xlnm.Print_Area" localSheetId="13">'15'!$A$1:$AD$96</definedName>
    <definedName name="_xlnm.Print_Area" localSheetId="14">'18'!$A$1:$AD$95</definedName>
    <definedName name="_xlnm.Print_Area" localSheetId="15">'19'!$A$1:$AD$96</definedName>
    <definedName name="_xlnm.Print_Area" localSheetId="16">'20'!$A$1:$AD$95</definedName>
    <definedName name="_xlnm.Print_Area" localSheetId="17">'21'!$A$1:$AD$96</definedName>
    <definedName name="_xlnm.Print_Area" localSheetId="18">'22'!$A$1:$AD$95</definedName>
    <definedName name="_xlnm.Print_Area" localSheetId="19">'25'!$A$1:$AD$97</definedName>
    <definedName name="_xlnm.Print_Area" localSheetId="20">'26'!$A$1:$AD$96</definedName>
    <definedName name="_xlnm.Print_Area" localSheetId="21">'27'!$A$1:$AD$97</definedName>
    <definedName name="_xlnm.Print_Area" localSheetId="22">'28'!$A$1:$AD$96</definedName>
    <definedName name="_xlnm.Print_Area" localSheetId="23">'29'!$A$1:$AD$95</definedName>
    <definedName name="ㅁ1" localSheetId="0">'01'!$M$1048528:$M$1048576</definedName>
    <definedName name="ㅁ1" localSheetId="1">'02'!$M$1048528:$M$1048576</definedName>
    <definedName name="ㅁ1" localSheetId="2">'04'!$M$1048528:$M$1048576</definedName>
    <definedName name="ㅁ1" localSheetId="3">'05'!$M$1048528:$M$1048576</definedName>
    <definedName name="ㅁ1" localSheetId="4">'06'!$M$1048530:$M$1048576</definedName>
    <definedName name="ㅁ1" localSheetId="5">'07'!$M$1048528:$M$1048576</definedName>
    <definedName name="ㅁ1" localSheetId="6">'08'!$M$1048528:$M$1048576</definedName>
    <definedName name="ㅁ1" localSheetId="7">'09'!$M$1048528:$M$1048576</definedName>
    <definedName name="ㅁ1" localSheetId="8">'10'!$M$1048528:$M$1048576</definedName>
    <definedName name="ㅁ1" localSheetId="9">'11'!$M$1048528:$M$1048576</definedName>
    <definedName name="ㅁ1" localSheetId="10">'12'!$M$1048528:$M$1048576</definedName>
    <definedName name="ㅁ1" localSheetId="11">'13'!$M$1048529:$M$1048576</definedName>
    <definedName name="ㅁ1" localSheetId="12">'14'!$M$1048528:$M$1048576</definedName>
    <definedName name="ㅁ1" localSheetId="13">'15'!$M$1048531:$M$1048576</definedName>
    <definedName name="ㅁ1" localSheetId="14">'18'!$M$1048530:$M$1048576</definedName>
    <definedName name="ㅁ1" localSheetId="15">'19'!$M$1048531:$M$1048576</definedName>
    <definedName name="ㅁ1" localSheetId="16">'20'!$M$1048530:$M$1048576</definedName>
    <definedName name="ㅁ1" localSheetId="17">'21'!$M$1048531:$M$1048576</definedName>
    <definedName name="ㅁ1" localSheetId="18">'22'!$M$1048530:$M$1048576</definedName>
    <definedName name="ㅁ1" localSheetId="19">'25'!$M$1048532:$M$1048576</definedName>
    <definedName name="ㅁ1" localSheetId="20">'26'!$M$1048531:$M$1048576</definedName>
    <definedName name="ㅁ1" localSheetId="21">'27'!$M$1048532:$M$1048576</definedName>
    <definedName name="ㅁ1" localSheetId="22">'28'!$M$1048531:$M$1048576</definedName>
    <definedName name="ㅁ1" localSheetId="23">'29'!$M$1048530:$M$1048576</definedName>
    <definedName name="ㅁ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7" i="16" l="1"/>
  <c r="AD26" i="16"/>
  <c r="AD25" i="16"/>
  <c r="AD24" i="16"/>
  <c r="AD23" i="16"/>
  <c r="AD22" i="16"/>
  <c r="AD21" i="16"/>
  <c r="AD20" i="16"/>
  <c r="AD19" i="16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1" i="2138"/>
  <c r="L20" i="2138"/>
  <c r="L19" i="2138"/>
  <c r="AB19" i="2138" s="1"/>
  <c r="L17" i="2138"/>
  <c r="K17" i="2138" s="1"/>
  <c r="L16" i="2138"/>
  <c r="M16" i="2138" s="1"/>
  <c r="L15" i="2138"/>
  <c r="L14" i="2138"/>
  <c r="M14" i="2138" s="1"/>
  <c r="K14" i="2138"/>
  <c r="L12" i="2138"/>
  <c r="P12" i="2138" s="1"/>
  <c r="AC12" i="2138" s="1"/>
  <c r="L11" i="2138"/>
  <c r="AB11" i="2138" s="1"/>
  <c r="L10" i="2138"/>
  <c r="K10" i="2138" s="1"/>
  <c r="L9" i="2138"/>
  <c r="K9" i="2138" s="1"/>
  <c r="K7" i="2138"/>
  <c r="L6" i="2138"/>
  <c r="K6" i="2138" s="1"/>
  <c r="L25" i="2138"/>
  <c r="K25" i="2138" s="1"/>
  <c r="K26" i="2138"/>
  <c r="K23" i="2138"/>
  <c r="K21" i="2138"/>
  <c r="K20" i="2138"/>
  <c r="K19" i="2138"/>
  <c r="K18" i="2138"/>
  <c r="K16" i="2138"/>
  <c r="K15" i="2138"/>
  <c r="K13" i="2138"/>
  <c r="K12" i="2138"/>
  <c r="A86" i="2138"/>
  <c r="A87" i="2138" s="1"/>
  <c r="A88" i="2138" s="1"/>
  <c r="A89" i="2138" s="1"/>
  <c r="A90" i="2138" s="1"/>
  <c r="A85" i="2138"/>
  <c r="AF69" i="2138"/>
  <c r="AF68" i="2138"/>
  <c r="AA30" i="2138"/>
  <c r="Z30" i="2138"/>
  <c r="Y30" i="2138"/>
  <c r="X30" i="2138"/>
  <c r="W30" i="2138"/>
  <c r="V30" i="2138"/>
  <c r="U30" i="2138"/>
  <c r="T30" i="2138"/>
  <c r="S30" i="2138"/>
  <c r="R30" i="2138"/>
  <c r="N30" i="2138"/>
  <c r="J30" i="2138"/>
  <c r="AF29" i="2138"/>
  <c r="AB29" i="2138"/>
  <c r="Q29" i="2138"/>
  <c r="P29" i="2138"/>
  <c r="AC29" i="2138" s="1"/>
  <c r="O29" i="2138"/>
  <c r="M29" i="2138"/>
  <c r="K29" i="2138"/>
  <c r="AF28" i="2138"/>
  <c r="AC28" i="2138"/>
  <c r="AB28" i="2138"/>
  <c r="Q28" i="2138"/>
  <c r="P28" i="2138"/>
  <c r="O28" i="2138"/>
  <c r="M28" i="2138"/>
  <c r="K28" i="2138"/>
  <c r="AF27" i="2138"/>
  <c r="AB27" i="2138"/>
  <c r="Q27" i="2138"/>
  <c r="P27" i="2138"/>
  <c r="AC27" i="2138" s="1"/>
  <c r="O27" i="2138"/>
  <c r="M27" i="2138"/>
  <c r="K27" i="2138"/>
  <c r="AF26" i="2138"/>
  <c r="AB26" i="2138"/>
  <c r="Q26" i="2138"/>
  <c r="O26" i="2138"/>
  <c r="M26" i="2138"/>
  <c r="P26" i="2138"/>
  <c r="AC26" i="2138" s="1"/>
  <c r="AD26" i="2138" s="1"/>
  <c r="AF25" i="2138"/>
  <c r="AB25" i="2138"/>
  <c r="Q25" i="2138"/>
  <c r="P25" i="2138" s="1"/>
  <c r="AC25" i="2138" s="1"/>
  <c r="AF24" i="2138"/>
  <c r="AB24" i="2138"/>
  <c r="Q24" i="2138"/>
  <c r="P24" i="2138"/>
  <c r="AC24" i="2138" s="1"/>
  <c r="O24" i="2138"/>
  <c r="M24" i="2138"/>
  <c r="K24" i="2138"/>
  <c r="AF23" i="2138"/>
  <c r="AB23" i="2138"/>
  <c r="Q23" i="2138"/>
  <c r="O23" i="2138"/>
  <c r="M23" i="2138"/>
  <c r="P23" i="2138"/>
  <c r="AC23" i="2138" s="1"/>
  <c r="AF22" i="2138"/>
  <c r="AB22" i="2138"/>
  <c r="Q22" i="2138"/>
  <c r="P22" i="2138"/>
  <c r="AC22" i="2138" s="1"/>
  <c r="O22" i="2138"/>
  <c r="M22" i="2138"/>
  <c r="K22" i="2138"/>
  <c r="AF21" i="2138"/>
  <c r="AB21" i="2138"/>
  <c r="Q21" i="2138"/>
  <c r="O21" i="2138"/>
  <c r="M21" i="2138"/>
  <c r="AF20" i="2138"/>
  <c r="AB20" i="2138"/>
  <c r="Q20" i="2138"/>
  <c r="O20" i="2138"/>
  <c r="M20" i="2138"/>
  <c r="P20" i="2138"/>
  <c r="AC20" i="2138" s="1"/>
  <c r="AF19" i="2138"/>
  <c r="Q19" i="2138"/>
  <c r="P19" i="2138" s="1"/>
  <c r="AC19" i="2138" s="1"/>
  <c r="O19" i="2138"/>
  <c r="M19" i="2138"/>
  <c r="AF18" i="2138"/>
  <c r="AB18" i="2138"/>
  <c r="Q18" i="2138"/>
  <c r="P18" i="2138"/>
  <c r="AC18" i="2138" s="1"/>
  <c r="O18" i="2138"/>
  <c r="M18" i="2138"/>
  <c r="AF17" i="2138"/>
  <c r="AB17" i="2138"/>
  <c r="Q17" i="2138"/>
  <c r="O17" i="2138"/>
  <c r="M17" i="2138"/>
  <c r="P17" i="2138"/>
  <c r="AC17" i="2138" s="1"/>
  <c r="I17" i="2138"/>
  <c r="AF16" i="2138"/>
  <c r="AB16" i="2138"/>
  <c r="Q16" i="2138"/>
  <c r="O16" i="2138"/>
  <c r="P16" i="2138"/>
  <c r="AC16" i="2138" s="1"/>
  <c r="I16" i="2138"/>
  <c r="AF15" i="2138"/>
  <c r="AB15" i="2138"/>
  <c r="Q15" i="2138"/>
  <c r="O15" i="2138"/>
  <c r="M15" i="2138"/>
  <c r="P15" i="2138"/>
  <c r="AC15" i="2138" s="1"/>
  <c r="I15" i="2138"/>
  <c r="AF14" i="2138"/>
  <c r="AB14" i="2138"/>
  <c r="Q14" i="2138"/>
  <c r="P14" i="2138" s="1"/>
  <c r="AC14" i="2138" s="1"/>
  <c r="O14" i="2138"/>
  <c r="AF13" i="2138"/>
  <c r="AB13" i="2138"/>
  <c r="Q13" i="2138"/>
  <c r="M13" i="2138"/>
  <c r="P13" i="2138"/>
  <c r="AC13" i="2138" s="1"/>
  <c r="AF12" i="2138"/>
  <c r="Q12" i="2138"/>
  <c r="AF11" i="2138"/>
  <c r="Q11" i="2138"/>
  <c r="P11" i="2138" s="1"/>
  <c r="AC11" i="2138" s="1"/>
  <c r="O11" i="2138"/>
  <c r="AF10" i="2138"/>
  <c r="Q10" i="2138"/>
  <c r="AF9" i="2138"/>
  <c r="AB9" i="2138"/>
  <c r="Q9" i="2138"/>
  <c r="O9" i="2138"/>
  <c r="M9" i="2138"/>
  <c r="AF8" i="2138"/>
  <c r="AB8" i="2138"/>
  <c r="Q8" i="2138"/>
  <c r="P8" i="2138"/>
  <c r="AC8" i="2138" s="1"/>
  <c r="O8" i="2138"/>
  <c r="M8" i="2138"/>
  <c r="K8" i="2138"/>
  <c r="AF7" i="2138"/>
  <c r="Q7" i="2138"/>
  <c r="P7" i="2138" s="1"/>
  <c r="AC7" i="2138" s="1"/>
  <c r="AF6" i="2138"/>
  <c r="AB6" i="2138"/>
  <c r="Q6" i="2138"/>
  <c r="P6" i="2138" s="1"/>
  <c r="AC6" i="2138" s="1"/>
  <c r="O6" i="2138"/>
  <c r="M6" i="2138"/>
  <c r="AC27" i="16"/>
  <c r="AC26" i="16"/>
  <c r="AC25" i="16"/>
  <c r="AC24" i="16"/>
  <c r="AC23" i="16"/>
  <c r="AC22" i="16"/>
  <c r="AC21" i="16"/>
  <c r="AC20" i="16"/>
  <c r="AC19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4" i="2137"/>
  <c r="L22" i="2137"/>
  <c r="K22" i="2137" s="1"/>
  <c r="L21" i="2137"/>
  <c r="L19" i="2137"/>
  <c r="L18" i="2137"/>
  <c r="K18" i="2137" s="1"/>
  <c r="L17" i="2137"/>
  <c r="I17" i="2137"/>
  <c r="I16" i="2137"/>
  <c r="I31" i="2137" s="1"/>
  <c r="L16" i="2137"/>
  <c r="L15" i="2137"/>
  <c r="K15" i="2137" s="1"/>
  <c r="L14" i="2137"/>
  <c r="L13" i="2137"/>
  <c r="L12" i="2137"/>
  <c r="M12" i="2137" s="1"/>
  <c r="AF12" i="2137"/>
  <c r="Q12" i="2137"/>
  <c r="P12" i="2137" s="1"/>
  <c r="AC12" i="2137" s="1"/>
  <c r="O12" i="2137"/>
  <c r="K12" i="2137"/>
  <c r="K11" i="2137"/>
  <c r="L10" i="2137"/>
  <c r="K10" i="2137" s="1"/>
  <c r="L9" i="2137"/>
  <c r="K9" i="2137" s="1"/>
  <c r="L7" i="2137"/>
  <c r="K7" i="2137" s="1"/>
  <c r="L6" i="2137"/>
  <c r="K6" i="2137" s="1"/>
  <c r="L27" i="2137"/>
  <c r="O27" i="2137" s="1"/>
  <c r="L26" i="2137"/>
  <c r="O26" i="2137" s="1"/>
  <c r="K28" i="2137"/>
  <c r="K24" i="2137"/>
  <c r="K21" i="2137"/>
  <c r="K19" i="2137"/>
  <c r="K17" i="2137"/>
  <c r="K16" i="2137"/>
  <c r="K14" i="2137"/>
  <c r="K13" i="2137"/>
  <c r="K8" i="2137"/>
  <c r="A86" i="2137"/>
  <c r="A87" i="2137" s="1"/>
  <c r="A88" i="2137" s="1"/>
  <c r="A89" i="2137" s="1"/>
  <c r="A90" i="2137" s="1"/>
  <c r="A91" i="2137" s="1"/>
  <c r="AF70" i="2137"/>
  <c r="AF69" i="2137"/>
  <c r="AA31" i="2137"/>
  <c r="Z31" i="2137"/>
  <c r="Y31" i="2137"/>
  <c r="X31" i="2137"/>
  <c r="W31" i="2137"/>
  <c r="V31" i="2137"/>
  <c r="U31" i="2137"/>
  <c r="T31" i="2137"/>
  <c r="S31" i="2137"/>
  <c r="R31" i="2137"/>
  <c r="N31" i="2137"/>
  <c r="J31" i="2137"/>
  <c r="AF30" i="2137"/>
  <c r="AB30" i="2137"/>
  <c r="Q30" i="2137"/>
  <c r="P30" i="2137"/>
  <c r="AC30" i="2137" s="1"/>
  <c r="O30" i="2137"/>
  <c r="M30" i="2137"/>
  <c r="K30" i="2137"/>
  <c r="AF29" i="2137"/>
  <c r="AB29" i="2137"/>
  <c r="Q29" i="2137"/>
  <c r="P29" i="2137"/>
  <c r="AC29" i="2137" s="1"/>
  <c r="O29" i="2137"/>
  <c r="M29" i="2137"/>
  <c r="K29" i="2137"/>
  <c r="AF28" i="2137"/>
  <c r="Q28" i="2137"/>
  <c r="P28" i="2137"/>
  <c r="AC28" i="2137" s="1"/>
  <c r="AF27" i="2137"/>
  <c r="Q27" i="2137"/>
  <c r="AF26" i="2137"/>
  <c r="Q26" i="2137"/>
  <c r="AF25" i="2137"/>
  <c r="AB25" i="2137"/>
  <c r="Q25" i="2137"/>
  <c r="P25" i="2137"/>
  <c r="AC25" i="2137" s="1"/>
  <c r="O25" i="2137"/>
  <c r="M25" i="2137"/>
  <c r="K25" i="2137"/>
  <c r="AF24" i="2137"/>
  <c r="Q24" i="2137"/>
  <c r="P24" i="2137" s="1"/>
  <c r="AC24" i="2137" s="1"/>
  <c r="O24" i="2137"/>
  <c r="AF23" i="2137"/>
  <c r="AB23" i="2137"/>
  <c r="Q23" i="2137"/>
  <c r="P23" i="2137"/>
  <c r="AC23" i="2137" s="1"/>
  <c r="O23" i="2137"/>
  <c r="M23" i="2137"/>
  <c r="K23" i="2137"/>
  <c r="AF22" i="2137"/>
  <c r="Q22" i="2137"/>
  <c r="AF21" i="2137"/>
  <c r="Q21" i="2137"/>
  <c r="P21" i="2137"/>
  <c r="AC21" i="2137" s="1"/>
  <c r="O21" i="2137"/>
  <c r="AF20" i="2137"/>
  <c r="AB20" i="2137"/>
  <c r="Q20" i="2137"/>
  <c r="P20" i="2137" s="1"/>
  <c r="AC20" i="2137" s="1"/>
  <c r="O20" i="2137"/>
  <c r="M20" i="2137"/>
  <c r="K20" i="2137"/>
  <c r="AF19" i="2137"/>
  <c r="Q19" i="2137"/>
  <c r="P19" i="2137" s="1"/>
  <c r="AC19" i="2137" s="1"/>
  <c r="AF18" i="2137"/>
  <c r="Q18" i="2137"/>
  <c r="I18" i="2137"/>
  <c r="AF17" i="2137"/>
  <c r="Q17" i="2137"/>
  <c r="P17" i="2137"/>
  <c r="AC17" i="2137" s="1"/>
  <c r="O17" i="2137"/>
  <c r="AF16" i="2137"/>
  <c r="AB16" i="2137"/>
  <c r="Q16" i="2137"/>
  <c r="P16" i="2137"/>
  <c r="AC16" i="2137" s="1"/>
  <c r="O16" i="2137"/>
  <c r="M16" i="2137"/>
  <c r="AF15" i="2137"/>
  <c r="AB15" i="2137"/>
  <c r="Q15" i="2137"/>
  <c r="P15" i="2137" s="1"/>
  <c r="AC15" i="2137" s="1"/>
  <c r="O15" i="2137"/>
  <c r="M15" i="2137"/>
  <c r="AF14" i="2137"/>
  <c r="Q14" i="2137"/>
  <c r="P14" i="2137" s="1"/>
  <c r="AC14" i="2137" s="1"/>
  <c r="AF13" i="2137"/>
  <c r="AB13" i="2137"/>
  <c r="Q13" i="2137"/>
  <c r="P13" i="2137" s="1"/>
  <c r="AC13" i="2137" s="1"/>
  <c r="O13" i="2137"/>
  <c r="M13" i="2137"/>
  <c r="AF11" i="2137"/>
  <c r="Q11" i="2137"/>
  <c r="P11" i="2137" s="1"/>
  <c r="AC11" i="2137" s="1"/>
  <c r="AF10" i="2137"/>
  <c r="Q10" i="2137"/>
  <c r="AF9" i="2137"/>
  <c r="AB9" i="2137"/>
  <c r="Q9" i="2137"/>
  <c r="P9" i="2137"/>
  <c r="AC9" i="2137" s="1"/>
  <c r="O9" i="2137"/>
  <c r="M9" i="2137"/>
  <c r="AF8" i="2137"/>
  <c r="AB8" i="2137"/>
  <c r="Q8" i="2137"/>
  <c r="P8" i="2137" s="1"/>
  <c r="AC8" i="2137" s="1"/>
  <c r="O8" i="2137"/>
  <c r="M8" i="2137"/>
  <c r="AF7" i="2137"/>
  <c r="AB7" i="2137"/>
  <c r="Q7" i="2137"/>
  <c r="P7" i="2137" s="1"/>
  <c r="AC7" i="2137" s="1"/>
  <c r="O7" i="2137"/>
  <c r="M7" i="2137"/>
  <c r="AF6" i="2137"/>
  <c r="AB6" i="2137"/>
  <c r="Q6" i="2137"/>
  <c r="P6" i="2137" s="1"/>
  <c r="AC6" i="2137" s="1"/>
  <c r="O6" i="2137"/>
  <c r="M6" i="2137"/>
  <c r="P21" i="2138" l="1"/>
  <c r="AC21" i="2138" s="1"/>
  <c r="AD20" i="2138"/>
  <c r="AD16" i="2138"/>
  <c r="I30" i="2138"/>
  <c r="AD21" i="2138"/>
  <c r="AD24" i="2138"/>
  <c r="AD29" i="2138"/>
  <c r="AF71" i="2138"/>
  <c r="K11" i="2138"/>
  <c r="AD15" i="2138"/>
  <c r="AD28" i="2138"/>
  <c r="M11" i="2138"/>
  <c r="P10" i="2138"/>
  <c r="AC10" i="2138" s="1"/>
  <c r="P9" i="2138"/>
  <c r="AC9" i="2138" s="1"/>
  <c r="AD9" i="2138" s="1"/>
  <c r="L30" i="2138"/>
  <c r="O30" i="2138" s="1"/>
  <c r="Q30" i="2138"/>
  <c r="M25" i="2138"/>
  <c r="AD8" i="2138"/>
  <c r="AD19" i="2138"/>
  <c r="AD11" i="2138"/>
  <c r="AD14" i="2138"/>
  <c r="AD27" i="2138"/>
  <c r="AD17" i="2138"/>
  <c r="AD18" i="2138"/>
  <c r="AD22" i="2138"/>
  <c r="AD23" i="2138"/>
  <c r="AD6" i="2138"/>
  <c r="M7" i="2138"/>
  <c r="AB7" i="2138"/>
  <c r="M10" i="2138"/>
  <c r="AB10" i="2138"/>
  <c r="M12" i="2138"/>
  <c r="AB12" i="2138"/>
  <c r="O13" i="2138"/>
  <c r="AD13" i="2138" s="1"/>
  <c r="O25" i="2138"/>
  <c r="AD25" i="2138" s="1"/>
  <c r="O7" i="2138"/>
  <c r="O10" i="2138"/>
  <c r="O12" i="2138"/>
  <c r="K30" i="2138"/>
  <c r="P22" i="2137"/>
  <c r="AC22" i="2137" s="1"/>
  <c r="P18" i="2137"/>
  <c r="AC18" i="2137" s="1"/>
  <c r="O18" i="2137"/>
  <c r="AD29" i="2137"/>
  <c r="O10" i="2137"/>
  <c r="AD13" i="2137"/>
  <c r="AB12" i="2137"/>
  <c r="AD12" i="2137" s="1"/>
  <c r="P10" i="2137"/>
  <c r="AC10" i="2137" s="1"/>
  <c r="AF72" i="2137"/>
  <c r="AD9" i="2137"/>
  <c r="AB26" i="2137"/>
  <c r="AD30" i="2137"/>
  <c r="P27" i="2137"/>
  <c r="AC27" i="2137" s="1"/>
  <c r="K27" i="2137"/>
  <c r="K31" i="2137" s="1"/>
  <c r="Q31" i="2137"/>
  <c r="P26" i="2137"/>
  <c r="AC26" i="2137" s="1"/>
  <c r="K26" i="2137"/>
  <c r="AD25" i="2137"/>
  <c r="AD8" i="2137"/>
  <c r="AD15" i="2137"/>
  <c r="AD16" i="2137"/>
  <c r="AD20" i="2137"/>
  <c r="AD23" i="2137"/>
  <c r="AD7" i="2137"/>
  <c r="AD6" i="2137"/>
  <c r="AB11" i="2137"/>
  <c r="AB14" i="2137"/>
  <c r="M28" i="2137"/>
  <c r="AB28" i="2137"/>
  <c r="AD28" i="2137" s="1"/>
  <c r="L31" i="2137"/>
  <c r="O31" i="2137" s="1"/>
  <c r="M10" i="2137"/>
  <c r="AB10" i="2137"/>
  <c r="O11" i="2137"/>
  <c r="O14" i="2137"/>
  <c r="M17" i="2137"/>
  <c r="AB17" i="2137"/>
  <c r="AD17" i="2137" s="1"/>
  <c r="M18" i="2137"/>
  <c r="AB18" i="2137"/>
  <c r="AD18" i="2137" s="1"/>
  <c r="O19" i="2137"/>
  <c r="M21" i="2137"/>
  <c r="AB21" i="2137"/>
  <c r="AD21" i="2137" s="1"/>
  <c r="O22" i="2137"/>
  <c r="M24" i="2137"/>
  <c r="AB24" i="2137"/>
  <c r="AD24" i="2137" s="1"/>
  <c r="M27" i="2137"/>
  <c r="AB27" i="2137"/>
  <c r="AD27" i="2137" s="1"/>
  <c r="O28" i="2137"/>
  <c r="M11" i="2137"/>
  <c r="M14" i="2137"/>
  <c r="M19" i="2137"/>
  <c r="AB19" i="2137"/>
  <c r="M22" i="2137"/>
  <c r="AB22" i="2137"/>
  <c r="M26" i="2137"/>
  <c r="P30" i="2138" l="1"/>
  <c r="AD12" i="2138"/>
  <c r="AC30" i="2138"/>
  <c r="AB30" i="2138"/>
  <c r="M30" i="2138"/>
  <c r="AD7" i="2138"/>
  <c r="AD10" i="2138"/>
  <c r="P31" i="2137"/>
  <c r="AC31" i="2137"/>
  <c r="AD10" i="2137"/>
  <c r="AD19" i="2137"/>
  <c r="AD26" i="2137"/>
  <c r="M31" i="2137"/>
  <c r="AD22" i="2137"/>
  <c r="AD14" i="2137"/>
  <c r="AD11" i="2137"/>
  <c r="AB31" i="2137"/>
  <c r="AD30" i="2138" l="1"/>
  <c r="AE27" i="2138" s="1"/>
  <c r="AD31" i="2137"/>
  <c r="AE12" i="2137" s="1"/>
  <c r="AE29" i="2138" l="1"/>
  <c r="AE14" i="2138"/>
  <c r="AE7" i="2138"/>
  <c r="AE28" i="2138"/>
  <c r="AE10" i="2138"/>
  <c r="AE13" i="2138"/>
  <c r="AE11" i="2138"/>
  <c r="AE17" i="2138"/>
  <c r="AE25" i="2138"/>
  <c r="AE18" i="2138"/>
  <c r="AE20" i="2138"/>
  <c r="AE12" i="2138"/>
  <c r="AE6" i="2138"/>
  <c r="AE21" i="2138"/>
  <c r="AE15" i="2138"/>
  <c r="AE23" i="2138"/>
  <c r="AE19" i="2138"/>
  <c r="AE24" i="2138"/>
  <c r="AE9" i="2138"/>
  <c r="AE8" i="2138"/>
  <c r="AE16" i="2138"/>
  <c r="AE26" i="2138"/>
  <c r="AE22" i="2138"/>
  <c r="AE7" i="2137"/>
  <c r="AE9" i="2137"/>
  <c r="AE6" i="2137"/>
  <c r="AE15" i="2137"/>
  <c r="AE19" i="2137"/>
  <c r="AE23" i="2137"/>
  <c r="AE26" i="2137"/>
  <c r="AE30" i="2137"/>
  <c r="AE20" i="2137"/>
  <c r="AE28" i="2137"/>
  <c r="AE10" i="2137"/>
  <c r="AE18" i="2137"/>
  <c r="AE21" i="2137"/>
  <c r="AE25" i="2137"/>
  <c r="AE27" i="2137"/>
  <c r="AE16" i="2137"/>
  <c r="AE29" i="2137"/>
  <c r="AE8" i="2137"/>
  <c r="AE24" i="2137"/>
  <c r="AE11" i="2137"/>
  <c r="AE17" i="2137"/>
  <c r="AE13" i="2137"/>
  <c r="AE14" i="2137"/>
  <c r="AE22" i="2137"/>
  <c r="AB27" i="16"/>
  <c r="AB26" i="16"/>
  <c r="AB25" i="16"/>
  <c r="AB24" i="16"/>
  <c r="AB23" i="16"/>
  <c r="AB22" i="16"/>
  <c r="AB21" i="16"/>
  <c r="AB20" i="16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5" i="2136"/>
  <c r="L23" i="2136"/>
  <c r="L22" i="2136"/>
  <c r="L20" i="2136"/>
  <c r="K20" i="2136" s="1"/>
  <c r="L19" i="2136"/>
  <c r="L18" i="2136"/>
  <c r="L17" i="2136"/>
  <c r="L15" i="2136"/>
  <c r="M15" i="2136" s="1"/>
  <c r="AF15" i="2136"/>
  <c r="Q15" i="2136"/>
  <c r="P15" i="2136" s="1"/>
  <c r="AC15" i="2136" s="1"/>
  <c r="O15" i="2136"/>
  <c r="K14" i="2136"/>
  <c r="L13" i="2136"/>
  <c r="L12" i="2136"/>
  <c r="L11" i="2136"/>
  <c r="L10" i="2136"/>
  <c r="L9" i="2136"/>
  <c r="AB9" i="2136" s="1"/>
  <c r="AF9" i="2136"/>
  <c r="Q9" i="2136"/>
  <c r="M9" i="2136"/>
  <c r="K8" i="2136"/>
  <c r="K15" i="2136" l="1"/>
  <c r="AB15" i="2136"/>
  <c r="AD15" i="2136" s="1"/>
  <c r="O9" i="2136"/>
  <c r="P9" i="2136"/>
  <c r="AC9" i="2136" s="1"/>
  <c r="K9" i="2136"/>
  <c r="AD9" i="2136"/>
  <c r="L29" i="2136" l="1"/>
  <c r="K29" i="2136"/>
  <c r="L28" i="2136"/>
  <c r="K28" i="2136" s="1"/>
  <c r="L27" i="2136"/>
  <c r="K25" i="2136"/>
  <c r="K23" i="2136"/>
  <c r="K22" i="2136"/>
  <c r="K19" i="2136"/>
  <c r="K18" i="2136"/>
  <c r="K17" i="2136"/>
  <c r="K13" i="2136"/>
  <c r="K12" i="2136"/>
  <c r="K11" i="2136"/>
  <c r="K10" i="2136"/>
  <c r="A87" i="2136"/>
  <c r="A88" i="2136" s="1"/>
  <c r="A89" i="2136" s="1"/>
  <c r="A90" i="2136" s="1"/>
  <c r="A91" i="2136" s="1"/>
  <c r="A92" i="2136" s="1"/>
  <c r="AF71" i="2136"/>
  <c r="AF70" i="2136"/>
  <c r="AF73" i="2136" s="1"/>
  <c r="AA32" i="2136"/>
  <c r="Z32" i="2136"/>
  <c r="Y32" i="2136"/>
  <c r="X32" i="2136"/>
  <c r="W32" i="2136"/>
  <c r="V32" i="2136"/>
  <c r="U32" i="2136"/>
  <c r="T32" i="2136"/>
  <c r="S32" i="2136"/>
  <c r="R32" i="2136"/>
  <c r="N32" i="2136"/>
  <c r="J32" i="2136"/>
  <c r="AF31" i="2136"/>
  <c r="AB31" i="2136"/>
  <c r="Q31" i="2136"/>
  <c r="P31" i="2136"/>
  <c r="AC31" i="2136" s="1"/>
  <c r="AD31" i="2136" s="1"/>
  <c r="O31" i="2136"/>
  <c r="M31" i="2136"/>
  <c r="K31" i="2136"/>
  <c r="AF30" i="2136"/>
  <c r="AB30" i="2136"/>
  <c r="Q30" i="2136"/>
  <c r="P30" i="2136"/>
  <c r="AC30" i="2136" s="1"/>
  <c r="O30" i="2136"/>
  <c r="M30" i="2136"/>
  <c r="K30" i="2136"/>
  <c r="AF29" i="2136"/>
  <c r="AB29" i="2136"/>
  <c r="Q29" i="2136"/>
  <c r="P29" i="2136" s="1"/>
  <c r="AC29" i="2136" s="1"/>
  <c r="O29" i="2136"/>
  <c r="M29" i="2136"/>
  <c r="AF28" i="2136"/>
  <c r="AB28" i="2136"/>
  <c r="Q28" i="2136"/>
  <c r="P28" i="2136" s="1"/>
  <c r="AC28" i="2136" s="1"/>
  <c r="O28" i="2136"/>
  <c r="M28" i="2136"/>
  <c r="AF27" i="2136"/>
  <c r="AB27" i="2136"/>
  <c r="Q27" i="2136"/>
  <c r="P27" i="2136" s="1"/>
  <c r="AC27" i="2136" s="1"/>
  <c r="O27" i="2136"/>
  <c r="M27" i="2136"/>
  <c r="K27" i="2136"/>
  <c r="AF26" i="2136"/>
  <c r="AB26" i="2136"/>
  <c r="Q26" i="2136"/>
  <c r="P26" i="2136"/>
  <c r="AC26" i="2136" s="1"/>
  <c r="O26" i="2136"/>
  <c r="M26" i="2136"/>
  <c r="K26" i="2136"/>
  <c r="AF25" i="2136"/>
  <c r="Q25" i="2136"/>
  <c r="P25" i="2136" s="1"/>
  <c r="AC25" i="2136" s="1"/>
  <c r="O25" i="2136"/>
  <c r="AF24" i="2136"/>
  <c r="AB24" i="2136"/>
  <c r="Q24" i="2136"/>
  <c r="P24" i="2136"/>
  <c r="AC24" i="2136" s="1"/>
  <c r="O24" i="2136"/>
  <c r="M24" i="2136"/>
  <c r="K24" i="2136"/>
  <c r="AF23" i="2136"/>
  <c r="Q23" i="2136"/>
  <c r="AB23" i="2136"/>
  <c r="AF22" i="2136"/>
  <c r="Q22" i="2136"/>
  <c r="P22" i="2136" s="1"/>
  <c r="AC22" i="2136" s="1"/>
  <c r="O22" i="2136"/>
  <c r="AF21" i="2136"/>
  <c r="AB21" i="2136"/>
  <c r="Q21" i="2136"/>
  <c r="P21" i="2136"/>
  <c r="AC21" i="2136" s="1"/>
  <c r="O21" i="2136"/>
  <c r="M21" i="2136"/>
  <c r="K21" i="2136"/>
  <c r="AF20" i="2136"/>
  <c r="AB20" i="2136"/>
  <c r="Q20" i="2136"/>
  <c r="P20" i="2136"/>
  <c r="AC20" i="2136" s="1"/>
  <c r="O20" i="2136"/>
  <c r="M20" i="2136"/>
  <c r="AF19" i="2136"/>
  <c r="AB19" i="2136"/>
  <c r="Q19" i="2136"/>
  <c r="P19" i="2136" s="1"/>
  <c r="AC19" i="2136" s="1"/>
  <c r="O19" i="2136"/>
  <c r="M19" i="2136"/>
  <c r="I19" i="2136"/>
  <c r="AF18" i="2136"/>
  <c r="AB18" i="2136"/>
  <c r="Q18" i="2136"/>
  <c r="P18" i="2136" s="1"/>
  <c r="AC18" i="2136" s="1"/>
  <c r="O18" i="2136"/>
  <c r="M18" i="2136"/>
  <c r="AF17" i="2136"/>
  <c r="Q17" i="2136"/>
  <c r="AB17" i="2136"/>
  <c r="I17" i="2136"/>
  <c r="AF16" i="2136"/>
  <c r="AB16" i="2136"/>
  <c r="Q16" i="2136"/>
  <c r="P16" i="2136"/>
  <c r="AC16" i="2136" s="1"/>
  <c r="O16" i="2136"/>
  <c r="M16" i="2136"/>
  <c r="K16" i="2136"/>
  <c r="AF14" i="2136"/>
  <c r="AB14" i="2136"/>
  <c r="Q14" i="2136"/>
  <c r="P14" i="2136" s="1"/>
  <c r="AC14" i="2136" s="1"/>
  <c r="AD14" i="2136" s="1"/>
  <c r="O14" i="2136"/>
  <c r="M14" i="2136"/>
  <c r="AF13" i="2136"/>
  <c r="Q13" i="2136"/>
  <c r="AB13" i="2136"/>
  <c r="AF12" i="2136"/>
  <c r="Q12" i="2136"/>
  <c r="P12" i="2136"/>
  <c r="AC12" i="2136" s="1"/>
  <c r="O12" i="2136"/>
  <c r="AF11" i="2136"/>
  <c r="Q11" i="2136"/>
  <c r="P11" i="2136" s="1"/>
  <c r="AC11" i="2136" s="1"/>
  <c r="O11" i="2136"/>
  <c r="AB11" i="2136"/>
  <c r="AF10" i="2136"/>
  <c r="AB10" i="2136"/>
  <c r="Q10" i="2136"/>
  <c r="P10" i="2136" s="1"/>
  <c r="AC10" i="2136" s="1"/>
  <c r="AD10" i="2136" s="1"/>
  <c r="O10" i="2136"/>
  <c r="M10" i="2136"/>
  <c r="AF8" i="2136"/>
  <c r="Q8" i="2136"/>
  <c r="AB8" i="2136"/>
  <c r="AF7" i="2136"/>
  <c r="AB7" i="2136"/>
  <c r="Q7" i="2136"/>
  <c r="P7" i="2136"/>
  <c r="AC7" i="2136" s="1"/>
  <c r="O7" i="2136"/>
  <c r="M7" i="2136"/>
  <c r="K7" i="2136"/>
  <c r="AF6" i="2136"/>
  <c r="AB6" i="2136"/>
  <c r="Q6" i="2136"/>
  <c r="P6" i="2136"/>
  <c r="AC6" i="2136" s="1"/>
  <c r="O6" i="2136"/>
  <c r="M6" i="2136"/>
  <c r="K6" i="2136"/>
  <c r="AA27" i="16"/>
  <c r="AA26" i="16"/>
  <c r="AA25" i="16"/>
  <c r="AA24" i="16"/>
  <c r="AA23" i="16"/>
  <c r="AA22" i="16"/>
  <c r="AA21" i="16"/>
  <c r="AA20" i="16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4" i="2135"/>
  <c r="K24" i="2135" s="1"/>
  <c r="L22" i="2135"/>
  <c r="L21" i="2135"/>
  <c r="K21" i="2135" s="1"/>
  <c r="AF18" i="2135"/>
  <c r="Q18" i="2135"/>
  <c r="P18" i="2135" s="1"/>
  <c r="AC18" i="2135" s="1"/>
  <c r="O18" i="2135"/>
  <c r="AB18" i="2135"/>
  <c r="K18" i="2135"/>
  <c r="L19" i="2135"/>
  <c r="K19" i="2135" s="1"/>
  <c r="L17" i="2135"/>
  <c r="L16" i="2135"/>
  <c r="L15" i="2135"/>
  <c r="AB15" i="2135" s="1"/>
  <c r="K13" i="2135"/>
  <c r="L12" i="2135"/>
  <c r="K12" i="2135" s="1"/>
  <c r="L11" i="2135"/>
  <c r="K11" i="2135" s="1"/>
  <c r="L10" i="2135"/>
  <c r="K10" i="2135" s="1"/>
  <c r="L9" i="2135"/>
  <c r="K9" i="2135" s="1"/>
  <c r="L8" i="2135"/>
  <c r="K8" i="2135" s="1"/>
  <c r="K22" i="2135"/>
  <c r="K17" i="2135"/>
  <c r="K16" i="2135"/>
  <c r="K14" i="2135"/>
  <c r="K7" i="2135"/>
  <c r="A86" i="2135"/>
  <c r="A87" i="2135" s="1"/>
  <c r="A88" i="2135" s="1"/>
  <c r="A89" i="2135" s="1"/>
  <c r="A90" i="2135" s="1"/>
  <c r="A91" i="2135" s="1"/>
  <c r="AF70" i="2135"/>
  <c r="AF69" i="2135"/>
  <c r="AF72" i="2135" s="1"/>
  <c r="AA31" i="2135"/>
  <c r="Z31" i="2135"/>
  <c r="Y31" i="2135"/>
  <c r="X31" i="2135"/>
  <c r="W31" i="2135"/>
  <c r="V31" i="2135"/>
  <c r="U31" i="2135"/>
  <c r="T31" i="2135"/>
  <c r="S31" i="2135"/>
  <c r="R31" i="2135"/>
  <c r="N31" i="2135"/>
  <c r="J31" i="2135"/>
  <c r="AF30" i="2135"/>
  <c r="AB30" i="2135"/>
  <c r="Q30" i="2135"/>
  <c r="P30" i="2135"/>
  <c r="AC30" i="2135" s="1"/>
  <c r="O30" i="2135"/>
  <c r="M30" i="2135"/>
  <c r="K30" i="2135"/>
  <c r="AF29" i="2135"/>
  <c r="AB29" i="2135"/>
  <c r="Q29" i="2135"/>
  <c r="P29" i="2135"/>
  <c r="AC29" i="2135" s="1"/>
  <c r="O29" i="2135"/>
  <c r="M29" i="2135"/>
  <c r="K29" i="2135"/>
  <c r="AF28" i="2135"/>
  <c r="AB28" i="2135"/>
  <c r="Q28" i="2135"/>
  <c r="P28" i="2135"/>
  <c r="AC28" i="2135" s="1"/>
  <c r="O28" i="2135"/>
  <c r="M28" i="2135"/>
  <c r="K28" i="2135"/>
  <c r="AF27" i="2135"/>
  <c r="AC27" i="2135"/>
  <c r="AB27" i="2135"/>
  <c r="Q27" i="2135"/>
  <c r="P27" i="2135"/>
  <c r="O27" i="2135"/>
  <c r="M27" i="2135"/>
  <c r="K27" i="2135"/>
  <c r="AF26" i="2135"/>
  <c r="AB26" i="2135"/>
  <c r="Q26" i="2135"/>
  <c r="P26" i="2135"/>
  <c r="AC26" i="2135" s="1"/>
  <c r="O26" i="2135"/>
  <c r="M26" i="2135"/>
  <c r="K26" i="2135"/>
  <c r="AF25" i="2135"/>
  <c r="AB25" i="2135"/>
  <c r="Q25" i="2135"/>
  <c r="P25" i="2135"/>
  <c r="AC25" i="2135" s="1"/>
  <c r="O25" i="2135"/>
  <c r="M25" i="2135"/>
  <c r="K25" i="2135"/>
  <c r="AF24" i="2135"/>
  <c r="AB24" i="2135"/>
  <c r="Q24" i="2135"/>
  <c r="P24" i="2135" s="1"/>
  <c r="AC24" i="2135" s="1"/>
  <c r="O24" i="2135"/>
  <c r="M24" i="2135"/>
  <c r="AF23" i="2135"/>
  <c r="AB23" i="2135"/>
  <c r="Q23" i="2135"/>
  <c r="P23" i="2135"/>
  <c r="AC23" i="2135" s="1"/>
  <c r="O23" i="2135"/>
  <c r="M23" i="2135"/>
  <c r="K23" i="2135"/>
  <c r="AF22" i="2135"/>
  <c r="Q22" i="2135"/>
  <c r="P22" i="2135"/>
  <c r="AC22" i="2135" s="1"/>
  <c r="AF21" i="2135"/>
  <c r="Q21" i="2135"/>
  <c r="P21" i="2135" s="1"/>
  <c r="AC21" i="2135" s="1"/>
  <c r="O21" i="2135"/>
  <c r="AB21" i="2135"/>
  <c r="AF20" i="2135"/>
  <c r="AB20" i="2135"/>
  <c r="Q20" i="2135"/>
  <c r="P20" i="2135"/>
  <c r="AC20" i="2135" s="1"/>
  <c r="O20" i="2135"/>
  <c r="M20" i="2135"/>
  <c r="K20" i="2135"/>
  <c r="AF19" i="2135"/>
  <c r="Q19" i="2135"/>
  <c r="AF17" i="2135"/>
  <c r="Q17" i="2135"/>
  <c r="P17" i="2135"/>
  <c r="AC17" i="2135" s="1"/>
  <c r="O17" i="2135"/>
  <c r="AB17" i="2135"/>
  <c r="I17" i="2135"/>
  <c r="AF16" i="2135"/>
  <c r="Q16" i="2135"/>
  <c r="P16" i="2135" s="1"/>
  <c r="AC16" i="2135" s="1"/>
  <c r="O16" i="2135"/>
  <c r="AB16" i="2135"/>
  <c r="AF15" i="2135"/>
  <c r="Q15" i="2135"/>
  <c r="P15" i="2135"/>
  <c r="AC15" i="2135" s="1"/>
  <c r="I15" i="2135"/>
  <c r="I31" i="2135" s="1"/>
  <c r="AF14" i="2135"/>
  <c r="AB14" i="2135"/>
  <c r="Q14" i="2135"/>
  <c r="P14" i="2135" s="1"/>
  <c r="AC14" i="2135" s="1"/>
  <c r="O14" i="2135"/>
  <c r="M14" i="2135"/>
  <c r="AF13" i="2135"/>
  <c r="AB13" i="2135"/>
  <c r="Q13" i="2135"/>
  <c r="P13" i="2135" s="1"/>
  <c r="AC13" i="2135" s="1"/>
  <c r="O13" i="2135"/>
  <c r="M13" i="2135"/>
  <c r="AF12" i="2135"/>
  <c r="AB12" i="2135"/>
  <c r="Q12" i="2135"/>
  <c r="P12" i="2135" s="1"/>
  <c r="AC12" i="2135" s="1"/>
  <c r="M12" i="2135"/>
  <c r="AF11" i="2135"/>
  <c r="Q11" i="2135"/>
  <c r="P11" i="2135" s="1"/>
  <c r="AC11" i="2135" s="1"/>
  <c r="AF10" i="2135"/>
  <c r="Q10" i="2135"/>
  <c r="O10" i="2135"/>
  <c r="AF9" i="2135"/>
  <c r="Q9" i="2135"/>
  <c r="M9" i="2135"/>
  <c r="AF8" i="2135"/>
  <c r="AB8" i="2135"/>
  <c r="Q8" i="2135"/>
  <c r="P8" i="2135" s="1"/>
  <c r="AC8" i="2135" s="1"/>
  <c r="O8" i="2135"/>
  <c r="M8" i="2135"/>
  <c r="AF7" i="2135"/>
  <c r="Q7" i="2135"/>
  <c r="P7" i="2135"/>
  <c r="AC7" i="2135" s="1"/>
  <c r="AF6" i="2135"/>
  <c r="AB6" i="2135"/>
  <c r="Q6" i="2135"/>
  <c r="P6" i="2135"/>
  <c r="AC6" i="2135" s="1"/>
  <c r="O6" i="2135"/>
  <c r="M6" i="2135"/>
  <c r="K6" i="2135"/>
  <c r="Z27" i="16"/>
  <c r="Z26" i="16"/>
  <c r="Z25" i="16"/>
  <c r="Z24" i="16"/>
  <c r="Z23" i="16"/>
  <c r="Z22" i="16"/>
  <c r="Z21" i="16"/>
  <c r="Z20" i="16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3" i="2134"/>
  <c r="L22" i="2134"/>
  <c r="L20" i="2134"/>
  <c r="L19" i="2134"/>
  <c r="L18" i="2134"/>
  <c r="L17" i="2134"/>
  <c r="AF15" i="2134"/>
  <c r="AC15" i="2134"/>
  <c r="AD15" i="2134" s="1"/>
  <c r="AB15" i="2134"/>
  <c r="Q15" i="2134"/>
  <c r="P15" i="2134"/>
  <c r="O15" i="2134"/>
  <c r="M15" i="2134"/>
  <c r="K15" i="2134"/>
  <c r="K16" i="2134"/>
  <c r="L14" i="2134"/>
  <c r="K14" i="2134" s="1"/>
  <c r="L13" i="2134"/>
  <c r="AB13" i="2134" s="1"/>
  <c r="K13" i="2134"/>
  <c r="L12" i="2134"/>
  <c r="P12" i="2134" s="1"/>
  <c r="AC12" i="2134" s="1"/>
  <c r="L11" i="2134"/>
  <c r="K11" i="2134" s="1"/>
  <c r="AF10" i="2134"/>
  <c r="AB10" i="2134"/>
  <c r="Q10" i="2134"/>
  <c r="P10" i="2134" s="1"/>
  <c r="AC10" i="2134" s="1"/>
  <c r="O10" i="2134"/>
  <c r="M10" i="2134"/>
  <c r="K10" i="2134"/>
  <c r="K9" i="2134"/>
  <c r="L7" i="2134"/>
  <c r="O7" i="2134" s="1"/>
  <c r="K23" i="2134"/>
  <c r="K22" i="2134"/>
  <c r="K21" i="2134"/>
  <c r="K20" i="2134"/>
  <c r="K19" i="2134"/>
  <c r="K18" i="2134"/>
  <c r="K17" i="2134"/>
  <c r="K8" i="2134"/>
  <c r="K6" i="2134"/>
  <c r="A87" i="2134"/>
  <c r="A88" i="2134" s="1"/>
  <c r="A89" i="2134" s="1"/>
  <c r="A90" i="2134" s="1"/>
  <c r="A91" i="2134" s="1"/>
  <c r="A92" i="2134" s="1"/>
  <c r="AF71" i="2134"/>
  <c r="AF70" i="2134"/>
  <c r="AA32" i="2134"/>
  <c r="Z32" i="2134"/>
  <c r="Y32" i="2134"/>
  <c r="X32" i="2134"/>
  <c r="W32" i="2134"/>
  <c r="V32" i="2134"/>
  <c r="U32" i="2134"/>
  <c r="T32" i="2134"/>
  <c r="S32" i="2134"/>
  <c r="R32" i="2134"/>
  <c r="N32" i="2134"/>
  <c r="J32" i="2134"/>
  <c r="AF31" i="2134"/>
  <c r="AB31" i="2134"/>
  <c r="Q31" i="2134"/>
  <c r="P31" i="2134"/>
  <c r="AC31" i="2134" s="1"/>
  <c r="O31" i="2134"/>
  <c r="M31" i="2134"/>
  <c r="K31" i="2134"/>
  <c r="AF30" i="2134"/>
  <c r="AB30" i="2134"/>
  <c r="Q30" i="2134"/>
  <c r="P30" i="2134"/>
  <c r="AC30" i="2134" s="1"/>
  <c r="O30" i="2134"/>
  <c r="M30" i="2134"/>
  <c r="K30" i="2134"/>
  <c r="AF29" i="2134"/>
  <c r="AC29" i="2134"/>
  <c r="AB29" i="2134"/>
  <c r="Q29" i="2134"/>
  <c r="P29" i="2134"/>
  <c r="O29" i="2134"/>
  <c r="M29" i="2134"/>
  <c r="K29" i="2134"/>
  <c r="AF28" i="2134"/>
  <c r="AC28" i="2134"/>
  <c r="AB28" i="2134"/>
  <c r="Q28" i="2134"/>
  <c r="P28" i="2134"/>
  <c r="O28" i="2134"/>
  <c r="M28" i="2134"/>
  <c r="K28" i="2134"/>
  <c r="AF27" i="2134"/>
  <c r="AC27" i="2134"/>
  <c r="AB27" i="2134"/>
  <c r="Q27" i="2134"/>
  <c r="P27" i="2134"/>
  <c r="O27" i="2134"/>
  <c r="M27" i="2134"/>
  <c r="K27" i="2134"/>
  <c r="AF26" i="2134"/>
  <c r="AC26" i="2134"/>
  <c r="AB26" i="2134"/>
  <c r="Q26" i="2134"/>
  <c r="P26" i="2134"/>
  <c r="O26" i="2134"/>
  <c r="M26" i="2134"/>
  <c r="K26" i="2134"/>
  <c r="AF25" i="2134"/>
  <c r="AC25" i="2134"/>
  <c r="AB25" i="2134"/>
  <c r="Q25" i="2134"/>
  <c r="P25" i="2134"/>
  <c r="O25" i="2134"/>
  <c r="M25" i="2134"/>
  <c r="K25" i="2134"/>
  <c r="AF24" i="2134"/>
  <c r="AC24" i="2134"/>
  <c r="AB24" i="2134"/>
  <c r="Q24" i="2134"/>
  <c r="P24" i="2134"/>
  <c r="O24" i="2134"/>
  <c r="M24" i="2134"/>
  <c r="K24" i="2134"/>
  <c r="AF23" i="2134"/>
  <c r="Q23" i="2134"/>
  <c r="O23" i="2134"/>
  <c r="P23" i="2134"/>
  <c r="AC23" i="2134" s="1"/>
  <c r="AF22" i="2134"/>
  <c r="AB22" i="2134"/>
  <c r="Q22" i="2134"/>
  <c r="P22" i="2134"/>
  <c r="AC22" i="2134" s="1"/>
  <c r="M22" i="2134"/>
  <c r="O22" i="2134"/>
  <c r="AF21" i="2134"/>
  <c r="Q21" i="2134"/>
  <c r="AB21" i="2134"/>
  <c r="AF20" i="2134"/>
  <c r="AB20" i="2134"/>
  <c r="Q20" i="2134"/>
  <c r="P20" i="2134"/>
  <c r="AC20" i="2134" s="1"/>
  <c r="O20" i="2134"/>
  <c r="M20" i="2134"/>
  <c r="AF19" i="2134"/>
  <c r="Q19" i="2134"/>
  <c r="O19" i="2134"/>
  <c r="P19" i="2134"/>
  <c r="AC19" i="2134" s="1"/>
  <c r="I19" i="2134"/>
  <c r="AF18" i="2134"/>
  <c r="Q18" i="2134"/>
  <c r="P18" i="2134" s="1"/>
  <c r="AC18" i="2134" s="1"/>
  <c r="O18" i="2134"/>
  <c r="AF17" i="2134"/>
  <c r="AB17" i="2134"/>
  <c r="Q17" i="2134"/>
  <c r="P17" i="2134"/>
  <c r="AC17" i="2134" s="1"/>
  <c r="M17" i="2134"/>
  <c r="O17" i="2134"/>
  <c r="I17" i="2134"/>
  <c r="I32" i="2134" s="1"/>
  <c r="AF16" i="2134"/>
  <c r="AB16" i="2134"/>
  <c r="Q16" i="2134"/>
  <c r="P16" i="2134" s="1"/>
  <c r="AC16" i="2134" s="1"/>
  <c r="O16" i="2134"/>
  <c r="M16" i="2134"/>
  <c r="AF14" i="2134"/>
  <c r="AB14" i="2134"/>
  <c r="Q14" i="2134"/>
  <c r="M14" i="2134"/>
  <c r="AF13" i="2134"/>
  <c r="Q13" i="2134"/>
  <c r="P13" i="2134" s="1"/>
  <c r="AC13" i="2134" s="1"/>
  <c r="O13" i="2134"/>
  <c r="AF12" i="2134"/>
  <c r="Q12" i="2134"/>
  <c r="M12" i="2134"/>
  <c r="AF11" i="2134"/>
  <c r="Q11" i="2134"/>
  <c r="P11" i="2134"/>
  <c r="AC11" i="2134" s="1"/>
  <c r="AF9" i="2134"/>
  <c r="AB9" i="2134"/>
  <c r="Q9" i="2134"/>
  <c r="P9" i="2134" s="1"/>
  <c r="AC9" i="2134" s="1"/>
  <c r="O9" i="2134"/>
  <c r="M9" i="2134"/>
  <c r="AF8" i="2134"/>
  <c r="AB8" i="2134"/>
  <c r="Q8" i="2134"/>
  <c r="P8" i="2134"/>
  <c r="AC8" i="2134" s="1"/>
  <c r="O8" i="2134"/>
  <c r="M8" i="2134"/>
  <c r="AF7" i="2134"/>
  <c r="Q7" i="2134"/>
  <c r="AF6" i="2134"/>
  <c r="AB6" i="2134"/>
  <c r="Q6" i="2134"/>
  <c r="P6" i="2134"/>
  <c r="AC6" i="2134" s="1"/>
  <c r="M6" i="2134"/>
  <c r="O6" i="2134"/>
  <c r="W26" i="16"/>
  <c r="W25" i="16"/>
  <c r="W24" i="16"/>
  <c r="W23" i="16"/>
  <c r="W22" i="16"/>
  <c r="W21" i="16"/>
  <c r="W20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1" i="2133"/>
  <c r="K21" i="2133" s="1"/>
  <c r="L20" i="2133"/>
  <c r="L19" i="2133"/>
  <c r="AB19" i="2133" s="1"/>
  <c r="L18" i="2133"/>
  <c r="K18" i="2133" s="1"/>
  <c r="L17" i="2133"/>
  <c r="M17" i="2133" s="1"/>
  <c r="L16" i="2133"/>
  <c r="L15" i="2133"/>
  <c r="K15" i="2133" s="1"/>
  <c r="L11" i="2133"/>
  <c r="K11" i="2133" s="1"/>
  <c r="L10" i="2133"/>
  <c r="K9" i="2133"/>
  <c r="L8" i="2133"/>
  <c r="K8" i="2133" s="1"/>
  <c r="L7" i="2133"/>
  <c r="L6" i="2133"/>
  <c r="K20" i="2133"/>
  <c r="K19" i="2133"/>
  <c r="K17" i="2133"/>
  <c r="K16" i="2133"/>
  <c r="K13" i="2133"/>
  <c r="K12" i="2133"/>
  <c r="K10" i="2133"/>
  <c r="K7" i="2133"/>
  <c r="K6" i="2133"/>
  <c r="A85" i="2133"/>
  <c r="A86" i="2133" s="1"/>
  <c r="A87" i="2133" s="1"/>
  <c r="A88" i="2133" s="1"/>
  <c r="A89" i="2133" s="1"/>
  <c r="A90" i="2133" s="1"/>
  <c r="AF69" i="2133"/>
  <c r="AF68" i="2133"/>
  <c r="AF71" i="2133" s="1"/>
  <c r="AA30" i="2133"/>
  <c r="Z30" i="2133"/>
  <c r="Y30" i="2133"/>
  <c r="X30" i="2133"/>
  <c r="W30" i="2133"/>
  <c r="V30" i="2133"/>
  <c r="U30" i="2133"/>
  <c r="T30" i="2133"/>
  <c r="S30" i="2133"/>
  <c r="R30" i="2133"/>
  <c r="N30" i="2133"/>
  <c r="J30" i="2133"/>
  <c r="AF29" i="2133"/>
  <c r="AB29" i="2133"/>
  <c r="Q29" i="2133"/>
  <c r="P29" i="2133"/>
  <c r="AC29" i="2133" s="1"/>
  <c r="AD29" i="2133" s="1"/>
  <c r="O29" i="2133"/>
  <c r="M29" i="2133"/>
  <c r="K29" i="2133"/>
  <c r="AF28" i="2133"/>
  <c r="AB28" i="2133"/>
  <c r="Q28" i="2133"/>
  <c r="P28" i="2133"/>
  <c r="AC28" i="2133" s="1"/>
  <c r="O28" i="2133"/>
  <c r="M28" i="2133"/>
  <c r="K28" i="2133"/>
  <c r="AF27" i="2133"/>
  <c r="AB27" i="2133"/>
  <c r="Q27" i="2133"/>
  <c r="P27" i="2133"/>
  <c r="AC27" i="2133" s="1"/>
  <c r="O27" i="2133"/>
  <c r="M27" i="2133"/>
  <c r="K27" i="2133"/>
  <c r="AF26" i="2133"/>
  <c r="AB26" i="2133"/>
  <c r="Q26" i="2133"/>
  <c r="P26" i="2133"/>
  <c r="AC26" i="2133" s="1"/>
  <c r="AD26" i="2133" s="1"/>
  <c r="O26" i="2133"/>
  <c r="M26" i="2133"/>
  <c r="K26" i="2133"/>
  <c r="AF25" i="2133"/>
  <c r="AB25" i="2133"/>
  <c r="Q25" i="2133"/>
  <c r="P25" i="2133"/>
  <c r="AC25" i="2133" s="1"/>
  <c r="AD25" i="2133" s="1"/>
  <c r="O25" i="2133"/>
  <c r="M25" i="2133"/>
  <c r="K25" i="2133"/>
  <c r="AF24" i="2133"/>
  <c r="AB24" i="2133"/>
  <c r="Q24" i="2133"/>
  <c r="P24" i="2133"/>
  <c r="AC24" i="2133" s="1"/>
  <c r="O24" i="2133"/>
  <c r="M24" i="2133"/>
  <c r="K24" i="2133"/>
  <c r="AF23" i="2133"/>
  <c r="AB23" i="2133"/>
  <c r="Q23" i="2133"/>
  <c r="P23" i="2133"/>
  <c r="AC23" i="2133" s="1"/>
  <c r="O23" i="2133"/>
  <c r="M23" i="2133"/>
  <c r="K23" i="2133"/>
  <c r="AF22" i="2133"/>
  <c r="AB22" i="2133"/>
  <c r="Q22" i="2133"/>
  <c r="P22" i="2133"/>
  <c r="AC22" i="2133" s="1"/>
  <c r="AD22" i="2133" s="1"/>
  <c r="W19" i="16" s="1"/>
  <c r="O22" i="2133"/>
  <c r="M22" i="2133"/>
  <c r="K22" i="2133"/>
  <c r="AF21" i="2133"/>
  <c r="Q21" i="2133"/>
  <c r="P21" i="2133"/>
  <c r="AC21" i="2133" s="1"/>
  <c r="O21" i="2133"/>
  <c r="AF20" i="2133"/>
  <c r="Q20" i="2133"/>
  <c r="P20" i="2133"/>
  <c r="AC20" i="2133" s="1"/>
  <c r="AF19" i="2133"/>
  <c r="Q19" i="2133"/>
  <c r="O19" i="2133"/>
  <c r="AF18" i="2133"/>
  <c r="Q18" i="2133"/>
  <c r="O18" i="2133"/>
  <c r="AB18" i="2133"/>
  <c r="AF17" i="2133"/>
  <c r="Q17" i="2133"/>
  <c r="P17" i="2133" s="1"/>
  <c r="AC17" i="2133" s="1"/>
  <c r="I17" i="2133"/>
  <c r="AF16" i="2133"/>
  <c r="AB16" i="2133"/>
  <c r="Q16" i="2133"/>
  <c r="O16" i="2133"/>
  <c r="AF15" i="2133"/>
  <c r="Q15" i="2133"/>
  <c r="P15" i="2133"/>
  <c r="AC15" i="2133" s="1"/>
  <c r="I15" i="2133"/>
  <c r="I30" i="2133" s="1"/>
  <c r="AF14" i="2133"/>
  <c r="AB14" i="2133"/>
  <c r="Q14" i="2133"/>
  <c r="P14" i="2133"/>
  <c r="AC14" i="2133" s="1"/>
  <c r="O14" i="2133"/>
  <c r="M14" i="2133"/>
  <c r="K14" i="2133"/>
  <c r="AF13" i="2133"/>
  <c r="Q13" i="2133"/>
  <c r="O13" i="2133"/>
  <c r="AB13" i="2133"/>
  <c r="AF12" i="2133"/>
  <c r="AB12" i="2133"/>
  <c r="Q12" i="2133"/>
  <c r="P12" i="2133"/>
  <c r="AC12" i="2133" s="1"/>
  <c r="M12" i="2133"/>
  <c r="O12" i="2133"/>
  <c r="AF11" i="2133"/>
  <c r="Q11" i="2133"/>
  <c r="P11" i="2133"/>
  <c r="AC11" i="2133" s="1"/>
  <c r="AF10" i="2133"/>
  <c r="AB10" i="2133"/>
  <c r="Q10" i="2133"/>
  <c r="P10" i="2133"/>
  <c r="AC10" i="2133" s="1"/>
  <c r="O10" i="2133"/>
  <c r="M10" i="2133"/>
  <c r="AF9" i="2133"/>
  <c r="Q9" i="2133"/>
  <c r="O9" i="2133"/>
  <c r="AB9" i="2133"/>
  <c r="AF8" i="2133"/>
  <c r="AB8" i="2133"/>
  <c r="Q8" i="2133"/>
  <c r="P8" i="2133" s="1"/>
  <c r="AC8" i="2133" s="1"/>
  <c r="O8" i="2133"/>
  <c r="AF7" i="2133"/>
  <c r="AB7" i="2133"/>
  <c r="Q7" i="2133"/>
  <c r="P7" i="2133" s="1"/>
  <c r="AC7" i="2133" s="1"/>
  <c r="O7" i="2133"/>
  <c r="M7" i="2133"/>
  <c r="AF6" i="2133"/>
  <c r="Q6" i="2133"/>
  <c r="O6" i="2133"/>
  <c r="AB6" i="2133"/>
  <c r="V27" i="16"/>
  <c r="V26" i="16"/>
  <c r="V25" i="16"/>
  <c r="V24" i="16"/>
  <c r="V23" i="16"/>
  <c r="V22" i="16"/>
  <c r="V21" i="16"/>
  <c r="V20" i="16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L22" i="2132"/>
  <c r="P22" i="2132" s="1"/>
  <c r="AC22" i="2132" s="1"/>
  <c r="L21" i="2132"/>
  <c r="P21" i="2132" s="1"/>
  <c r="AC21" i="2132" s="1"/>
  <c r="L20" i="2132"/>
  <c r="K20" i="2132" s="1"/>
  <c r="L19" i="2132"/>
  <c r="O19" i="2132" s="1"/>
  <c r="L18" i="2132"/>
  <c r="K18" i="2132"/>
  <c r="I18" i="2132"/>
  <c r="L17" i="2132"/>
  <c r="I16" i="2132"/>
  <c r="I31" i="2132" s="1"/>
  <c r="L16" i="2132"/>
  <c r="K16" i="2132" s="1"/>
  <c r="L14" i="2132"/>
  <c r="K14" i="2132"/>
  <c r="L13" i="2132"/>
  <c r="O13" i="2132" s="1"/>
  <c r="L12" i="2132"/>
  <c r="AB12" i="2132" s="1"/>
  <c r="L11" i="2132"/>
  <c r="M11" i="2132" s="1"/>
  <c r="L10" i="2132"/>
  <c r="L9" i="2132"/>
  <c r="O9" i="2132" s="1"/>
  <c r="K9" i="2132"/>
  <c r="L8" i="2132"/>
  <c r="K8" i="2132" s="1"/>
  <c r="L7" i="2132"/>
  <c r="K7" i="2132"/>
  <c r="L6" i="2132"/>
  <c r="K6" i="2132" s="1"/>
  <c r="K22" i="2132"/>
  <c r="K21" i="2132"/>
  <c r="K19" i="2132"/>
  <c r="K13" i="2132"/>
  <c r="K12" i="2132"/>
  <c r="K11" i="2132"/>
  <c r="K10" i="2132"/>
  <c r="A86" i="2132"/>
  <c r="A87" i="2132" s="1"/>
  <c r="A88" i="2132" s="1"/>
  <c r="A89" i="2132" s="1"/>
  <c r="A90" i="2132" s="1"/>
  <c r="A91" i="2132" s="1"/>
  <c r="AF70" i="2132"/>
  <c r="AF69" i="2132"/>
  <c r="AF72" i="2132" s="1"/>
  <c r="AA31" i="2132"/>
  <c r="Z31" i="2132"/>
  <c r="Y31" i="2132"/>
  <c r="X31" i="2132"/>
  <c r="W31" i="2132"/>
  <c r="V31" i="2132"/>
  <c r="U31" i="2132"/>
  <c r="T31" i="2132"/>
  <c r="S31" i="2132"/>
  <c r="R31" i="2132"/>
  <c r="N31" i="2132"/>
  <c r="J31" i="2132"/>
  <c r="AF30" i="2132"/>
  <c r="AB30" i="2132"/>
  <c r="Q30" i="2132"/>
  <c r="P30" i="2132"/>
  <c r="AC30" i="2132" s="1"/>
  <c r="AD30" i="2132" s="1"/>
  <c r="O30" i="2132"/>
  <c r="M30" i="2132"/>
  <c r="K30" i="2132"/>
  <c r="AF29" i="2132"/>
  <c r="AB29" i="2132"/>
  <c r="Q29" i="2132"/>
  <c r="P29" i="2132"/>
  <c r="AC29" i="2132" s="1"/>
  <c r="AD29" i="2132" s="1"/>
  <c r="O29" i="2132"/>
  <c r="M29" i="2132"/>
  <c r="K29" i="2132"/>
  <c r="AF28" i="2132"/>
  <c r="AB28" i="2132"/>
  <c r="Q28" i="2132"/>
  <c r="P28" i="2132"/>
  <c r="AC28" i="2132" s="1"/>
  <c r="AD28" i="2132" s="1"/>
  <c r="O28" i="2132"/>
  <c r="M28" i="2132"/>
  <c r="K28" i="2132"/>
  <c r="AF27" i="2132"/>
  <c r="AB27" i="2132"/>
  <c r="Q27" i="2132"/>
  <c r="P27" i="2132"/>
  <c r="AC27" i="2132" s="1"/>
  <c r="AD27" i="2132" s="1"/>
  <c r="O27" i="2132"/>
  <c r="M27" i="2132"/>
  <c r="K27" i="2132"/>
  <c r="AF26" i="2132"/>
  <c r="AB26" i="2132"/>
  <c r="Q26" i="2132"/>
  <c r="P26" i="2132"/>
  <c r="AC26" i="2132" s="1"/>
  <c r="AD26" i="2132" s="1"/>
  <c r="O26" i="2132"/>
  <c r="M26" i="2132"/>
  <c r="K26" i="2132"/>
  <c r="AF25" i="2132"/>
  <c r="AB25" i="2132"/>
  <c r="Q25" i="2132"/>
  <c r="P25" i="2132"/>
  <c r="AC25" i="2132" s="1"/>
  <c r="AD25" i="2132" s="1"/>
  <c r="O25" i="2132"/>
  <c r="M25" i="2132"/>
  <c r="K25" i="2132"/>
  <c r="AF24" i="2132"/>
  <c r="AB24" i="2132"/>
  <c r="Q24" i="2132"/>
  <c r="P24" i="2132"/>
  <c r="AC24" i="2132" s="1"/>
  <c r="AD24" i="2132" s="1"/>
  <c r="O24" i="2132"/>
  <c r="M24" i="2132"/>
  <c r="K24" i="2132"/>
  <c r="AF23" i="2132"/>
  <c r="AB23" i="2132"/>
  <c r="Q23" i="2132"/>
  <c r="P23" i="2132"/>
  <c r="AC23" i="2132" s="1"/>
  <c r="AD23" i="2132" s="1"/>
  <c r="O23" i="2132"/>
  <c r="M23" i="2132"/>
  <c r="K23" i="2132"/>
  <c r="AF22" i="2132"/>
  <c r="AB22" i="2132"/>
  <c r="Q22" i="2132"/>
  <c r="M22" i="2132"/>
  <c r="O22" i="2132"/>
  <c r="AF21" i="2132"/>
  <c r="Q21" i="2132"/>
  <c r="AF20" i="2132"/>
  <c r="AB20" i="2132"/>
  <c r="Q20" i="2132"/>
  <c r="M20" i="2132"/>
  <c r="AF19" i="2132"/>
  <c r="Q19" i="2132"/>
  <c r="AB19" i="2132"/>
  <c r="AF18" i="2132"/>
  <c r="AB18" i="2132"/>
  <c r="Q18" i="2132"/>
  <c r="M18" i="2132"/>
  <c r="O18" i="2132"/>
  <c r="AF17" i="2132"/>
  <c r="Q17" i="2132"/>
  <c r="AF16" i="2132"/>
  <c r="AB16" i="2132"/>
  <c r="Q16" i="2132"/>
  <c r="O16" i="2132"/>
  <c r="M16" i="2132"/>
  <c r="AF15" i="2132"/>
  <c r="AC15" i="2132"/>
  <c r="AB15" i="2132"/>
  <c r="Q15" i="2132"/>
  <c r="P15" i="2132"/>
  <c r="O15" i="2132"/>
  <c r="M15" i="2132"/>
  <c r="K15" i="2132"/>
  <c r="AF14" i="2132"/>
  <c r="Q14" i="2132"/>
  <c r="AF13" i="2132"/>
  <c r="AB13" i="2132"/>
  <c r="Q13" i="2132"/>
  <c r="P13" i="2132"/>
  <c r="AC13" i="2132" s="1"/>
  <c r="M13" i="2132"/>
  <c r="AF12" i="2132"/>
  <c r="Q12" i="2132"/>
  <c r="O12" i="2132"/>
  <c r="AF11" i="2132"/>
  <c r="AB11" i="2132"/>
  <c r="Q11" i="2132"/>
  <c r="P11" i="2132"/>
  <c r="AC11" i="2132" s="1"/>
  <c r="O11" i="2132"/>
  <c r="AF10" i="2132"/>
  <c r="Q10" i="2132"/>
  <c r="P10" i="2132"/>
  <c r="AC10" i="2132" s="1"/>
  <c r="AF9" i="2132"/>
  <c r="AB9" i="2132"/>
  <c r="Q9" i="2132"/>
  <c r="P9" i="2132" s="1"/>
  <c r="AC9" i="2132" s="1"/>
  <c r="M9" i="2132"/>
  <c r="AF8" i="2132"/>
  <c r="AB8" i="2132"/>
  <c r="Q8" i="2132"/>
  <c r="M8" i="2132"/>
  <c r="O8" i="2132"/>
  <c r="AF7" i="2132"/>
  <c r="Q7" i="2132"/>
  <c r="AF6" i="2132"/>
  <c r="AB6" i="2132"/>
  <c r="Q6" i="2132"/>
  <c r="O6" i="2132"/>
  <c r="M6" i="2132"/>
  <c r="L21" i="2131"/>
  <c r="L20" i="2131"/>
  <c r="L19" i="2131"/>
  <c r="L18" i="2131"/>
  <c r="L17" i="2131"/>
  <c r="K17" i="2131" s="1"/>
  <c r="L16" i="2131"/>
  <c r="L15" i="2131"/>
  <c r="L13" i="2131"/>
  <c r="K13" i="2131" s="1"/>
  <c r="L12" i="2131"/>
  <c r="L11" i="2131"/>
  <c r="L10" i="2131"/>
  <c r="AD30" i="2136" l="1"/>
  <c r="AD19" i="2136"/>
  <c r="AD20" i="2136"/>
  <c r="AD26" i="2136"/>
  <c r="I32" i="2136"/>
  <c r="AD18" i="2136"/>
  <c r="AD11" i="2136"/>
  <c r="AD29" i="2136"/>
  <c r="AD28" i="2136"/>
  <c r="Q32" i="2136"/>
  <c r="AD24" i="2136"/>
  <c r="AD7" i="2136"/>
  <c r="AD16" i="2136"/>
  <c r="AD21" i="2136"/>
  <c r="AD27" i="2136"/>
  <c r="AD6" i="2136"/>
  <c r="O8" i="2136"/>
  <c r="M12" i="2136"/>
  <c r="AB12" i="2136"/>
  <c r="AD12" i="2136" s="1"/>
  <c r="O13" i="2136"/>
  <c r="O17" i="2136"/>
  <c r="M22" i="2136"/>
  <c r="AB22" i="2136"/>
  <c r="AD22" i="2136" s="1"/>
  <c r="O23" i="2136"/>
  <c r="M25" i="2136"/>
  <c r="AB25" i="2136"/>
  <c r="AD25" i="2136" s="1"/>
  <c r="L32" i="2136"/>
  <c r="O32" i="2136" s="1"/>
  <c r="K32" i="2136"/>
  <c r="P8" i="2136"/>
  <c r="AC8" i="2136" s="1"/>
  <c r="M11" i="2136"/>
  <c r="P13" i="2136"/>
  <c r="AC13" i="2136" s="1"/>
  <c r="P17" i="2136"/>
  <c r="AC17" i="2136" s="1"/>
  <c r="AD17" i="2136" s="1"/>
  <c r="P23" i="2136"/>
  <c r="AC23" i="2136" s="1"/>
  <c r="M8" i="2136"/>
  <c r="M13" i="2136"/>
  <c r="M17" i="2136"/>
  <c r="M23" i="2136"/>
  <c r="AD18" i="2135"/>
  <c r="O9" i="2135"/>
  <c r="P9" i="2135"/>
  <c r="AC9" i="2135" s="1"/>
  <c r="AC31" i="2135" s="1"/>
  <c r="M15" i="2135"/>
  <c r="AD29" i="2135"/>
  <c r="K15" i="2135"/>
  <c r="AB9" i="2135"/>
  <c r="P19" i="2135"/>
  <c r="AC19" i="2135" s="1"/>
  <c r="M18" i="2135"/>
  <c r="O15" i="2135"/>
  <c r="P10" i="2135"/>
  <c r="AC10" i="2135" s="1"/>
  <c r="AD25" i="2135"/>
  <c r="AD24" i="2135"/>
  <c r="AB10" i="2135"/>
  <c r="AD14" i="2135"/>
  <c r="AD23" i="2135"/>
  <c r="AD27" i="2135"/>
  <c r="AD30" i="2135"/>
  <c r="AD20" i="2135"/>
  <c r="AD28" i="2135"/>
  <c r="AD26" i="2135"/>
  <c r="Q31" i="2135"/>
  <c r="AD8" i="2135"/>
  <c r="AD15" i="2135"/>
  <c r="AD13" i="2135"/>
  <c r="AD17" i="2135"/>
  <c r="AD6" i="2135"/>
  <c r="AD16" i="2135"/>
  <c r="AD21" i="2135"/>
  <c r="M7" i="2135"/>
  <c r="AB7" i="2135"/>
  <c r="M11" i="2135"/>
  <c r="AB11" i="2135"/>
  <c r="O12" i="2135"/>
  <c r="AD12" i="2135" s="1"/>
  <c r="M19" i="2135"/>
  <c r="AB19" i="2135"/>
  <c r="M22" i="2135"/>
  <c r="AB22" i="2135"/>
  <c r="L31" i="2135"/>
  <c r="O31" i="2135" s="1"/>
  <c r="O7" i="2135"/>
  <c r="M10" i="2135"/>
  <c r="O11" i="2135"/>
  <c r="M16" i="2135"/>
  <c r="M17" i="2135"/>
  <c r="O19" i="2135"/>
  <c r="M21" i="2135"/>
  <c r="O22" i="2135"/>
  <c r="P14" i="2134"/>
  <c r="AC14" i="2134" s="1"/>
  <c r="O12" i="2134"/>
  <c r="O14" i="2134"/>
  <c r="AD14" i="2134" s="1"/>
  <c r="K12" i="2134"/>
  <c r="AB12" i="2134"/>
  <c r="M13" i="2134"/>
  <c r="O11" i="2134"/>
  <c r="AD10" i="2134"/>
  <c r="AD24" i="2134"/>
  <c r="AD25" i="2134"/>
  <c r="AD27" i="2134"/>
  <c r="AD28" i="2134"/>
  <c r="AD29" i="2134"/>
  <c r="K7" i="2134"/>
  <c r="AD30" i="2134"/>
  <c r="AF73" i="2134"/>
  <c r="AD26" i="2134"/>
  <c r="AD31" i="2134"/>
  <c r="P7" i="2134"/>
  <c r="AC7" i="2134" s="1"/>
  <c r="Q32" i="2134"/>
  <c r="AD9" i="2134"/>
  <c r="AD13" i="2134"/>
  <c r="AD20" i="2134"/>
  <c r="AD8" i="2134"/>
  <c r="AD12" i="2134"/>
  <c r="AD17" i="2134"/>
  <c r="AD16" i="2134"/>
  <c r="AD6" i="2134"/>
  <c r="AD22" i="2134"/>
  <c r="O21" i="2134"/>
  <c r="M7" i="2134"/>
  <c r="AB7" i="2134"/>
  <c r="M11" i="2134"/>
  <c r="AB11" i="2134"/>
  <c r="AD11" i="2134" s="1"/>
  <c r="M18" i="2134"/>
  <c r="AB18" i="2134"/>
  <c r="AD18" i="2134" s="1"/>
  <c r="M19" i="2134"/>
  <c r="AB19" i="2134"/>
  <c r="AD19" i="2134" s="1"/>
  <c r="P21" i="2134"/>
  <c r="AC21" i="2134" s="1"/>
  <c r="M23" i="2134"/>
  <c r="AB23" i="2134"/>
  <c r="AD23" i="2134" s="1"/>
  <c r="L32" i="2134"/>
  <c r="O32" i="2134" s="1"/>
  <c r="K32" i="2134"/>
  <c r="M21" i="2134"/>
  <c r="AB21" i="2133"/>
  <c r="AD21" i="2133" s="1"/>
  <c r="M21" i="2133"/>
  <c r="P19" i="2133"/>
  <c r="AC19" i="2133" s="1"/>
  <c r="AD19" i="2133" s="1"/>
  <c r="M19" i="2133"/>
  <c r="O17" i="2133"/>
  <c r="AB17" i="2133"/>
  <c r="P16" i="2133"/>
  <c r="AC16" i="2133" s="1"/>
  <c r="AD16" i="2133" s="1"/>
  <c r="M16" i="2133"/>
  <c r="M8" i="2133"/>
  <c r="AD17" i="2133"/>
  <c r="AD24" i="2133"/>
  <c r="AD28" i="2133"/>
  <c r="AD23" i="2133"/>
  <c r="AD27" i="2133"/>
  <c r="Q30" i="2133"/>
  <c r="AD10" i="2133"/>
  <c r="AD14" i="2133"/>
  <c r="AD7" i="2133"/>
  <c r="AD12" i="2133"/>
  <c r="AD8" i="2133"/>
  <c r="P6" i="2133"/>
  <c r="P9" i="2133"/>
  <c r="AC9" i="2133" s="1"/>
  <c r="AD9" i="2133" s="1"/>
  <c r="M11" i="2133"/>
  <c r="AB11" i="2133"/>
  <c r="P13" i="2133"/>
  <c r="AC13" i="2133" s="1"/>
  <c r="AD13" i="2133" s="1"/>
  <c r="M15" i="2133"/>
  <c r="AB15" i="2133"/>
  <c r="P18" i="2133"/>
  <c r="AC18" i="2133" s="1"/>
  <c r="AD18" i="2133" s="1"/>
  <c r="M20" i="2133"/>
  <c r="AB20" i="2133"/>
  <c r="L30" i="2133"/>
  <c r="O30" i="2133" s="1"/>
  <c r="O11" i="2133"/>
  <c r="O15" i="2133"/>
  <c r="O20" i="2133"/>
  <c r="M6" i="2133"/>
  <c r="M9" i="2133"/>
  <c r="M13" i="2133"/>
  <c r="M18" i="2133"/>
  <c r="AD22" i="2132"/>
  <c r="P20" i="2132"/>
  <c r="AC20" i="2132" s="1"/>
  <c r="O20" i="2132"/>
  <c r="P18" i="2132"/>
  <c r="AC18" i="2132" s="1"/>
  <c r="AD18" i="2132" s="1"/>
  <c r="P17" i="2132"/>
  <c r="AC17" i="2132" s="1"/>
  <c r="K17" i="2132"/>
  <c r="K31" i="2132" s="1"/>
  <c r="P16" i="2132"/>
  <c r="AC16" i="2132" s="1"/>
  <c r="AD16" i="2132" s="1"/>
  <c r="P14" i="2132"/>
  <c r="AC14" i="2132" s="1"/>
  <c r="AD13" i="2132"/>
  <c r="P8" i="2132"/>
  <c r="AC8" i="2132" s="1"/>
  <c r="AD8" i="2132" s="1"/>
  <c r="Q31" i="2132"/>
  <c r="P7" i="2132"/>
  <c r="AC7" i="2132" s="1"/>
  <c r="P6" i="2132"/>
  <c r="AC6" i="2132" s="1"/>
  <c r="AD6" i="2132" s="1"/>
  <c r="AD9" i="2132"/>
  <c r="AD15" i="2132"/>
  <c r="AD11" i="2132"/>
  <c r="L31" i="2132"/>
  <c r="O31" i="2132" s="1"/>
  <c r="M7" i="2132"/>
  <c r="AB7" i="2132"/>
  <c r="M10" i="2132"/>
  <c r="AB10" i="2132"/>
  <c r="AD10" i="2132" s="1"/>
  <c r="P12" i="2132"/>
  <c r="AC12" i="2132" s="1"/>
  <c r="AD12" i="2132" s="1"/>
  <c r="M14" i="2132"/>
  <c r="AB14" i="2132"/>
  <c r="M17" i="2132"/>
  <c r="AB17" i="2132"/>
  <c r="P19" i="2132"/>
  <c r="AC19" i="2132" s="1"/>
  <c r="AD19" i="2132" s="1"/>
  <c r="M21" i="2132"/>
  <c r="AB21" i="2132"/>
  <c r="O7" i="2132"/>
  <c r="O10" i="2132"/>
  <c r="O14" i="2132"/>
  <c r="O21" i="2132"/>
  <c r="O17" i="2132"/>
  <c r="M12" i="2132"/>
  <c r="M19" i="2132"/>
  <c r="AD23" i="2136" l="1"/>
  <c r="M32" i="2136"/>
  <c r="AB32" i="2136"/>
  <c r="P32" i="2136"/>
  <c r="AD8" i="2136"/>
  <c r="AC32" i="2136"/>
  <c r="AD13" i="2136"/>
  <c r="AD22" i="2135"/>
  <c r="P31" i="2135"/>
  <c r="AD9" i="2135"/>
  <c r="AD10" i="2135"/>
  <c r="AD19" i="2135"/>
  <c r="M31" i="2135"/>
  <c r="AD7" i="2135"/>
  <c r="AB31" i="2135"/>
  <c r="AD11" i="2135"/>
  <c r="K31" i="2135"/>
  <c r="P32" i="2134"/>
  <c r="AD7" i="2134"/>
  <c r="M32" i="2134"/>
  <c r="AB32" i="2134"/>
  <c r="AD21" i="2134"/>
  <c r="AD32" i="2134" s="1"/>
  <c r="AC32" i="2134"/>
  <c r="AB30" i="2133"/>
  <c r="AD11" i="2133"/>
  <c r="M30" i="2133"/>
  <c r="AD15" i="2133"/>
  <c r="AD20" i="2133"/>
  <c r="K30" i="2133"/>
  <c r="P30" i="2133"/>
  <c r="AC6" i="2133"/>
  <c r="AD20" i="2132"/>
  <c r="AD21" i="2132"/>
  <c r="AD14" i="2132"/>
  <c r="AD7" i="2132"/>
  <c r="AD17" i="2132"/>
  <c r="M31" i="2132"/>
  <c r="AB31" i="2132"/>
  <c r="P31" i="2132"/>
  <c r="AC31" i="2132"/>
  <c r="AD32" i="2136" l="1"/>
  <c r="AD31" i="2135"/>
  <c r="AE10" i="2134"/>
  <c r="AE15" i="2134"/>
  <c r="AE31" i="2134"/>
  <c r="AE29" i="2134"/>
  <c r="AE25" i="2134"/>
  <c r="AE23" i="2134"/>
  <c r="AE11" i="2134"/>
  <c r="AE20" i="2134"/>
  <c r="AE14" i="2134"/>
  <c r="AE12" i="2134"/>
  <c r="AE8" i="2134"/>
  <c r="AE30" i="2134"/>
  <c r="AE28" i="2134"/>
  <c r="AE26" i="2134"/>
  <c r="AE24" i="2134"/>
  <c r="AE21" i="2134"/>
  <c r="AE22" i="2134"/>
  <c r="AE17" i="2134"/>
  <c r="AE16" i="2134"/>
  <c r="AE13" i="2134"/>
  <c r="AE9" i="2134"/>
  <c r="AE6" i="2134"/>
  <c r="AE27" i="2134"/>
  <c r="AE19" i="2134"/>
  <c r="AE18" i="2134"/>
  <c r="AE7" i="2134"/>
  <c r="AC30" i="2133"/>
  <c r="AD6" i="2133"/>
  <c r="AD30" i="2133" s="1"/>
  <c r="W27" i="16" s="1"/>
  <c r="AD31" i="2132"/>
  <c r="AE30" i="2132" s="1"/>
  <c r="AE9" i="2136" l="1"/>
  <c r="AE15" i="2136"/>
  <c r="AE14" i="2136"/>
  <c r="AE18" i="2136"/>
  <c r="AE21" i="2136"/>
  <c r="AE19" i="2136"/>
  <c r="AE23" i="2136"/>
  <c r="AE17" i="2136"/>
  <c r="AE30" i="2136"/>
  <c r="AE13" i="2136"/>
  <c r="AE24" i="2136"/>
  <c r="AE6" i="2136"/>
  <c r="AE26" i="2136"/>
  <c r="AE16" i="2136"/>
  <c r="AE11" i="2136"/>
  <c r="AE8" i="2136"/>
  <c r="AE10" i="2136"/>
  <c r="AE28" i="2136"/>
  <c r="AE7" i="2136"/>
  <c r="AE12" i="2136"/>
  <c r="AE20" i="2136"/>
  <c r="AE22" i="2136"/>
  <c r="AE27" i="2136"/>
  <c r="AE25" i="2136"/>
  <c r="AE29" i="2136"/>
  <c r="AE31" i="2136"/>
  <c r="AE12" i="2135"/>
  <c r="AE18" i="2135"/>
  <c r="AE6" i="2135"/>
  <c r="AE9" i="2135"/>
  <c r="AE10" i="2135"/>
  <c r="AE20" i="2135"/>
  <c r="AE17" i="2135"/>
  <c r="AE8" i="2135"/>
  <c r="AE23" i="2135"/>
  <c r="AE15" i="2135"/>
  <c r="AE24" i="2135"/>
  <c r="AE22" i="2135"/>
  <c r="AE21" i="2135"/>
  <c r="AE29" i="2135"/>
  <c r="AE16" i="2135"/>
  <c r="AE14" i="2135"/>
  <c r="AE13" i="2135"/>
  <c r="AE27" i="2135"/>
  <c r="AE19" i="2135"/>
  <c r="AE26" i="2135"/>
  <c r="AE7" i="2135"/>
  <c r="AE30" i="2135"/>
  <c r="AE28" i="2135"/>
  <c r="AE25" i="2135"/>
  <c r="AE11" i="2135"/>
  <c r="AE29" i="2133"/>
  <c r="AE27" i="2133"/>
  <c r="AE25" i="2133"/>
  <c r="AE23" i="2133"/>
  <c r="AE21" i="2133"/>
  <c r="AE17" i="2133"/>
  <c r="AE16" i="2133"/>
  <c r="AE12" i="2133"/>
  <c r="AE8" i="2133"/>
  <c r="AE11" i="2133"/>
  <c r="AE18" i="2133"/>
  <c r="AE13" i="2133"/>
  <c r="AE9" i="2133"/>
  <c r="AE6" i="2133"/>
  <c r="AE20" i="2133"/>
  <c r="AE14" i="2133"/>
  <c r="AE28" i="2133"/>
  <c r="AE26" i="2133"/>
  <c r="AE24" i="2133"/>
  <c r="AE22" i="2133"/>
  <c r="AE19" i="2133"/>
  <c r="AE10" i="2133"/>
  <c r="AE7" i="2133"/>
  <c r="AE15" i="2133"/>
  <c r="AE9" i="2132"/>
  <c r="AE25" i="2132"/>
  <c r="AE12" i="2132"/>
  <c r="AE17" i="2132"/>
  <c r="AE24" i="2132"/>
  <c r="AE13" i="2132"/>
  <c r="AE15" i="2132"/>
  <c r="AE7" i="2132"/>
  <c r="AE23" i="2132"/>
  <c r="AE8" i="2132"/>
  <c r="AE21" i="2132"/>
  <c r="AE16" i="2132"/>
  <c r="AE27" i="2132"/>
  <c r="AE19" i="2132"/>
  <c r="AE11" i="2132"/>
  <c r="AE26" i="2132"/>
  <c r="AE6" i="2132"/>
  <c r="AE20" i="2132"/>
  <c r="AE29" i="2132"/>
  <c r="AE10" i="2132"/>
  <c r="AE18" i="2132"/>
  <c r="AE28" i="2132"/>
  <c r="AE14" i="2132"/>
  <c r="AE22" i="2132"/>
  <c r="L9" i="2131"/>
  <c r="M9" i="2131" s="1"/>
  <c r="L8" i="2131"/>
  <c r="M8" i="2131" s="1"/>
  <c r="L7" i="2131"/>
  <c r="K7" i="2131" s="1"/>
  <c r="L6" i="2131"/>
  <c r="K21" i="2131"/>
  <c r="K20" i="2131"/>
  <c r="K18" i="2131"/>
  <c r="K16" i="2131"/>
  <c r="K15" i="2131"/>
  <c r="K12" i="2131"/>
  <c r="K11" i="2131"/>
  <c r="K10" i="2131"/>
  <c r="A85" i="2131"/>
  <c r="A86" i="2131" s="1"/>
  <c r="A87" i="2131" s="1"/>
  <c r="A88" i="2131" s="1"/>
  <c r="A89" i="2131" s="1"/>
  <c r="A90" i="2131" s="1"/>
  <c r="AF69" i="2131"/>
  <c r="AF68" i="2131"/>
  <c r="AA30" i="2131"/>
  <c r="Z30" i="2131"/>
  <c r="Y30" i="2131"/>
  <c r="X30" i="2131"/>
  <c r="W30" i="2131"/>
  <c r="V30" i="2131"/>
  <c r="U30" i="2131"/>
  <c r="T30" i="2131"/>
  <c r="S30" i="2131"/>
  <c r="R30" i="2131"/>
  <c r="N30" i="2131"/>
  <c r="J30" i="2131"/>
  <c r="I30" i="2131"/>
  <c r="AF29" i="2131"/>
  <c r="AB29" i="2131"/>
  <c r="Q29" i="2131"/>
  <c r="P29" i="2131"/>
  <c r="AC29" i="2131" s="1"/>
  <c r="AD29" i="2131" s="1"/>
  <c r="O29" i="2131"/>
  <c r="M29" i="2131"/>
  <c r="K29" i="2131"/>
  <c r="AF28" i="2131"/>
  <c r="AB28" i="2131"/>
  <c r="Q28" i="2131"/>
  <c r="P28" i="2131"/>
  <c r="AC28" i="2131" s="1"/>
  <c r="AD28" i="2131" s="1"/>
  <c r="O28" i="2131"/>
  <c r="M28" i="2131"/>
  <c r="K28" i="2131"/>
  <c r="AF27" i="2131"/>
  <c r="AB27" i="2131"/>
  <c r="Q27" i="2131"/>
  <c r="P27" i="2131"/>
  <c r="AC27" i="2131" s="1"/>
  <c r="AD27" i="2131" s="1"/>
  <c r="O27" i="2131"/>
  <c r="M27" i="2131"/>
  <c r="K27" i="2131"/>
  <c r="AF26" i="2131"/>
  <c r="AB26" i="2131"/>
  <c r="Q26" i="2131"/>
  <c r="P26" i="2131"/>
  <c r="AC26" i="2131" s="1"/>
  <c r="AD26" i="2131" s="1"/>
  <c r="O26" i="2131"/>
  <c r="M26" i="2131"/>
  <c r="K26" i="2131"/>
  <c r="AF25" i="2131"/>
  <c r="AB25" i="2131"/>
  <c r="Q25" i="2131"/>
  <c r="P25" i="2131"/>
  <c r="AC25" i="2131" s="1"/>
  <c r="AD25" i="2131" s="1"/>
  <c r="O25" i="2131"/>
  <c r="M25" i="2131"/>
  <c r="K25" i="2131"/>
  <c r="AF24" i="2131"/>
  <c r="AB24" i="2131"/>
  <c r="Q24" i="2131"/>
  <c r="P24" i="2131"/>
  <c r="AC24" i="2131" s="1"/>
  <c r="AD24" i="2131" s="1"/>
  <c r="O24" i="2131"/>
  <c r="M24" i="2131"/>
  <c r="K24" i="2131"/>
  <c r="AF23" i="2131"/>
  <c r="AB23" i="2131"/>
  <c r="Q23" i="2131"/>
  <c r="P23" i="2131"/>
  <c r="AC23" i="2131" s="1"/>
  <c r="AD23" i="2131" s="1"/>
  <c r="O23" i="2131"/>
  <c r="M23" i="2131"/>
  <c r="K23" i="2131"/>
  <c r="AF22" i="2131"/>
  <c r="AB22" i="2131"/>
  <c r="Q22" i="2131"/>
  <c r="P22" i="2131"/>
  <c r="AC22" i="2131" s="1"/>
  <c r="O22" i="2131"/>
  <c r="M22" i="2131"/>
  <c r="K22" i="2131"/>
  <c r="AF21" i="2131"/>
  <c r="Q21" i="2131"/>
  <c r="P21" i="2131" s="1"/>
  <c r="AC21" i="2131" s="1"/>
  <c r="AF20" i="2131"/>
  <c r="AB20" i="2131"/>
  <c r="Q20" i="2131"/>
  <c r="P20" i="2131" s="1"/>
  <c r="AC20" i="2131" s="1"/>
  <c r="M20" i="2131"/>
  <c r="O20" i="2131"/>
  <c r="AF19" i="2131"/>
  <c r="AB19" i="2131"/>
  <c r="Q19" i="2131"/>
  <c r="P19" i="2131"/>
  <c r="AC19" i="2131" s="1"/>
  <c r="O19" i="2131"/>
  <c r="M19" i="2131"/>
  <c r="K19" i="2131"/>
  <c r="AF18" i="2131"/>
  <c r="Q18" i="2131"/>
  <c r="P18" i="2131" s="1"/>
  <c r="AC18" i="2131" s="1"/>
  <c r="O18" i="2131"/>
  <c r="AF17" i="2131"/>
  <c r="AB17" i="2131"/>
  <c r="Q17" i="2131"/>
  <c r="P17" i="2131" s="1"/>
  <c r="AC17" i="2131" s="1"/>
  <c r="O17" i="2131"/>
  <c r="M17" i="2131"/>
  <c r="AF16" i="2131"/>
  <c r="AB16" i="2131"/>
  <c r="Q16" i="2131"/>
  <c r="P16" i="2131"/>
  <c r="AC16" i="2131" s="1"/>
  <c r="M16" i="2131"/>
  <c r="O16" i="2131"/>
  <c r="AF15" i="2131"/>
  <c r="Q15" i="2131"/>
  <c r="O15" i="2131"/>
  <c r="P15" i="2131"/>
  <c r="AC15" i="2131" s="1"/>
  <c r="AF14" i="2131"/>
  <c r="AB14" i="2131"/>
  <c r="Q14" i="2131"/>
  <c r="P14" i="2131"/>
  <c r="AC14" i="2131" s="1"/>
  <c r="O14" i="2131"/>
  <c r="M14" i="2131"/>
  <c r="K14" i="2131"/>
  <c r="AF13" i="2131"/>
  <c r="AB13" i="2131"/>
  <c r="Q13" i="2131"/>
  <c r="P13" i="2131" s="1"/>
  <c r="AC13" i="2131" s="1"/>
  <c r="M13" i="2131"/>
  <c r="O13" i="2131"/>
  <c r="AF12" i="2131"/>
  <c r="Q12" i="2131"/>
  <c r="O12" i="2131"/>
  <c r="P12" i="2131"/>
  <c r="AC12" i="2131" s="1"/>
  <c r="AF11" i="2131"/>
  <c r="AB11" i="2131"/>
  <c r="Q11" i="2131"/>
  <c r="P11" i="2131" s="1"/>
  <c r="AC11" i="2131" s="1"/>
  <c r="M11" i="2131"/>
  <c r="O11" i="2131"/>
  <c r="AF10" i="2131"/>
  <c r="Q10" i="2131"/>
  <c r="O10" i="2131"/>
  <c r="AF9" i="2131"/>
  <c r="AB9" i="2131"/>
  <c r="Q9" i="2131"/>
  <c r="P9" i="2131" s="1"/>
  <c r="AC9" i="2131" s="1"/>
  <c r="O9" i="2131"/>
  <c r="AF8" i="2131"/>
  <c r="AB8" i="2131"/>
  <c r="Q8" i="2131"/>
  <c r="P8" i="2131" s="1"/>
  <c r="AC8" i="2131" s="1"/>
  <c r="O8" i="2131"/>
  <c r="AF7" i="2131"/>
  <c r="Q7" i="2131"/>
  <c r="AF6" i="2131"/>
  <c r="AB6" i="2131"/>
  <c r="Q6" i="2131"/>
  <c r="O6" i="2131"/>
  <c r="T27" i="16"/>
  <c r="T26" i="16"/>
  <c r="T25" i="16"/>
  <c r="T24" i="16"/>
  <c r="T23" i="16"/>
  <c r="T22" i="16"/>
  <c r="T21" i="16"/>
  <c r="T20" i="16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2" i="2130"/>
  <c r="L21" i="2130"/>
  <c r="L19" i="2130"/>
  <c r="L17" i="2130"/>
  <c r="L16" i="2130"/>
  <c r="K16" i="2130" s="1"/>
  <c r="L14" i="2130"/>
  <c r="L13" i="2130"/>
  <c r="L12" i="2130"/>
  <c r="L11" i="2130"/>
  <c r="AB11" i="2130" s="1"/>
  <c r="L10" i="2130"/>
  <c r="AF9" i="2130"/>
  <c r="AC9" i="2130"/>
  <c r="AB9" i="2130"/>
  <c r="Q9" i="2130"/>
  <c r="P9" i="2130"/>
  <c r="O9" i="2130"/>
  <c r="M9" i="2130"/>
  <c r="K9" i="2130"/>
  <c r="K8" i="2130"/>
  <c r="L7" i="2130"/>
  <c r="K7" i="2130" s="1"/>
  <c r="L6" i="2130"/>
  <c r="K22" i="2130"/>
  <c r="K21" i="2130"/>
  <c r="K19" i="2130"/>
  <c r="K17" i="2130"/>
  <c r="K14" i="2130"/>
  <c r="K13" i="2130"/>
  <c r="K12" i="2130"/>
  <c r="K11" i="2130"/>
  <c r="K10" i="2130"/>
  <c r="K6" i="2130"/>
  <c r="A86" i="2130"/>
  <c r="A87" i="2130" s="1"/>
  <c r="A88" i="2130" s="1"/>
  <c r="A89" i="2130" s="1"/>
  <c r="A90" i="2130" s="1"/>
  <c r="A91" i="2130" s="1"/>
  <c r="AF70" i="2130"/>
  <c r="AF69" i="2130"/>
  <c r="AF72" i="2130" s="1"/>
  <c r="AA31" i="2130"/>
  <c r="Z31" i="2130"/>
  <c r="Y31" i="2130"/>
  <c r="X31" i="2130"/>
  <c r="W31" i="2130"/>
  <c r="V31" i="2130"/>
  <c r="U31" i="2130"/>
  <c r="T31" i="2130"/>
  <c r="S31" i="2130"/>
  <c r="R31" i="2130"/>
  <c r="N31" i="2130"/>
  <c r="J31" i="2130"/>
  <c r="I31" i="2130"/>
  <c r="AF30" i="2130"/>
  <c r="AB30" i="2130"/>
  <c r="Q30" i="2130"/>
  <c r="P30" i="2130"/>
  <c r="AC30" i="2130" s="1"/>
  <c r="AD30" i="2130" s="1"/>
  <c r="O30" i="2130"/>
  <c r="M30" i="2130"/>
  <c r="K30" i="2130"/>
  <c r="AF29" i="2130"/>
  <c r="AC29" i="2130"/>
  <c r="AD29" i="2130" s="1"/>
  <c r="AB29" i="2130"/>
  <c r="Q29" i="2130"/>
  <c r="P29" i="2130"/>
  <c r="O29" i="2130"/>
  <c r="M29" i="2130"/>
  <c r="K29" i="2130"/>
  <c r="AF28" i="2130"/>
  <c r="AB28" i="2130"/>
  <c r="Q28" i="2130"/>
  <c r="P28" i="2130"/>
  <c r="AC28" i="2130" s="1"/>
  <c r="O28" i="2130"/>
  <c r="M28" i="2130"/>
  <c r="K28" i="2130"/>
  <c r="AF27" i="2130"/>
  <c r="AC27" i="2130"/>
  <c r="AB27" i="2130"/>
  <c r="Q27" i="2130"/>
  <c r="P27" i="2130"/>
  <c r="O27" i="2130"/>
  <c r="M27" i="2130"/>
  <c r="K27" i="2130"/>
  <c r="AF26" i="2130"/>
  <c r="AB26" i="2130"/>
  <c r="Q26" i="2130"/>
  <c r="P26" i="2130"/>
  <c r="AC26" i="2130" s="1"/>
  <c r="O26" i="2130"/>
  <c r="M26" i="2130"/>
  <c r="K26" i="2130"/>
  <c r="AF25" i="2130"/>
  <c r="AC25" i="2130"/>
  <c r="AB25" i="2130"/>
  <c r="Q25" i="2130"/>
  <c r="P25" i="2130"/>
  <c r="O25" i="2130"/>
  <c r="M25" i="2130"/>
  <c r="K25" i="2130"/>
  <c r="AF24" i="2130"/>
  <c r="AB24" i="2130"/>
  <c r="Q24" i="2130"/>
  <c r="P24" i="2130"/>
  <c r="AC24" i="2130" s="1"/>
  <c r="O24" i="2130"/>
  <c r="M24" i="2130"/>
  <c r="K24" i="2130"/>
  <c r="AF23" i="2130"/>
  <c r="AB23" i="2130"/>
  <c r="Q23" i="2130"/>
  <c r="P23" i="2130"/>
  <c r="AC23" i="2130" s="1"/>
  <c r="O23" i="2130"/>
  <c r="M23" i="2130"/>
  <c r="K23" i="2130"/>
  <c r="AF22" i="2130"/>
  <c r="Q22" i="2130"/>
  <c r="P22" i="2130"/>
  <c r="AC22" i="2130" s="1"/>
  <c r="AF21" i="2130"/>
  <c r="AB21" i="2130"/>
  <c r="Q21" i="2130"/>
  <c r="P21" i="2130"/>
  <c r="AC21" i="2130" s="1"/>
  <c r="O21" i="2130"/>
  <c r="M21" i="2130"/>
  <c r="AF20" i="2130"/>
  <c r="AB20" i="2130"/>
  <c r="Q20" i="2130"/>
  <c r="P20" i="2130"/>
  <c r="AC20" i="2130" s="1"/>
  <c r="AD20" i="2130" s="1"/>
  <c r="O20" i="2130"/>
  <c r="M20" i="2130"/>
  <c r="K20" i="2130"/>
  <c r="AF19" i="2130"/>
  <c r="Q19" i="2130"/>
  <c r="P19" i="2130" s="1"/>
  <c r="AC19" i="2130" s="1"/>
  <c r="AF18" i="2130"/>
  <c r="AB18" i="2130"/>
  <c r="Q18" i="2130"/>
  <c r="P18" i="2130"/>
  <c r="AC18" i="2130" s="1"/>
  <c r="O18" i="2130"/>
  <c r="M18" i="2130"/>
  <c r="K18" i="2130"/>
  <c r="AF17" i="2130"/>
  <c r="AB17" i="2130"/>
  <c r="Q17" i="2130"/>
  <c r="P17" i="2130" s="1"/>
  <c r="AC17" i="2130" s="1"/>
  <c r="M17" i="2130"/>
  <c r="AF16" i="2130"/>
  <c r="Q16" i="2130"/>
  <c r="P16" i="2130"/>
  <c r="AC16" i="2130" s="1"/>
  <c r="AF15" i="2130"/>
  <c r="AB15" i="2130"/>
  <c r="Q15" i="2130"/>
  <c r="P15" i="2130"/>
  <c r="AC15" i="2130" s="1"/>
  <c r="O15" i="2130"/>
  <c r="M15" i="2130"/>
  <c r="K15" i="2130"/>
  <c r="AF14" i="2130"/>
  <c r="AB14" i="2130"/>
  <c r="Q14" i="2130"/>
  <c r="P14" i="2130" s="1"/>
  <c r="AC14" i="2130" s="1"/>
  <c r="M14" i="2130"/>
  <c r="AF13" i="2130"/>
  <c r="Q13" i="2130"/>
  <c r="P13" i="2130"/>
  <c r="AC13" i="2130" s="1"/>
  <c r="AF12" i="2130"/>
  <c r="AB12" i="2130"/>
  <c r="Q12" i="2130"/>
  <c r="P12" i="2130" s="1"/>
  <c r="AC12" i="2130" s="1"/>
  <c r="O12" i="2130"/>
  <c r="M12" i="2130"/>
  <c r="AF11" i="2130"/>
  <c r="Q11" i="2130"/>
  <c r="P11" i="2130" s="1"/>
  <c r="AC11" i="2130" s="1"/>
  <c r="O11" i="2130"/>
  <c r="AF10" i="2130"/>
  <c r="Q10" i="2130"/>
  <c r="P10" i="2130"/>
  <c r="AC10" i="2130" s="1"/>
  <c r="AF8" i="2130"/>
  <c r="AB8" i="2130"/>
  <c r="Q8" i="2130"/>
  <c r="P8" i="2130" s="1"/>
  <c r="AC8" i="2130" s="1"/>
  <c r="O8" i="2130"/>
  <c r="M8" i="2130"/>
  <c r="AF7" i="2130"/>
  <c r="AB7" i="2130"/>
  <c r="Q7" i="2130"/>
  <c r="P7" i="2130" s="1"/>
  <c r="AC7" i="2130" s="1"/>
  <c r="O7" i="2130"/>
  <c r="M7" i="2130"/>
  <c r="AF6" i="2130"/>
  <c r="Q6" i="2130"/>
  <c r="S27" i="16"/>
  <c r="S26" i="16"/>
  <c r="S25" i="16"/>
  <c r="S24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C20" i="16"/>
  <c r="B20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C19" i="16"/>
  <c r="B19" i="16"/>
  <c r="AG19" i="16" s="1"/>
  <c r="L21" i="2129"/>
  <c r="L20" i="2129"/>
  <c r="K19" i="2129"/>
  <c r="L18" i="2129"/>
  <c r="AB18" i="2129" s="1"/>
  <c r="L16" i="2129"/>
  <c r="L15" i="2129"/>
  <c r="K15" i="2129" s="1"/>
  <c r="L13" i="2129"/>
  <c r="K13" i="2129" s="1"/>
  <c r="L12" i="2129"/>
  <c r="K12" i="2129" s="1"/>
  <c r="L11" i="2129"/>
  <c r="K11" i="2129" s="1"/>
  <c r="L9" i="2129"/>
  <c r="L8" i="2129"/>
  <c r="O8" i="2129" s="1"/>
  <c r="L6" i="2129"/>
  <c r="K6" i="2129" s="1"/>
  <c r="K23" i="2129"/>
  <c r="K22" i="2129"/>
  <c r="AF23" i="2129"/>
  <c r="AB23" i="2129"/>
  <c r="Q23" i="2129"/>
  <c r="P23" i="2129"/>
  <c r="AC23" i="2129" s="1"/>
  <c r="O23" i="2129"/>
  <c r="M23" i="2129"/>
  <c r="AF22" i="2129"/>
  <c r="AB22" i="2129"/>
  <c r="Q22" i="2129"/>
  <c r="P22" i="2129"/>
  <c r="AC22" i="2129" s="1"/>
  <c r="O22" i="2129"/>
  <c r="M22" i="2129"/>
  <c r="K27" i="2129"/>
  <c r="K21" i="2129"/>
  <c r="K20" i="2129"/>
  <c r="K18" i="2129"/>
  <c r="K16" i="2129"/>
  <c r="K14" i="2129"/>
  <c r="K9" i="2129"/>
  <c r="K7" i="2129"/>
  <c r="A85" i="2129"/>
  <c r="A86" i="2129" s="1"/>
  <c r="A87" i="2129" s="1"/>
  <c r="A88" i="2129" s="1"/>
  <c r="A89" i="2129" s="1"/>
  <c r="A90" i="2129" s="1"/>
  <c r="AF69" i="2129"/>
  <c r="AF68" i="2129"/>
  <c r="AA30" i="2129"/>
  <c r="Z30" i="2129"/>
  <c r="Y30" i="2129"/>
  <c r="X30" i="2129"/>
  <c r="W30" i="2129"/>
  <c r="V30" i="2129"/>
  <c r="U30" i="2129"/>
  <c r="T30" i="2129"/>
  <c r="S30" i="2129"/>
  <c r="R30" i="2129"/>
  <c r="N30" i="2129"/>
  <c r="J30" i="2129"/>
  <c r="I30" i="2129"/>
  <c r="AF29" i="2129"/>
  <c r="AB29" i="2129"/>
  <c r="Q29" i="2129"/>
  <c r="P29" i="2129"/>
  <c r="AC29" i="2129" s="1"/>
  <c r="O29" i="2129"/>
  <c r="M29" i="2129"/>
  <c r="K29" i="2129"/>
  <c r="AF28" i="2129"/>
  <c r="AB28" i="2129"/>
  <c r="Q28" i="2129"/>
  <c r="P28" i="2129"/>
  <c r="AC28" i="2129" s="1"/>
  <c r="O28" i="2129"/>
  <c r="M28" i="2129"/>
  <c r="K28" i="2129"/>
  <c r="AF27" i="2129"/>
  <c r="Q27" i="2129"/>
  <c r="P27" i="2129"/>
  <c r="AC27" i="2129" s="1"/>
  <c r="AF26" i="2129"/>
  <c r="AB26" i="2129"/>
  <c r="Q26" i="2129"/>
  <c r="P26" i="2129"/>
  <c r="AC26" i="2129" s="1"/>
  <c r="O26" i="2129"/>
  <c r="M26" i="2129"/>
  <c r="K26" i="2129"/>
  <c r="AF25" i="2129"/>
  <c r="AB25" i="2129"/>
  <c r="Q25" i="2129"/>
  <c r="P25" i="2129"/>
  <c r="AC25" i="2129" s="1"/>
  <c r="O25" i="2129"/>
  <c r="M25" i="2129"/>
  <c r="K25" i="2129"/>
  <c r="AF24" i="2129"/>
  <c r="AB24" i="2129"/>
  <c r="Q24" i="2129"/>
  <c r="P24" i="2129"/>
  <c r="AC24" i="2129" s="1"/>
  <c r="O24" i="2129"/>
  <c r="M24" i="2129"/>
  <c r="K24" i="2129"/>
  <c r="AF21" i="2129"/>
  <c r="AB21" i="2129"/>
  <c r="Q21" i="2129"/>
  <c r="M21" i="2129"/>
  <c r="P21" i="2129"/>
  <c r="AC21" i="2129" s="1"/>
  <c r="AF20" i="2129"/>
  <c r="Q20" i="2129"/>
  <c r="P20" i="2129" s="1"/>
  <c r="AC20" i="2129" s="1"/>
  <c r="AF19" i="2129"/>
  <c r="AB19" i="2129"/>
  <c r="Q19" i="2129"/>
  <c r="P19" i="2129"/>
  <c r="AC19" i="2129" s="1"/>
  <c r="O19" i="2129"/>
  <c r="M19" i="2129"/>
  <c r="AF18" i="2129"/>
  <c r="Q18" i="2129"/>
  <c r="P18" i="2129" s="1"/>
  <c r="AC18" i="2129" s="1"/>
  <c r="O18" i="2129"/>
  <c r="M18" i="2129"/>
  <c r="AF17" i="2129"/>
  <c r="AB17" i="2129"/>
  <c r="Q17" i="2129"/>
  <c r="P17" i="2129"/>
  <c r="AC17" i="2129" s="1"/>
  <c r="O17" i="2129"/>
  <c r="M17" i="2129"/>
  <c r="K17" i="2129"/>
  <c r="AF16" i="2129"/>
  <c r="AB16" i="2129"/>
  <c r="Q16" i="2129"/>
  <c r="P16" i="2129" s="1"/>
  <c r="AC16" i="2129" s="1"/>
  <c r="O16" i="2129"/>
  <c r="M16" i="2129"/>
  <c r="AF15" i="2129"/>
  <c r="Q15" i="2129"/>
  <c r="P15" i="2129" s="1"/>
  <c r="AC15" i="2129" s="1"/>
  <c r="AF14" i="2129"/>
  <c r="AB14" i="2129"/>
  <c r="Q14" i="2129"/>
  <c r="P14" i="2129" s="1"/>
  <c r="AC14" i="2129" s="1"/>
  <c r="O14" i="2129"/>
  <c r="M14" i="2129"/>
  <c r="AF13" i="2129"/>
  <c r="Q13" i="2129"/>
  <c r="P13" i="2129" s="1"/>
  <c r="AC13" i="2129" s="1"/>
  <c r="O13" i="2129"/>
  <c r="AF12" i="2129"/>
  <c r="Q12" i="2129"/>
  <c r="AF11" i="2129"/>
  <c r="Q11" i="2129"/>
  <c r="P11" i="2129" s="1"/>
  <c r="AC11" i="2129" s="1"/>
  <c r="AF10" i="2129"/>
  <c r="AB10" i="2129"/>
  <c r="Q10" i="2129"/>
  <c r="P10" i="2129"/>
  <c r="AC10" i="2129" s="1"/>
  <c r="O10" i="2129"/>
  <c r="M10" i="2129"/>
  <c r="K10" i="2129"/>
  <c r="AF9" i="2129"/>
  <c r="AB9" i="2129"/>
  <c r="Q9" i="2129"/>
  <c r="P9" i="2129" s="1"/>
  <c r="AC9" i="2129" s="1"/>
  <c r="O9" i="2129"/>
  <c r="M9" i="2129"/>
  <c r="AF8" i="2129"/>
  <c r="Q8" i="2129"/>
  <c r="P8" i="2129"/>
  <c r="AC8" i="2129" s="1"/>
  <c r="AF7" i="2129"/>
  <c r="AB7" i="2129"/>
  <c r="Q7" i="2129"/>
  <c r="O7" i="2129"/>
  <c r="M7" i="2129"/>
  <c r="AF6" i="2129"/>
  <c r="Q6" i="2129"/>
  <c r="P6" i="2129"/>
  <c r="P27" i="16"/>
  <c r="P26" i="16"/>
  <c r="P25" i="16"/>
  <c r="P24" i="16"/>
  <c r="P23" i="16"/>
  <c r="P22" i="16"/>
  <c r="P21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4" i="2128"/>
  <c r="L23" i="2128"/>
  <c r="AB23" i="2128"/>
  <c r="L22" i="2128"/>
  <c r="AB22" i="2128" s="1"/>
  <c r="L21" i="2128"/>
  <c r="M21" i="2128" s="1"/>
  <c r="K21" i="2128"/>
  <c r="K20" i="2128"/>
  <c r="AF21" i="2128"/>
  <c r="AB21" i="2128"/>
  <c r="Q21" i="2128"/>
  <c r="P21" i="2128" s="1"/>
  <c r="AC21" i="2128" s="1"/>
  <c r="O21" i="2128"/>
  <c r="AF20" i="2128"/>
  <c r="AB20" i="2128"/>
  <c r="Q20" i="2128"/>
  <c r="P20" i="2128" s="1"/>
  <c r="AC20" i="2128" s="1"/>
  <c r="O20" i="2128"/>
  <c r="M20" i="2128"/>
  <c r="L17" i="2128"/>
  <c r="AB17" i="2128" s="1"/>
  <c r="K17" i="2128"/>
  <c r="AF17" i="2128"/>
  <c r="Q17" i="2128"/>
  <c r="O17" i="2128"/>
  <c r="M17" i="2128"/>
  <c r="L15" i="2128"/>
  <c r="O15" i="2128" s="1"/>
  <c r="K14" i="2128"/>
  <c r="L13" i="2128"/>
  <c r="L12" i="2128"/>
  <c r="K12" i="2128" s="1"/>
  <c r="L11" i="2128"/>
  <c r="M11" i="2128" s="1"/>
  <c r="L8" i="2128"/>
  <c r="K8" i="2128" s="1"/>
  <c r="AF8" i="2128"/>
  <c r="Q8" i="2128"/>
  <c r="L16" i="2128"/>
  <c r="K16" i="2128" s="1"/>
  <c r="L7" i="2128"/>
  <c r="L28" i="2128"/>
  <c r="K27" i="2128"/>
  <c r="K24" i="2128"/>
  <c r="K23" i="2128"/>
  <c r="K22" i="2128"/>
  <c r="K19" i="2128"/>
  <c r="K18" i="2128"/>
  <c r="K13" i="2128"/>
  <c r="K10" i="2128"/>
  <c r="K9" i="2128"/>
  <c r="K7" i="2128"/>
  <c r="A86" i="2128"/>
  <c r="A87" i="2128" s="1"/>
  <c r="A88" i="2128" s="1"/>
  <c r="A89" i="2128" s="1"/>
  <c r="A90" i="2128" s="1"/>
  <c r="A91" i="2128" s="1"/>
  <c r="AF70" i="2128"/>
  <c r="AF72" i="2128" s="1"/>
  <c r="AF69" i="2128"/>
  <c r="AA31" i="2128"/>
  <c r="Z31" i="2128"/>
  <c r="Y31" i="2128"/>
  <c r="X31" i="2128"/>
  <c r="W31" i="2128"/>
  <c r="V31" i="2128"/>
  <c r="U31" i="2128"/>
  <c r="T31" i="2128"/>
  <c r="S31" i="2128"/>
  <c r="R31" i="2128"/>
  <c r="N31" i="2128"/>
  <c r="J31" i="2128"/>
  <c r="I31" i="2128"/>
  <c r="AF30" i="2128"/>
  <c r="AB30" i="2128"/>
  <c r="Q30" i="2128"/>
  <c r="P30" i="2128"/>
  <c r="AC30" i="2128" s="1"/>
  <c r="O30" i="2128"/>
  <c r="M30" i="2128"/>
  <c r="K30" i="2128"/>
  <c r="AF29" i="2128"/>
  <c r="AB29" i="2128"/>
  <c r="Q29" i="2128"/>
  <c r="P29" i="2128"/>
  <c r="AC29" i="2128" s="1"/>
  <c r="AD29" i="2128" s="1"/>
  <c r="O29" i="2128"/>
  <c r="M29" i="2128"/>
  <c r="K29" i="2128"/>
  <c r="AF28" i="2128"/>
  <c r="Q28" i="2128"/>
  <c r="AF27" i="2128"/>
  <c r="AB27" i="2128"/>
  <c r="Q27" i="2128"/>
  <c r="P27" i="2128"/>
  <c r="AC27" i="2128" s="1"/>
  <c r="O27" i="2128"/>
  <c r="M27" i="2128"/>
  <c r="AF26" i="2128"/>
  <c r="AB26" i="2128"/>
  <c r="Q26" i="2128"/>
  <c r="P26" i="2128"/>
  <c r="AC26" i="2128" s="1"/>
  <c r="O26" i="2128"/>
  <c r="M26" i="2128"/>
  <c r="K26" i="2128"/>
  <c r="AF25" i="2128"/>
  <c r="AB25" i="2128"/>
  <c r="Q25" i="2128"/>
  <c r="P25" i="2128"/>
  <c r="AC25" i="2128" s="1"/>
  <c r="O25" i="2128"/>
  <c r="M25" i="2128"/>
  <c r="K25" i="2128"/>
  <c r="AF24" i="2128"/>
  <c r="Q24" i="2128"/>
  <c r="O24" i="2128"/>
  <c r="AF23" i="2128"/>
  <c r="Q23" i="2128"/>
  <c r="AF22" i="2128"/>
  <c r="Q22" i="2128"/>
  <c r="P22" i="2128" s="1"/>
  <c r="AC22" i="2128" s="1"/>
  <c r="O22" i="2128"/>
  <c r="AF19" i="2128"/>
  <c r="AB19" i="2128"/>
  <c r="Q19" i="2128"/>
  <c r="P19" i="2128" s="1"/>
  <c r="AC19" i="2128" s="1"/>
  <c r="O19" i="2128"/>
  <c r="M19" i="2128"/>
  <c r="AF18" i="2128"/>
  <c r="Q18" i="2128"/>
  <c r="O18" i="2128"/>
  <c r="AF16" i="2128"/>
  <c r="Q16" i="2128"/>
  <c r="AB16" i="2128"/>
  <c r="AF15" i="2128"/>
  <c r="Q15" i="2128"/>
  <c r="AF14" i="2128"/>
  <c r="AB14" i="2128"/>
  <c r="Q14" i="2128"/>
  <c r="P14" i="2128" s="1"/>
  <c r="AC14" i="2128" s="1"/>
  <c r="O14" i="2128"/>
  <c r="M14" i="2128"/>
  <c r="AF13" i="2128"/>
  <c r="Q13" i="2128"/>
  <c r="P13" i="2128"/>
  <c r="AC13" i="2128" s="1"/>
  <c r="AB13" i="2128"/>
  <c r="AF12" i="2128"/>
  <c r="Q12" i="2128"/>
  <c r="AB12" i="2128"/>
  <c r="AF11" i="2128"/>
  <c r="Q11" i="2128"/>
  <c r="O11" i="2128"/>
  <c r="AF10" i="2128"/>
  <c r="Q10" i="2128"/>
  <c r="O10" i="2128"/>
  <c r="AF9" i="2128"/>
  <c r="Q9" i="2128"/>
  <c r="P9" i="2128" s="1"/>
  <c r="AC9" i="2128" s="1"/>
  <c r="M9" i="2128"/>
  <c r="AF7" i="2128"/>
  <c r="Q7" i="2128"/>
  <c r="M7" i="2128"/>
  <c r="AF6" i="2128"/>
  <c r="AB6" i="2128"/>
  <c r="Q6" i="2128"/>
  <c r="P6" i="2128"/>
  <c r="O6" i="2128"/>
  <c r="M6" i="2128"/>
  <c r="K6" i="2128"/>
  <c r="O27" i="16"/>
  <c r="O26" i="16"/>
  <c r="O25" i="16"/>
  <c r="O24" i="16"/>
  <c r="O23" i="16"/>
  <c r="O22" i="16"/>
  <c r="O21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L25" i="2127"/>
  <c r="L24" i="2127"/>
  <c r="L21" i="2127"/>
  <c r="O21" i="2127" s="1"/>
  <c r="L20" i="2127"/>
  <c r="L19" i="2127"/>
  <c r="L18" i="2127"/>
  <c r="K18" i="2127" s="1"/>
  <c r="L17" i="2127"/>
  <c r="K17" i="2127" s="1"/>
  <c r="L16" i="2127"/>
  <c r="L15" i="2127"/>
  <c r="L13" i="2127"/>
  <c r="K13" i="2127" s="1"/>
  <c r="L12" i="2127"/>
  <c r="K12" i="2127" s="1"/>
  <c r="L11" i="2127"/>
  <c r="K11" i="2127" s="1"/>
  <c r="L10" i="2127"/>
  <c r="L9" i="2127"/>
  <c r="P9" i="2127" s="1"/>
  <c r="AC9" i="2127" s="1"/>
  <c r="K9" i="2127"/>
  <c r="L7" i="2127"/>
  <c r="K7" i="2127" s="1"/>
  <c r="K25" i="2127"/>
  <c r="K20" i="2127"/>
  <c r="K19" i="2127"/>
  <c r="K15" i="2127"/>
  <c r="K14" i="2127"/>
  <c r="K10" i="2127"/>
  <c r="A83" i="2127"/>
  <c r="A84" i="2127" s="1"/>
  <c r="A85" i="2127" s="1"/>
  <c r="A86" i="2127" s="1"/>
  <c r="A87" i="2127" s="1"/>
  <c r="A88" i="2127" s="1"/>
  <c r="AF67" i="2127"/>
  <c r="AF66" i="2127"/>
  <c r="AF69" i="2127" s="1"/>
  <c r="AA28" i="2127"/>
  <c r="Z28" i="2127"/>
  <c r="Y28" i="2127"/>
  <c r="X28" i="2127"/>
  <c r="W28" i="2127"/>
  <c r="V28" i="2127"/>
  <c r="U28" i="2127"/>
  <c r="T28" i="2127"/>
  <c r="S28" i="2127"/>
  <c r="R28" i="2127"/>
  <c r="N28" i="2127"/>
  <c r="J28" i="2127"/>
  <c r="I28" i="2127"/>
  <c r="AF27" i="2127"/>
  <c r="AB27" i="2127"/>
  <c r="Q27" i="2127"/>
  <c r="P27" i="2127"/>
  <c r="AC27" i="2127" s="1"/>
  <c r="O27" i="2127"/>
  <c r="M27" i="2127"/>
  <c r="K27" i="2127"/>
  <c r="AF26" i="2127"/>
  <c r="AC26" i="2127"/>
  <c r="AD26" i="2127" s="1"/>
  <c r="AB26" i="2127"/>
  <c r="Q26" i="2127"/>
  <c r="P26" i="2127"/>
  <c r="O26" i="2127"/>
  <c r="M26" i="2127"/>
  <c r="K26" i="2127"/>
  <c r="AF25" i="2127"/>
  <c r="Q25" i="2127"/>
  <c r="P25" i="2127" s="1"/>
  <c r="AC25" i="2127" s="1"/>
  <c r="AF24" i="2127"/>
  <c r="Q24" i="2127"/>
  <c r="AF23" i="2127"/>
  <c r="AB23" i="2127"/>
  <c r="Q23" i="2127"/>
  <c r="P23" i="2127"/>
  <c r="AC23" i="2127" s="1"/>
  <c r="AD23" i="2127" s="1"/>
  <c r="O23" i="2127"/>
  <c r="M23" i="2127"/>
  <c r="K23" i="2127"/>
  <c r="AF22" i="2127"/>
  <c r="AB22" i="2127"/>
  <c r="Q22" i="2127"/>
  <c r="P22" i="2127"/>
  <c r="AC22" i="2127" s="1"/>
  <c r="O22" i="2127"/>
  <c r="M22" i="2127"/>
  <c r="K22" i="2127"/>
  <c r="AF21" i="2127"/>
  <c r="Q21" i="2127"/>
  <c r="AF20" i="2127"/>
  <c r="AB20" i="2127"/>
  <c r="Q20" i="2127"/>
  <c r="P20" i="2127" s="1"/>
  <c r="AC20" i="2127" s="1"/>
  <c r="M20" i="2127"/>
  <c r="AF19" i="2127"/>
  <c r="Q19" i="2127"/>
  <c r="O19" i="2127"/>
  <c r="AB19" i="2127"/>
  <c r="AF18" i="2127"/>
  <c r="AB18" i="2127"/>
  <c r="Q18" i="2127"/>
  <c r="O18" i="2127"/>
  <c r="AF17" i="2127"/>
  <c r="Q17" i="2127"/>
  <c r="AF16" i="2127"/>
  <c r="AB16" i="2127"/>
  <c r="Q16" i="2127"/>
  <c r="P16" i="2127" s="1"/>
  <c r="AC16" i="2127" s="1"/>
  <c r="O16" i="2127"/>
  <c r="M16" i="2127"/>
  <c r="K16" i="2127"/>
  <c r="AF15" i="2127"/>
  <c r="AB15" i="2127"/>
  <c r="Q15" i="2127"/>
  <c r="P15" i="2127"/>
  <c r="AC15" i="2127" s="1"/>
  <c r="M15" i="2127"/>
  <c r="O15" i="2127"/>
  <c r="AF14" i="2127"/>
  <c r="AB14" i="2127"/>
  <c r="Q14" i="2127"/>
  <c r="P14" i="2127" s="1"/>
  <c r="AC14" i="2127" s="1"/>
  <c r="AD14" i="2127" s="1"/>
  <c r="O14" i="2127"/>
  <c r="M14" i="2127"/>
  <c r="AF13" i="2127"/>
  <c r="Q13" i="2127"/>
  <c r="AF12" i="2127"/>
  <c r="AB12" i="2127"/>
  <c r="Q12" i="2127"/>
  <c r="O12" i="2127"/>
  <c r="AF11" i="2127"/>
  <c r="AB11" i="2127"/>
  <c r="Q11" i="2127"/>
  <c r="P11" i="2127" s="1"/>
  <c r="AC11" i="2127" s="1"/>
  <c r="O11" i="2127"/>
  <c r="M11" i="2127"/>
  <c r="AF10" i="2127"/>
  <c r="Q10" i="2127"/>
  <c r="O10" i="2127"/>
  <c r="AB10" i="2127"/>
  <c r="AF9" i="2127"/>
  <c r="AB9" i="2127"/>
  <c r="Q9" i="2127"/>
  <c r="O9" i="2127"/>
  <c r="AF8" i="2127"/>
  <c r="AB8" i="2127"/>
  <c r="Q8" i="2127"/>
  <c r="P8" i="2127"/>
  <c r="AC8" i="2127" s="1"/>
  <c r="AD8" i="2127" s="1"/>
  <c r="O8" i="2127"/>
  <c r="M8" i="2127"/>
  <c r="K8" i="2127"/>
  <c r="AF7" i="2127"/>
  <c r="Q7" i="2127"/>
  <c r="O7" i="2127"/>
  <c r="AB7" i="2127"/>
  <c r="AF6" i="2127"/>
  <c r="AB6" i="2127"/>
  <c r="Q6" i="2127"/>
  <c r="P6" i="2127"/>
  <c r="O6" i="2127"/>
  <c r="M6" i="2127"/>
  <c r="K6" i="2127"/>
  <c r="AD16" i="2131" l="1"/>
  <c r="AD22" i="2131"/>
  <c r="K8" i="2131"/>
  <c r="AF71" i="2131"/>
  <c r="P6" i="2131"/>
  <c r="AC6" i="2131" s="1"/>
  <c r="AD17" i="2131"/>
  <c r="K9" i="2131"/>
  <c r="Q30" i="2131"/>
  <c r="P7" i="2131"/>
  <c r="AC7" i="2131" s="1"/>
  <c r="M6" i="2131"/>
  <c r="K6" i="2131"/>
  <c r="AD9" i="2131"/>
  <c r="AD19" i="2131"/>
  <c r="AD8" i="2131"/>
  <c r="U5" i="16" s="1"/>
  <c r="AD14" i="2131"/>
  <c r="AD13" i="2131"/>
  <c r="AD20" i="2131"/>
  <c r="AD6" i="2131"/>
  <c r="U3" i="16" s="1"/>
  <c r="AD11" i="2131"/>
  <c r="M7" i="2131"/>
  <c r="AB7" i="2131"/>
  <c r="P10" i="2131"/>
  <c r="AC10" i="2131" s="1"/>
  <c r="M12" i="2131"/>
  <c r="AB12" i="2131"/>
  <c r="AD12" i="2131" s="1"/>
  <c r="M15" i="2131"/>
  <c r="AB15" i="2131"/>
  <c r="AD15" i="2131" s="1"/>
  <c r="M18" i="2131"/>
  <c r="AB18" i="2131"/>
  <c r="AD18" i="2131" s="1"/>
  <c r="M21" i="2131"/>
  <c r="AB21" i="2131"/>
  <c r="L30" i="2131"/>
  <c r="O30" i="2131" s="1"/>
  <c r="O7" i="2131"/>
  <c r="O21" i="2131"/>
  <c r="M10" i="2131"/>
  <c r="AB10" i="2131"/>
  <c r="K30" i="2131"/>
  <c r="M11" i="2130"/>
  <c r="AD9" i="2130"/>
  <c r="AD23" i="2130"/>
  <c r="AD11" i="2130"/>
  <c r="AD25" i="2130"/>
  <c r="AD28" i="2130"/>
  <c r="AD27" i="2130"/>
  <c r="AD15" i="2130"/>
  <c r="AD21" i="2130"/>
  <c r="AD26" i="2130"/>
  <c r="P6" i="2130"/>
  <c r="Q31" i="2130"/>
  <c r="AD7" i="2130"/>
  <c r="AD8" i="2130"/>
  <c r="AD12" i="2130"/>
  <c r="AD24" i="2130"/>
  <c r="AD18" i="2130"/>
  <c r="AC6" i="2130"/>
  <c r="P31" i="2130"/>
  <c r="M6" i="2130"/>
  <c r="AB6" i="2130"/>
  <c r="M10" i="2130"/>
  <c r="AB10" i="2130"/>
  <c r="AD10" i="2130" s="1"/>
  <c r="M13" i="2130"/>
  <c r="AB13" i="2130"/>
  <c r="O14" i="2130"/>
  <c r="AD14" i="2130" s="1"/>
  <c r="M16" i="2130"/>
  <c r="AB16" i="2130"/>
  <c r="O17" i="2130"/>
  <c r="AD17" i="2130" s="1"/>
  <c r="M19" i="2130"/>
  <c r="AB19" i="2130"/>
  <c r="M22" i="2130"/>
  <c r="AB22" i="2130"/>
  <c r="L31" i="2130"/>
  <c r="O31" i="2130" s="1"/>
  <c r="O6" i="2130"/>
  <c r="O10" i="2130"/>
  <c r="O13" i="2130"/>
  <c r="O16" i="2130"/>
  <c r="O19" i="2130"/>
  <c r="O22" i="2130"/>
  <c r="AG20" i="16"/>
  <c r="AF71" i="2129"/>
  <c r="AD26" i="2129"/>
  <c r="M6" i="2129"/>
  <c r="AB6" i="2129"/>
  <c r="P12" i="2129"/>
  <c r="AC12" i="2129" s="1"/>
  <c r="AB13" i="2129"/>
  <c r="AD13" i="2129" s="1"/>
  <c r="AD28" i="2129"/>
  <c r="AB12" i="2129"/>
  <c r="O6" i="2129"/>
  <c r="M12" i="2129"/>
  <c r="M13" i="2129"/>
  <c r="AD22" i="2129"/>
  <c r="M15" i="2129"/>
  <c r="L30" i="2129"/>
  <c r="O30" i="2129" s="1"/>
  <c r="AB15" i="2129"/>
  <c r="K8" i="2129"/>
  <c r="K30" i="2129" s="1"/>
  <c r="M8" i="2129"/>
  <c r="AB8" i="2129"/>
  <c r="AD8" i="2129" s="1"/>
  <c r="AD23" i="2129"/>
  <c r="Q30" i="2129"/>
  <c r="AD29" i="2129"/>
  <c r="AD17" i="2129"/>
  <c r="AD10" i="2129"/>
  <c r="AD14" i="2129"/>
  <c r="AD16" i="2129"/>
  <c r="AD25" i="2129"/>
  <c r="AD24" i="2129"/>
  <c r="AD9" i="2129"/>
  <c r="AD18" i="2129"/>
  <c r="AD19" i="2129"/>
  <c r="AC6" i="2129"/>
  <c r="P7" i="2129"/>
  <c r="AC7" i="2129" s="1"/>
  <c r="AD7" i="2129" s="1"/>
  <c r="M11" i="2129"/>
  <c r="AB11" i="2129"/>
  <c r="O12" i="2129"/>
  <c r="O15" i="2129"/>
  <c r="M20" i="2129"/>
  <c r="AB20" i="2129"/>
  <c r="O21" i="2129"/>
  <c r="AD21" i="2129" s="1"/>
  <c r="M27" i="2129"/>
  <c r="AB27" i="2129"/>
  <c r="O11" i="2129"/>
  <c r="O20" i="2129"/>
  <c r="O27" i="2129"/>
  <c r="P23" i="2128"/>
  <c r="AC23" i="2128" s="1"/>
  <c r="AD21" i="2128"/>
  <c r="AD20" i="2128"/>
  <c r="P16" i="2128"/>
  <c r="AC16" i="2128" s="1"/>
  <c r="AB8" i="2128"/>
  <c r="P17" i="2128"/>
  <c r="AC17" i="2128" s="1"/>
  <c r="AD17" i="2128" s="1"/>
  <c r="P28" i="2128"/>
  <c r="AC28" i="2128" s="1"/>
  <c r="AD28" i="2128" s="1"/>
  <c r="AD26" i="2128"/>
  <c r="AD30" i="2128"/>
  <c r="K11" i="2128"/>
  <c r="AB11" i="2128"/>
  <c r="AB15" i="2128"/>
  <c r="AD25" i="2128"/>
  <c r="P15" i="2128"/>
  <c r="AC15" i="2128" s="1"/>
  <c r="K15" i="2128"/>
  <c r="K28" i="2128"/>
  <c r="O12" i="2128"/>
  <c r="P12" i="2128"/>
  <c r="AC12" i="2128" s="1"/>
  <c r="P11" i="2128"/>
  <c r="AC11" i="2128" s="1"/>
  <c r="AD11" i="2128" s="1"/>
  <c r="Q31" i="2128"/>
  <c r="O8" i="2128"/>
  <c r="P8" i="2128"/>
  <c r="AC8" i="2128" s="1"/>
  <c r="M8" i="2128"/>
  <c r="O28" i="2128"/>
  <c r="AB28" i="2128"/>
  <c r="AD14" i="2128"/>
  <c r="AD19" i="2128"/>
  <c r="AD27" i="2128"/>
  <c r="AD22" i="2128"/>
  <c r="AB7" i="2128"/>
  <c r="AB10" i="2128"/>
  <c r="O7" i="2128"/>
  <c r="AB9" i="2128"/>
  <c r="M13" i="2128"/>
  <c r="M16" i="2128"/>
  <c r="AC6" i="2128"/>
  <c r="P7" i="2128"/>
  <c r="AC7" i="2128" s="1"/>
  <c r="O9" i="2128"/>
  <c r="P10" i="2128"/>
  <c r="AC10" i="2128" s="1"/>
  <c r="M12" i="2128"/>
  <c r="O13" i="2128"/>
  <c r="AD13" i="2128" s="1"/>
  <c r="M15" i="2128"/>
  <c r="O16" i="2128"/>
  <c r="AD16" i="2128" s="1"/>
  <c r="P18" i="2128"/>
  <c r="AC18" i="2128" s="1"/>
  <c r="M22" i="2128"/>
  <c r="O23" i="2128"/>
  <c r="AD23" i="2128" s="1"/>
  <c r="P24" i="2128"/>
  <c r="AC24" i="2128" s="1"/>
  <c r="M28" i="2128"/>
  <c r="L31" i="2128"/>
  <c r="O31" i="2128" s="1"/>
  <c r="M10" i="2128"/>
  <c r="M18" i="2128"/>
  <c r="M24" i="2128"/>
  <c r="AB24" i="2128"/>
  <c r="AB18" i="2128"/>
  <c r="M23" i="2128"/>
  <c r="M9" i="2127"/>
  <c r="P12" i="2127"/>
  <c r="AC12" i="2127" s="1"/>
  <c r="AB13" i="2127"/>
  <c r="M18" i="2127"/>
  <c r="AB21" i="2127"/>
  <c r="M12" i="2127"/>
  <c r="AD27" i="2127"/>
  <c r="K21" i="2127"/>
  <c r="P24" i="2127"/>
  <c r="AC24" i="2127" s="1"/>
  <c r="O13" i="2127"/>
  <c r="P18" i="2127"/>
  <c r="AC18" i="2127" s="1"/>
  <c r="AD18" i="2127" s="1"/>
  <c r="O24" i="2127"/>
  <c r="K24" i="2127"/>
  <c r="P17" i="2127"/>
  <c r="AC17" i="2127" s="1"/>
  <c r="AD16" i="2127"/>
  <c r="Q28" i="2127"/>
  <c r="AD11" i="2127"/>
  <c r="AD22" i="2127"/>
  <c r="AD12" i="2127"/>
  <c r="AD9" i="2127"/>
  <c r="AD15" i="2127"/>
  <c r="AC6" i="2127"/>
  <c r="P7" i="2127"/>
  <c r="AC7" i="2127" s="1"/>
  <c r="AD7" i="2127" s="1"/>
  <c r="P10" i="2127"/>
  <c r="AC10" i="2127" s="1"/>
  <c r="AD10" i="2127" s="1"/>
  <c r="P13" i="2127"/>
  <c r="AC13" i="2127" s="1"/>
  <c r="AD13" i="2127" s="1"/>
  <c r="M17" i="2127"/>
  <c r="AB17" i="2127"/>
  <c r="AB28" i="2127" s="1"/>
  <c r="P19" i="2127"/>
  <c r="AC19" i="2127" s="1"/>
  <c r="AD19" i="2127" s="1"/>
  <c r="O20" i="2127"/>
  <c r="AD20" i="2127" s="1"/>
  <c r="P21" i="2127"/>
  <c r="AC21" i="2127" s="1"/>
  <c r="AD21" i="2127" s="1"/>
  <c r="M25" i="2127"/>
  <c r="AB25" i="2127"/>
  <c r="L28" i="2127"/>
  <c r="O28" i="2127" s="1"/>
  <c r="O17" i="2127"/>
  <c r="M24" i="2127"/>
  <c r="AB24" i="2127"/>
  <c r="O25" i="2127"/>
  <c r="M7" i="2127"/>
  <c r="M10" i="2127"/>
  <c r="M13" i="2127"/>
  <c r="M19" i="2127"/>
  <c r="M21" i="2127"/>
  <c r="AB30" i="2131" l="1"/>
  <c r="AD7" i="2131"/>
  <c r="U4" i="16" s="1"/>
  <c r="M30" i="2131"/>
  <c r="AD21" i="2131"/>
  <c r="AD10" i="2131"/>
  <c r="P30" i="2131"/>
  <c r="AC30" i="2131"/>
  <c r="AD22" i="2130"/>
  <c r="AD19" i="2130"/>
  <c r="AD13" i="2130"/>
  <c r="AD16" i="2130"/>
  <c r="AB31" i="2130"/>
  <c r="M31" i="2130"/>
  <c r="K31" i="2130"/>
  <c r="AD6" i="2130"/>
  <c r="AD31" i="2130" s="1"/>
  <c r="AE9" i="2130" s="1"/>
  <c r="AC31" i="2130"/>
  <c r="AD12" i="2129"/>
  <c r="AD15" i="2129"/>
  <c r="AD11" i="2129"/>
  <c r="AD20" i="2129"/>
  <c r="AD27" i="2129"/>
  <c r="M30" i="2129"/>
  <c r="P30" i="2129"/>
  <c r="AB30" i="2129"/>
  <c r="AC30" i="2129"/>
  <c r="AD6" i="2129"/>
  <c r="K31" i="2128"/>
  <c r="AD12" i="2128"/>
  <c r="AD15" i="2128"/>
  <c r="AD9" i="2128"/>
  <c r="AD8" i="2128"/>
  <c r="AD24" i="2128"/>
  <c r="M31" i="2128"/>
  <c r="AB31" i="2128"/>
  <c r="AD7" i="2128"/>
  <c r="AD18" i="2128"/>
  <c r="AD10" i="2128"/>
  <c r="P31" i="2128"/>
  <c r="AC31" i="2128"/>
  <c r="AD6" i="2128"/>
  <c r="AD24" i="2127"/>
  <c r="AD25" i="2127"/>
  <c r="M28" i="2127"/>
  <c r="AD17" i="2127"/>
  <c r="K28" i="2127"/>
  <c r="AC28" i="2127"/>
  <c r="AD6" i="2127"/>
  <c r="O3" i="16" s="1"/>
  <c r="P28" i="2127"/>
  <c r="AD30" i="2131" l="1"/>
  <c r="AE27" i="2131" s="1"/>
  <c r="AE30" i="2130"/>
  <c r="AE28" i="2130"/>
  <c r="AE26" i="2130"/>
  <c r="AE24" i="2130"/>
  <c r="AE22" i="2130"/>
  <c r="AE19" i="2130"/>
  <c r="AE16" i="2130"/>
  <c r="AE13" i="2130"/>
  <c r="AE10" i="2130"/>
  <c r="AE6" i="2130"/>
  <c r="AE17" i="2130"/>
  <c r="AE14" i="2130"/>
  <c r="AE29" i="2130"/>
  <c r="AE27" i="2130"/>
  <c r="AE25" i="2130"/>
  <c r="AE23" i="2130"/>
  <c r="AE20" i="2130"/>
  <c r="AE11" i="2130"/>
  <c r="AE7" i="2130"/>
  <c r="AE21" i="2130"/>
  <c r="AE18" i="2130"/>
  <c r="AE15" i="2130"/>
  <c r="AE12" i="2130"/>
  <c r="AE8" i="2130"/>
  <c r="AD30" i="2129"/>
  <c r="AE23" i="2129" s="1"/>
  <c r="AD31" i="2128"/>
  <c r="AD28" i="2127"/>
  <c r="AE20" i="2127" s="1"/>
  <c r="AE19" i="2131" l="1"/>
  <c r="AE6" i="2131"/>
  <c r="AE21" i="2131"/>
  <c r="AE11" i="2131"/>
  <c r="AE8" i="2131"/>
  <c r="AE23" i="2131"/>
  <c r="AE13" i="2131"/>
  <c r="AE28" i="2131"/>
  <c r="AE7" i="2131"/>
  <c r="AE20" i="2131"/>
  <c r="AE9" i="2131"/>
  <c r="AE29" i="2131"/>
  <c r="AE12" i="2131"/>
  <c r="AE14" i="2131"/>
  <c r="AE24" i="2131"/>
  <c r="AE10" i="2131"/>
  <c r="AE16" i="2131"/>
  <c r="AE25" i="2131"/>
  <c r="AE15" i="2131"/>
  <c r="AE17" i="2131"/>
  <c r="AE26" i="2131"/>
  <c r="AE22" i="2131"/>
  <c r="AE18" i="2131"/>
  <c r="AE25" i="2129"/>
  <c r="AE16" i="2129"/>
  <c r="AE28" i="2129"/>
  <c r="AE24" i="2129"/>
  <c r="AE12" i="2129"/>
  <c r="AE20" i="2129"/>
  <c r="AE26" i="2129"/>
  <c r="AE15" i="2129"/>
  <c r="AE27" i="2129"/>
  <c r="AE10" i="2129"/>
  <c r="AE18" i="2129"/>
  <c r="AE21" i="2129"/>
  <c r="AE22" i="2129"/>
  <c r="AE7" i="2129"/>
  <c r="AE6" i="2129"/>
  <c r="AE17" i="2129"/>
  <c r="AE11" i="2129"/>
  <c r="AE29" i="2129"/>
  <c r="AE8" i="2129"/>
  <c r="AE19" i="2129"/>
  <c r="AE13" i="2129"/>
  <c r="AE9" i="2129"/>
  <c r="AE14" i="2129"/>
  <c r="AE17" i="2128"/>
  <c r="AE20" i="2128"/>
  <c r="AE21" i="2128"/>
  <c r="AE30" i="2128"/>
  <c r="AE8" i="2128"/>
  <c r="AE14" i="2128"/>
  <c r="AE9" i="2128"/>
  <c r="AE19" i="2128"/>
  <c r="AE10" i="2128"/>
  <c r="AE25" i="2128"/>
  <c r="AE18" i="2128"/>
  <c r="AE22" i="2128"/>
  <c r="AE27" i="2128"/>
  <c r="AE13" i="2128"/>
  <c r="AE24" i="2128"/>
  <c r="AE28" i="2128"/>
  <c r="AE7" i="2128"/>
  <c r="AE23" i="2128"/>
  <c r="AE15" i="2128"/>
  <c r="AE26" i="2128"/>
  <c r="AE6" i="2128"/>
  <c r="AE11" i="2128"/>
  <c r="AE29" i="2128"/>
  <c r="AE16" i="2128"/>
  <c r="AE12" i="2128"/>
  <c r="AE24" i="2127"/>
  <c r="AE11" i="2127"/>
  <c r="AE22" i="2127"/>
  <c r="AE21" i="2127"/>
  <c r="AE14" i="2127"/>
  <c r="AE6" i="2127"/>
  <c r="AE18" i="2127"/>
  <c r="AE16" i="2127"/>
  <c r="AE13" i="2127"/>
  <c r="AE26" i="2127"/>
  <c r="AE25" i="2127"/>
  <c r="AE12" i="2127"/>
  <c r="AE8" i="2127"/>
  <c r="AE19" i="2127"/>
  <c r="AE10" i="2127"/>
  <c r="AE15" i="2127"/>
  <c r="AE27" i="2127"/>
  <c r="AE7" i="2127"/>
  <c r="AE23" i="2127"/>
  <c r="AE17" i="2127"/>
  <c r="AE9" i="2127"/>
  <c r="N27" i="16" l="1"/>
  <c r="N26" i="16"/>
  <c r="N25" i="16"/>
  <c r="N24" i="16"/>
  <c r="N23" i="16"/>
  <c r="N22" i="16"/>
  <c r="N21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22" i="2126"/>
  <c r="K22" i="2126" s="1"/>
  <c r="L21" i="2126"/>
  <c r="K21" i="2126" s="1"/>
  <c r="AF21" i="2126"/>
  <c r="Q21" i="2126"/>
  <c r="P21" i="2126" s="1"/>
  <c r="AC21" i="2126" s="1"/>
  <c r="L19" i="2126"/>
  <c r="L18" i="2126"/>
  <c r="AB18" i="2126" s="1"/>
  <c r="L17" i="2126"/>
  <c r="K17" i="2126" s="1"/>
  <c r="K16" i="2126"/>
  <c r="L15" i="2126"/>
  <c r="K14" i="2126"/>
  <c r="L13" i="2126"/>
  <c r="L12" i="2126"/>
  <c r="K12" i="2126" s="1"/>
  <c r="L10" i="2126"/>
  <c r="L9" i="2126"/>
  <c r="P9" i="2126" s="1"/>
  <c r="AC9" i="2126" s="1"/>
  <c r="L7" i="2126"/>
  <c r="L26" i="2126"/>
  <c r="O26" i="2126" s="1"/>
  <c r="L25" i="2126"/>
  <c r="K25" i="2126"/>
  <c r="K20" i="2126"/>
  <c r="K19" i="2126"/>
  <c r="K18" i="2126"/>
  <c r="K13" i="2126"/>
  <c r="K10" i="2126"/>
  <c r="K7" i="2126"/>
  <c r="K6" i="2126"/>
  <c r="A84" i="2126"/>
  <c r="A85" i="2126" s="1"/>
  <c r="A86" i="2126" s="1"/>
  <c r="A87" i="2126" s="1"/>
  <c r="A88" i="2126" s="1"/>
  <c r="A89" i="2126" s="1"/>
  <c r="AF68" i="2126"/>
  <c r="AF67" i="2126"/>
  <c r="AF70" i="2126" s="1"/>
  <c r="AA29" i="2126"/>
  <c r="Z29" i="2126"/>
  <c r="Y29" i="2126"/>
  <c r="X29" i="2126"/>
  <c r="W29" i="2126"/>
  <c r="V29" i="2126"/>
  <c r="U29" i="2126"/>
  <c r="T29" i="2126"/>
  <c r="S29" i="2126"/>
  <c r="R29" i="2126"/>
  <c r="N29" i="2126"/>
  <c r="J29" i="2126"/>
  <c r="I29" i="2126"/>
  <c r="AF28" i="2126"/>
  <c r="AB28" i="2126"/>
  <c r="Q28" i="2126"/>
  <c r="P28" i="2126"/>
  <c r="AC28" i="2126" s="1"/>
  <c r="AD28" i="2126" s="1"/>
  <c r="O28" i="2126"/>
  <c r="M28" i="2126"/>
  <c r="K28" i="2126"/>
  <c r="AF27" i="2126"/>
  <c r="AB27" i="2126"/>
  <c r="Q27" i="2126"/>
  <c r="P27" i="2126"/>
  <c r="AC27" i="2126" s="1"/>
  <c r="AD27" i="2126" s="1"/>
  <c r="O27" i="2126"/>
  <c r="M27" i="2126"/>
  <c r="K27" i="2126"/>
  <c r="AF26" i="2126"/>
  <c r="Q26" i="2126"/>
  <c r="P26" i="2126" s="1"/>
  <c r="AC26" i="2126" s="1"/>
  <c r="AB26" i="2126"/>
  <c r="AF25" i="2126"/>
  <c r="Q25" i="2126"/>
  <c r="O25" i="2126"/>
  <c r="M25" i="2126"/>
  <c r="P25" i="2126"/>
  <c r="AC25" i="2126" s="1"/>
  <c r="AF24" i="2126"/>
  <c r="AB24" i="2126"/>
  <c r="Q24" i="2126"/>
  <c r="P24" i="2126"/>
  <c r="AC24" i="2126" s="1"/>
  <c r="O24" i="2126"/>
  <c r="M24" i="2126"/>
  <c r="K24" i="2126"/>
  <c r="AF23" i="2126"/>
  <c r="AB23" i="2126"/>
  <c r="Q23" i="2126"/>
  <c r="P23" i="2126"/>
  <c r="AC23" i="2126" s="1"/>
  <c r="O23" i="2126"/>
  <c r="M23" i="2126"/>
  <c r="K23" i="2126"/>
  <c r="AF22" i="2126"/>
  <c r="AB22" i="2126"/>
  <c r="Q22" i="2126"/>
  <c r="M22" i="2126"/>
  <c r="O22" i="2126"/>
  <c r="AF20" i="2126"/>
  <c r="Q20" i="2126"/>
  <c r="AB20" i="2126"/>
  <c r="AF19" i="2126"/>
  <c r="Q19" i="2126"/>
  <c r="P19" i="2126" s="1"/>
  <c r="AC19" i="2126" s="1"/>
  <c r="O19" i="2126"/>
  <c r="AB19" i="2126"/>
  <c r="AF18" i="2126"/>
  <c r="Q18" i="2126"/>
  <c r="M18" i="2126"/>
  <c r="AF17" i="2126"/>
  <c r="AB17" i="2126"/>
  <c r="Q17" i="2126"/>
  <c r="P17" i="2126" s="1"/>
  <c r="AC17" i="2126" s="1"/>
  <c r="O17" i="2126"/>
  <c r="M17" i="2126"/>
  <c r="AF16" i="2126"/>
  <c r="Q16" i="2126"/>
  <c r="P16" i="2126"/>
  <c r="AC16" i="2126" s="1"/>
  <c r="O16" i="2126"/>
  <c r="AB16" i="2126"/>
  <c r="AF15" i="2126"/>
  <c r="Q15" i="2126"/>
  <c r="O15" i="2126"/>
  <c r="M15" i="2126"/>
  <c r="AF14" i="2126"/>
  <c r="AB14" i="2126"/>
  <c r="Q14" i="2126"/>
  <c r="P14" i="2126" s="1"/>
  <c r="AC14" i="2126" s="1"/>
  <c r="O14" i="2126"/>
  <c r="M14" i="2126"/>
  <c r="AF13" i="2126"/>
  <c r="Q13" i="2126"/>
  <c r="P13" i="2126" s="1"/>
  <c r="AC13" i="2126" s="1"/>
  <c r="O13" i="2126"/>
  <c r="M13" i="2126"/>
  <c r="AB13" i="2126"/>
  <c r="AF12" i="2126"/>
  <c r="Q12" i="2126"/>
  <c r="P12" i="2126" s="1"/>
  <c r="AC12" i="2126" s="1"/>
  <c r="O12" i="2126"/>
  <c r="AF11" i="2126"/>
  <c r="AB11" i="2126"/>
  <c r="Q11" i="2126"/>
  <c r="P11" i="2126"/>
  <c r="AC11" i="2126" s="1"/>
  <c r="O11" i="2126"/>
  <c r="M11" i="2126"/>
  <c r="K11" i="2126"/>
  <c r="AF10" i="2126"/>
  <c r="Q10" i="2126"/>
  <c r="P10" i="2126"/>
  <c r="AC10" i="2126" s="1"/>
  <c r="O10" i="2126"/>
  <c r="AF9" i="2126"/>
  <c r="Q9" i="2126"/>
  <c r="O9" i="2126"/>
  <c r="AF8" i="2126"/>
  <c r="AB8" i="2126"/>
  <c r="Q8" i="2126"/>
  <c r="P8" i="2126"/>
  <c r="AC8" i="2126" s="1"/>
  <c r="AD8" i="2126" s="1"/>
  <c r="O8" i="2126"/>
  <c r="M8" i="2126"/>
  <c r="K8" i="2126"/>
  <c r="AF7" i="2126"/>
  <c r="Q7" i="2126"/>
  <c r="P7" i="2126" s="1"/>
  <c r="AC7" i="2126" s="1"/>
  <c r="M7" i="2126"/>
  <c r="O7" i="2126"/>
  <c r="AF6" i="2126"/>
  <c r="Q6" i="2126"/>
  <c r="O6" i="2126"/>
  <c r="P6" i="2126"/>
  <c r="M27" i="16"/>
  <c r="M26" i="16"/>
  <c r="M25" i="16"/>
  <c r="M24" i="16"/>
  <c r="M23" i="16"/>
  <c r="M22" i="16"/>
  <c r="M21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25" i="2125"/>
  <c r="K25" i="2125"/>
  <c r="L24" i="2125"/>
  <c r="K24" i="2125" s="1"/>
  <c r="L21" i="2125"/>
  <c r="K21" i="2125" s="1"/>
  <c r="L20" i="2125"/>
  <c r="L19" i="2125"/>
  <c r="K19" i="2125" s="1"/>
  <c r="L18" i="2125"/>
  <c r="K18" i="2125"/>
  <c r="L16" i="2125"/>
  <c r="M16" i="2125" s="1"/>
  <c r="L15" i="2125"/>
  <c r="L13" i="2125"/>
  <c r="L12" i="2125"/>
  <c r="K12" i="2125" s="1"/>
  <c r="L10" i="2125"/>
  <c r="L9" i="2125"/>
  <c r="K9" i="2125" s="1"/>
  <c r="L7" i="2125"/>
  <c r="K7" i="2125" s="1"/>
  <c r="L6" i="2125"/>
  <c r="K20" i="2125"/>
  <c r="K16" i="2125"/>
  <c r="K15" i="2125"/>
  <c r="K13" i="2125"/>
  <c r="K11" i="2125"/>
  <c r="K10" i="2125"/>
  <c r="A84" i="2125"/>
  <c r="A85" i="2125" s="1"/>
  <c r="A86" i="2125" s="1"/>
  <c r="A87" i="2125" s="1"/>
  <c r="A88" i="2125" s="1"/>
  <c r="A83" i="2125"/>
  <c r="AF67" i="2125"/>
  <c r="AF66" i="2125"/>
  <c r="AF69" i="2125" s="1"/>
  <c r="AA28" i="2125"/>
  <c r="Z28" i="2125"/>
  <c r="Y28" i="2125"/>
  <c r="X28" i="2125"/>
  <c r="W28" i="2125"/>
  <c r="V28" i="2125"/>
  <c r="U28" i="2125"/>
  <c r="T28" i="2125"/>
  <c r="S28" i="2125"/>
  <c r="R28" i="2125"/>
  <c r="N28" i="2125"/>
  <c r="J28" i="2125"/>
  <c r="I28" i="2125"/>
  <c r="AF27" i="2125"/>
  <c r="AB27" i="2125"/>
  <c r="Q27" i="2125"/>
  <c r="P27" i="2125"/>
  <c r="AC27" i="2125" s="1"/>
  <c r="AD27" i="2125" s="1"/>
  <c r="O27" i="2125"/>
  <c r="M27" i="2125"/>
  <c r="K27" i="2125"/>
  <c r="AF26" i="2125"/>
  <c r="AB26" i="2125"/>
  <c r="Q26" i="2125"/>
  <c r="P26" i="2125"/>
  <c r="AC26" i="2125" s="1"/>
  <c r="AD26" i="2125" s="1"/>
  <c r="O26" i="2125"/>
  <c r="M26" i="2125"/>
  <c r="K26" i="2125"/>
  <c r="AF25" i="2125"/>
  <c r="AB25" i="2125"/>
  <c r="Q25" i="2125"/>
  <c r="P25" i="2125" s="1"/>
  <c r="AC25" i="2125" s="1"/>
  <c r="O25" i="2125"/>
  <c r="M25" i="2125"/>
  <c r="AF24" i="2125"/>
  <c r="AB24" i="2125"/>
  <c r="Q24" i="2125"/>
  <c r="P24" i="2125"/>
  <c r="AC24" i="2125" s="1"/>
  <c r="M24" i="2125"/>
  <c r="AF23" i="2125"/>
  <c r="AB23" i="2125"/>
  <c r="Q23" i="2125"/>
  <c r="P23" i="2125"/>
  <c r="AC23" i="2125" s="1"/>
  <c r="AD23" i="2125" s="1"/>
  <c r="O23" i="2125"/>
  <c r="M23" i="2125"/>
  <c r="K23" i="2125"/>
  <c r="AF22" i="2125"/>
  <c r="AC22" i="2125"/>
  <c r="AD22" i="2125" s="1"/>
  <c r="AB22" i="2125"/>
  <c r="Q22" i="2125"/>
  <c r="P22" i="2125"/>
  <c r="O22" i="2125"/>
  <c r="M22" i="2125"/>
  <c r="K22" i="2125"/>
  <c r="AF21" i="2125"/>
  <c r="Q21" i="2125"/>
  <c r="P21" i="2125"/>
  <c r="AC21" i="2125" s="1"/>
  <c r="AF20" i="2125"/>
  <c r="AB20" i="2125"/>
  <c r="Q20" i="2125"/>
  <c r="P20" i="2125"/>
  <c r="AC20" i="2125" s="1"/>
  <c r="AD20" i="2125" s="1"/>
  <c r="M20" i="2125"/>
  <c r="O20" i="2125"/>
  <c r="AF19" i="2125"/>
  <c r="AB19" i="2125"/>
  <c r="Q19" i="2125"/>
  <c r="P19" i="2125" s="1"/>
  <c r="AC19" i="2125" s="1"/>
  <c r="O19" i="2125"/>
  <c r="M19" i="2125"/>
  <c r="AF18" i="2125"/>
  <c r="Q18" i="2125"/>
  <c r="P18" i="2125" s="1"/>
  <c r="AC18" i="2125" s="1"/>
  <c r="AF17" i="2125"/>
  <c r="AB17" i="2125"/>
  <c r="Q17" i="2125"/>
  <c r="P17" i="2125"/>
  <c r="AC17" i="2125" s="1"/>
  <c r="O17" i="2125"/>
  <c r="M17" i="2125"/>
  <c r="K17" i="2125"/>
  <c r="AF16" i="2125"/>
  <c r="Q16" i="2125"/>
  <c r="AF15" i="2125"/>
  <c r="Q15" i="2125"/>
  <c r="P15" i="2125"/>
  <c r="AC15" i="2125" s="1"/>
  <c r="AF14" i="2125"/>
  <c r="AB14" i="2125"/>
  <c r="Q14" i="2125"/>
  <c r="P14" i="2125"/>
  <c r="AC14" i="2125" s="1"/>
  <c r="AD14" i="2125" s="1"/>
  <c r="O14" i="2125"/>
  <c r="M14" i="2125"/>
  <c r="K14" i="2125"/>
  <c r="AF13" i="2125"/>
  <c r="AB13" i="2125"/>
  <c r="Q13" i="2125"/>
  <c r="M13" i="2125"/>
  <c r="AF12" i="2125"/>
  <c r="Q12" i="2125"/>
  <c r="P12" i="2125" s="1"/>
  <c r="AC12" i="2125" s="1"/>
  <c r="AF11" i="2125"/>
  <c r="AB11" i="2125"/>
  <c r="Q11" i="2125"/>
  <c r="P11" i="2125"/>
  <c r="AC11" i="2125" s="1"/>
  <c r="M11" i="2125"/>
  <c r="O11" i="2125"/>
  <c r="AF10" i="2125"/>
  <c r="Q10" i="2125"/>
  <c r="O10" i="2125"/>
  <c r="AB10" i="2125"/>
  <c r="AF9" i="2125"/>
  <c r="Q9" i="2125"/>
  <c r="P9" i="2125"/>
  <c r="AC9" i="2125" s="1"/>
  <c r="AF8" i="2125"/>
  <c r="AB8" i="2125"/>
  <c r="Q8" i="2125"/>
  <c r="P8" i="2125"/>
  <c r="AC8" i="2125" s="1"/>
  <c r="O8" i="2125"/>
  <c r="M8" i="2125"/>
  <c r="K8" i="2125"/>
  <c r="AF7" i="2125"/>
  <c r="Q7" i="2125"/>
  <c r="O7" i="2125"/>
  <c r="AB7" i="2125"/>
  <c r="AF6" i="2125"/>
  <c r="AB6" i="2125"/>
  <c r="Q6" i="2125"/>
  <c r="O6" i="2125"/>
  <c r="M6" i="2125"/>
  <c r="K6" i="2125"/>
  <c r="L27" i="16"/>
  <c r="L26" i="16"/>
  <c r="L25" i="16"/>
  <c r="L24" i="16"/>
  <c r="L23" i="16"/>
  <c r="L22" i="16"/>
  <c r="L21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1" i="2124"/>
  <c r="K21" i="2124" s="1"/>
  <c r="L20" i="2124"/>
  <c r="O20" i="2124" s="1"/>
  <c r="L18" i="2124"/>
  <c r="L16" i="2124"/>
  <c r="K16" i="2124" s="1"/>
  <c r="L15" i="2124"/>
  <c r="L13" i="2124"/>
  <c r="L12" i="2124"/>
  <c r="L11" i="2124"/>
  <c r="K11" i="2124" s="1"/>
  <c r="L10" i="2124"/>
  <c r="L9" i="2124"/>
  <c r="O9" i="2124" s="1"/>
  <c r="L7" i="2124"/>
  <c r="AB7" i="2124" s="1"/>
  <c r="K18" i="2124"/>
  <c r="K12" i="2124"/>
  <c r="K10" i="2124"/>
  <c r="A83" i="2124"/>
  <c r="A84" i="2124" s="1"/>
  <c r="A85" i="2124" s="1"/>
  <c r="A86" i="2124" s="1"/>
  <c r="A87" i="2124" s="1"/>
  <c r="A88" i="2124" s="1"/>
  <c r="AF67" i="2124"/>
  <c r="AF66" i="2124"/>
  <c r="AF69" i="2124" s="1"/>
  <c r="AA28" i="2124"/>
  <c r="Z28" i="2124"/>
  <c r="Y28" i="2124"/>
  <c r="X28" i="2124"/>
  <c r="W28" i="2124"/>
  <c r="V28" i="2124"/>
  <c r="U28" i="2124"/>
  <c r="T28" i="2124"/>
  <c r="S28" i="2124"/>
  <c r="R28" i="2124"/>
  <c r="N28" i="2124"/>
  <c r="J28" i="2124"/>
  <c r="I28" i="2124"/>
  <c r="AF27" i="2124"/>
  <c r="AB27" i="2124"/>
  <c r="Q27" i="2124"/>
  <c r="P27" i="2124"/>
  <c r="AC27" i="2124" s="1"/>
  <c r="AD27" i="2124" s="1"/>
  <c r="O27" i="2124"/>
  <c r="M27" i="2124"/>
  <c r="K27" i="2124"/>
  <c r="AF26" i="2124"/>
  <c r="AC26" i="2124"/>
  <c r="AD26" i="2124" s="1"/>
  <c r="AB26" i="2124"/>
  <c r="Q26" i="2124"/>
  <c r="P26" i="2124"/>
  <c r="O26" i="2124"/>
  <c r="M26" i="2124"/>
  <c r="K26" i="2124"/>
  <c r="AF25" i="2124"/>
  <c r="AB25" i="2124"/>
  <c r="Q25" i="2124"/>
  <c r="P25" i="2124"/>
  <c r="AC25" i="2124" s="1"/>
  <c r="AD25" i="2124" s="1"/>
  <c r="O25" i="2124"/>
  <c r="M25" i="2124"/>
  <c r="K25" i="2124"/>
  <c r="AF24" i="2124"/>
  <c r="AC24" i="2124"/>
  <c r="AD24" i="2124" s="1"/>
  <c r="AB24" i="2124"/>
  <c r="Q24" i="2124"/>
  <c r="P24" i="2124"/>
  <c r="O24" i="2124"/>
  <c r="M24" i="2124"/>
  <c r="K24" i="2124"/>
  <c r="AF23" i="2124"/>
  <c r="AB23" i="2124"/>
  <c r="Q23" i="2124"/>
  <c r="P23" i="2124"/>
  <c r="AC23" i="2124" s="1"/>
  <c r="AD23" i="2124" s="1"/>
  <c r="O23" i="2124"/>
  <c r="M23" i="2124"/>
  <c r="K23" i="2124"/>
  <c r="AF22" i="2124"/>
  <c r="AC22" i="2124"/>
  <c r="AD22" i="2124" s="1"/>
  <c r="AB22" i="2124"/>
  <c r="Q22" i="2124"/>
  <c r="P22" i="2124"/>
  <c r="O22" i="2124"/>
  <c r="M22" i="2124"/>
  <c r="K22" i="2124"/>
  <c r="AF21" i="2124"/>
  <c r="AB21" i="2124"/>
  <c r="Q21" i="2124"/>
  <c r="M21" i="2124"/>
  <c r="AF20" i="2124"/>
  <c r="Q20" i="2124"/>
  <c r="M20" i="2124"/>
  <c r="AF19" i="2124"/>
  <c r="AB19" i="2124"/>
  <c r="Q19" i="2124"/>
  <c r="P19" i="2124" s="1"/>
  <c r="AC19" i="2124" s="1"/>
  <c r="O19" i="2124"/>
  <c r="M19" i="2124"/>
  <c r="K19" i="2124"/>
  <c r="AF18" i="2124"/>
  <c r="AB18" i="2124"/>
  <c r="Q18" i="2124"/>
  <c r="P18" i="2124" s="1"/>
  <c r="AC18" i="2124" s="1"/>
  <c r="O18" i="2124"/>
  <c r="M18" i="2124"/>
  <c r="AF17" i="2124"/>
  <c r="AB17" i="2124"/>
  <c r="Q17" i="2124"/>
  <c r="P17" i="2124"/>
  <c r="AC17" i="2124" s="1"/>
  <c r="AD17" i="2124" s="1"/>
  <c r="O17" i="2124"/>
  <c r="M17" i="2124"/>
  <c r="K17" i="2124"/>
  <c r="AF16" i="2124"/>
  <c r="AB16" i="2124"/>
  <c r="Q16" i="2124"/>
  <c r="P16" i="2124" s="1"/>
  <c r="AC16" i="2124" s="1"/>
  <c r="O16" i="2124"/>
  <c r="M16" i="2124"/>
  <c r="AF15" i="2124"/>
  <c r="AB15" i="2124"/>
  <c r="Q15" i="2124"/>
  <c r="P15" i="2124" s="1"/>
  <c r="AC15" i="2124" s="1"/>
  <c r="O15" i="2124"/>
  <c r="M15" i="2124"/>
  <c r="K15" i="2124"/>
  <c r="AF14" i="2124"/>
  <c r="AB14" i="2124"/>
  <c r="Q14" i="2124"/>
  <c r="P14" i="2124"/>
  <c r="AC14" i="2124" s="1"/>
  <c r="AD14" i="2124" s="1"/>
  <c r="O14" i="2124"/>
  <c r="M14" i="2124"/>
  <c r="K14" i="2124"/>
  <c r="AF13" i="2124"/>
  <c r="AB13" i="2124"/>
  <c r="Q13" i="2124"/>
  <c r="P13" i="2124"/>
  <c r="AC13" i="2124" s="1"/>
  <c r="O13" i="2124"/>
  <c r="M13" i="2124"/>
  <c r="K13" i="2124"/>
  <c r="AF12" i="2124"/>
  <c r="AB12" i="2124"/>
  <c r="Q12" i="2124"/>
  <c r="O12" i="2124"/>
  <c r="M12" i="2124"/>
  <c r="AF11" i="2124"/>
  <c r="AB11" i="2124"/>
  <c r="Q11" i="2124"/>
  <c r="P11" i="2124" s="1"/>
  <c r="AC11" i="2124" s="1"/>
  <c r="O11" i="2124"/>
  <c r="M11" i="2124"/>
  <c r="AF10" i="2124"/>
  <c r="AB10" i="2124"/>
  <c r="Q10" i="2124"/>
  <c r="P10" i="2124" s="1"/>
  <c r="AC10" i="2124" s="1"/>
  <c r="O10" i="2124"/>
  <c r="M10" i="2124"/>
  <c r="AF9" i="2124"/>
  <c r="Q9" i="2124"/>
  <c r="P9" i="2124" s="1"/>
  <c r="AC9" i="2124" s="1"/>
  <c r="M9" i="2124"/>
  <c r="AF8" i="2124"/>
  <c r="AB8" i="2124"/>
  <c r="Q8" i="2124"/>
  <c r="P8" i="2124"/>
  <c r="AC8" i="2124" s="1"/>
  <c r="AD8" i="2124" s="1"/>
  <c r="O8" i="2124"/>
  <c r="M8" i="2124"/>
  <c r="K8" i="2124"/>
  <c r="AF7" i="2124"/>
  <c r="Q7" i="2124"/>
  <c r="P7" i="2124" s="1"/>
  <c r="AC7" i="2124" s="1"/>
  <c r="O7" i="2124"/>
  <c r="K7" i="2124"/>
  <c r="AF6" i="2124"/>
  <c r="AB6" i="2124"/>
  <c r="Q6" i="2124"/>
  <c r="P6" i="2124"/>
  <c r="AC6" i="2124" s="1"/>
  <c r="O6" i="2124"/>
  <c r="M6" i="2124"/>
  <c r="K6" i="2124"/>
  <c r="K27" i="16"/>
  <c r="K26" i="16"/>
  <c r="K25" i="16"/>
  <c r="K24" i="16"/>
  <c r="K23" i="16"/>
  <c r="K22" i="16"/>
  <c r="K21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12" i="2123"/>
  <c r="K21" i="2123"/>
  <c r="K20" i="2123"/>
  <c r="K18" i="2123"/>
  <c r="K16" i="2123"/>
  <c r="K15" i="2123"/>
  <c r="K12" i="2123"/>
  <c r="K11" i="2123"/>
  <c r="K10" i="2123"/>
  <c r="K8" i="2123"/>
  <c r="K7" i="2123"/>
  <c r="A85" i="2123"/>
  <c r="A86" i="2123" s="1"/>
  <c r="A87" i="2123" s="1"/>
  <c r="A88" i="2123" s="1"/>
  <c r="A84" i="2123"/>
  <c r="A83" i="2123"/>
  <c r="AF67" i="2123"/>
  <c r="AF66" i="2123"/>
  <c r="AF69" i="2123" s="1"/>
  <c r="AA28" i="2123"/>
  <c r="Z28" i="2123"/>
  <c r="Y28" i="2123"/>
  <c r="X28" i="2123"/>
  <c r="W28" i="2123"/>
  <c r="V28" i="2123"/>
  <c r="U28" i="2123"/>
  <c r="T28" i="2123"/>
  <c r="S28" i="2123"/>
  <c r="R28" i="2123"/>
  <c r="N28" i="2123"/>
  <c r="J28" i="2123"/>
  <c r="I28" i="2123"/>
  <c r="AF27" i="2123"/>
  <c r="AB27" i="2123"/>
  <c r="Q27" i="2123"/>
  <c r="P27" i="2123"/>
  <c r="AC27" i="2123" s="1"/>
  <c r="AD27" i="2123" s="1"/>
  <c r="O27" i="2123"/>
  <c r="M27" i="2123"/>
  <c r="K27" i="2123"/>
  <c r="AF26" i="2123"/>
  <c r="AB26" i="2123"/>
  <c r="Q26" i="2123"/>
  <c r="P26" i="2123"/>
  <c r="AC26" i="2123" s="1"/>
  <c r="AD26" i="2123" s="1"/>
  <c r="O26" i="2123"/>
  <c r="M26" i="2123"/>
  <c r="K26" i="2123"/>
  <c r="AF25" i="2123"/>
  <c r="AB25" i="2123"/>
  <c r="Q25" i="2123"/>
  <c r="P25" i="2123"/>
  <c r="AC25" i="2123" s="1"/>
  <c r="AD25" i="2123" s="1"/>
  <c r="O25" i="2123"/>
  <c r="M25" i="2123"/>
  <c r="K25" i="2123"/>
  <c r="AF24" i="2123"/>
  <c r="AB24" i="2123"/>
  <c r="Q24" i="2123"/>
  <c r="P24" i="2123"/>
  <c r="AC24" i="2123" s="1"/>
  <c r="AD24" i="2123" s="1"/>
  <c r="O24" i="2123"/>
  <c r="M24" i="2123"/>
  <c r="K24" i="2123"/>
  <c r="AF23" i="2123"/>
  <c r="AB23" i="2123"/>
  <c r="Q23" i="2123"/>
  <c r="P23" i="2123"/>
  <c r="AC23" i="2123" s="1"/>
  <c r="AD23" i="2123" s="1"/>
  <c r="O23" i="2123"/>
  <c r="M23" i="2123"/>
  <c r="K23" i="2123"/>
  <c r="AF22" i="2123"/>
  <c r="AB22" i="2123"/>
  <c r="Q22" i="2123"/>
  <c r="P22" i="2123"/>
  <c r="AC22" i="2123" s="1"/>
  <c r="O22" i="2123"/>
  <c r="M22" i="2123"/>
  <c r="K22" i="2123"/>
  <c r="AF21" i="2123"/>
  <c r="AB21" i="2123"/>
  <c r="Q21" i="2123"/>
  <c r="M21" i="2123"/>
  <c r="P21" i="2123"/>
  <c r="AC21" i="2123" s="1"/>
  <c r="AF20" i="2123"/>
  <c r="Q20" i="2123"/>
  <c r="P20" i="2123" s="1"/>
  <c r="AC20" i="2123" s="1"/>
  <c r="AF19" i="2123"/>
  <c r="AB19" i="2123"/>
  <c r="Q19" i="2123"/>
  <c r="P19" i="2123"/>
  <c r="AC19" i="2123" s="1"/>
  <c r="O19" i="2123"/>
  <c r="M19" i="2123"/>
  <c r="K19" i="2123"/>
  <c r="AF18" i="2123"/>
  <c r="AB18" i="2123"/>
  <c r="Q18" i="2123"/>
  <c r="P18" i="2123" s="1"/>
  <c r="AC18" i="2123" s="1"/>
  <c r="O18" i="2123"/>
  <c r="M18" i="2123"/>
  <c r="AF17" i="2123"/>
  <c r="AB17" i="2123"/>
  <c r="Q17" i="2123"/>
  <c r="P17" i="2123"/>
  <c r="AC17" i="2123" s="1"/>
  <c r="O17" i="2123"/>
  <c r="M17" i="2123"/>
  <c r="K17" i="2123"/>
  <c r="AF16" i="2123"/>
  <c r="AB16" i="2123"/>
  <c r="Q16" i="2123"/>
  <c r="M16" i="2123"/>
  <c r="P16" i="2123"/>
  <c r="AC16" i="2123" s="1"/>
  <c r="AF15" i="2123"/>
  <c r="Q15" i="2123"/>
  <c r="P15" i="2123"/>
  <c r="AC15" i="2123" s="1"/>
  <c r="AF14" i="2123"/>
  <c r="AB14" i="2123"/>
  <c r="Q14" i="2123"/>
  <c r="P14" i="2123"/>
  <c r="AC14" i="2123" s="1"/>
  <c r="O14" i="2123"/>
  <c r="M14" i="2123"/>
  <c r="K14" i="2123"/>
  <c r="AF13" i="2123"/>
  <c r="AB13" i="2123"/>
  <c r="Q13" i="2123"/>
  <c r="P13" i="2123"/>
  <c r="AC13" i="2123" s="1"/>
  <c r="AD13" i="2123" s="1"/>
  <c r="O13" i="2123"/>
  <c r="M13" i="2123"/>
  <c r="K13" i="2123"/>
  <c r="AF12" i="2123"/>
  <c r="Q12" i="2123"/>
  <c r="P12" i="2123"/>
  <c r="AC12" i="2123" s="1"/>
  <c r="O12" i="2123"/>
  <c r="AB12" i="2123"/>
  <c r="AF11" i="2123"/>
  <c r="AB11" i="2123"/>
  <c r="Q11" i="2123"/>
  <c r="O11" i="2123"/>
  <c r="M11" i="2123"/>
  <c r="P11" i="2123"/>
  <c r="AC11" i="2123" s="1"/>
  <c r="AF10" i="2123"/>
  <c r="AB10" i="2123"/>
  <c r="Q10" i="2123"/>
  <c r="P10" i="2123" s="1"/>
  <c r="AC10" i="2123" s="1"/>
  <c r="M10" i="2123"/>
  <c r="AF9" i="2123"/>
  <c r="AB9" i="2123"/>
  <c r="Q9" i="2123"/>
  <c r="P9" i="2123"/>
  <c r="AC9" i="2123" s="1"/>
  <c r="O9" i="2123"/>
  <c r="M9" i="2123"/>
  <c r="K9" i="2123"/>
  <c r="AF8" i="2123"/>
  <c r="AB8" i="2123"/>
  <c r="Q8" i="2123"/>
  <c r="O8" i="2123"/>
  <c r="M8" i="2123"/>
  <c r="P8" i="2123"/>
  <c r="AC8" i="2123" s="1"/>
  <c r="AD8" i="2123" s="1"/>
  <c r="AF7" i="2123"/>
  <c r="AB7" i="2123"/>
  <c r="Q7" i="2123"/>
  <c r="M7" i="2123"/>
  <c r="P7" i="2123"/>
  <c r="AF6" i="2123"/>
  <c r="AB6" i="2123"/>
  <c r="Q6" i="2123"/>
  <c r="P6" i="2123"/>
  <c r="AC6" i="2123" s="1"/>
  <c r="O6" i="2123"/>
  <c r="M6" i="2123"/>
  <c r="K6" i="2123"/>
  <c r="J27" i="16"/>
  <c r="J26" i="16"/>
  <c r="J25" i="16"/>
  <c r="J24" i="16"/>
  <c r="J23" i="16"/>
  <c r="J22" i="16"/>
  <c r="J21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1" i="2122"/>
  <c r="O21" i="2122" s="1"/>
  <c r="L20" i="2122"/>
  <c r="K20" i="2122" s="1"/>
  <c r="L16" i="2122"/>
  <c r="M16" i="2122" s="1"/>
  <c r="L15" i="2122"/>
  <c r="L12" i="2122"/>
  <c r="K12" i="2122" s="1"/>
  <c r="L11" i="2122"/>
  <c r="K11" i="2122" s="1"/>
  <c r="L10" i="2122"/>
  <c r="K10" i="2122" s="1"/>
  <c r="L8" i="2122"/>
  <c r="O8" i="2122" s="1"/>
  <c r="K8" i="2122"/>
  <c r="L7" i="2122"/>
  <c r="K7" i="2122" s="1"/>
  <c r="K24" i="2122"/>
  <c r="K19" i="2122"/>
  <c r="K18" i="2122"/>
  <c r="K16" i="2122"/>
  <c r="K15" i="2122"/>
  <c r="K14" i="2122"/>
  <c r="K13" i="2122"/>
  <c r="K9" i="2122"/>
  <c r="A83" i="2122"/>
  <c r="A84" i="2122" s="1"/>
  <c r="A85" i="2122" s="1"/>
  <c r="A86" i="2122" s="1"/>
  <c r="A87" i="2122" s="1"/>
  <c r="A88" i="2122" s="1"/>
  <c r="AF67" i="2122"/>
  <c r="AF66" i="2122"/>
  <c r="AF69" i="2122" s="1"/>
  <c r="AA28" i="2122"/>
  <c r="Z28" i="2122"/>
  <c r="Y28" i="2122"/>
  <c r="X28" i="2122"/>
  <c r="W28" i="2122"/>
  <c r="V28" i="2122"/>
  <c r="U28" i="2122"/>
  <c r="T28" i="2122"/>
  <c r="S28" i="2122"/>
  <c r="R28" i="2122"/>
  <c r="N28" i="2122"/>
  <c r="J28" i="2122"/>
  <c r="I28" i="2122"/>
  <c r="AF27" i="2122"/>
  <c r="AB27" i="2122"/>
  <c r="Q27" i="2122"/>
  <c r="P27" i="2122"/>
  <c r="AC27" i="2122" s="1"/>
  <c r="AD27" i="2122" s="1"/>
  <c r="O27" i="2122"/>
  <c r="M27" i="2122"/>
  <c r="K27" i="2122"/>
  <c r="AF26" i="2122"/>
  <c r="AB26" i="2122"/>
  <c r="Q26" i="2122"/>
  <c r="P26" i="2122"/>
  <c r="AC26" i="2122" s="1"/>
  <c r="AD26" i="2122" s="1"/>
  <c r="O26" i="2122"/>
  <c r="M26" i="2122"/>
  <c r="K26" i="2122"/>
  <c r="AF25" i="2122"/>
  <c r="AC25" i="2122"/>
  <c r="AD25" i="2122" s="1"/>
  <c r="AB25" i="2122"/>
  <c r="Q25" i="2122"/>
  <c r="P25" i="2122"/>
  <c r="O25" i="2122"/>
  <c r="M25" i="2122"/>
  <c r="K25" i="2122"/>
  <c r="AF24" i="2122"/>
  <c r="Q24" i="2122"/>
  <c r="O24" i="2122"/>
  <c r="AF23" i="2122"/>
  <c r="AB23" i="2122"/>
  <c r="Q23" i="2122"/>
  <c r="P23" i="2122"/>
  <c r="AC23" i="2122" s="1"/>
  <c r="AD23" i="2122" s="1"/>
  <c r="O23" i="2122"/>
  <c r="M23" i="2122"/>
  <c r="K23" i="2122"/>
  <c r="AF22" i="2122"/>
  <c r="AB22" i="2122"/>
  <c r="Q22" i="2122"/>
  <c r="P22" i="2122"/>
  <c r="AC22" i="2122" s="1"/>
  <c r="AD22" i="2122" s="1"/>
  <c r="O22" i="2122"/>
  <c r="M22" i="2122"/>
  <c r="K22" i="2122"/>
  <c r="AF21" i="2122"/>
  <c r="Q21" i="2122"/>
  <c r="AB21" i="2122"/>
  <c r="AF20" i="2122"/>
  <c r="AB20" i="2122"/>
  <c r="Q20" i="2122"/>
  <c r="P20" i="2122"/>
  <c r="AC20" i="2122" s="1"/>
  <c r="M20" i="2122"/>
  <c r="AF19" i="2122"/>
  <c r="AB19" i="2122"/>
  <c r="Q19" i="2122"/>
  <c r="M19" i="2122"/>
  <c r="P19" i="2122"/>
  <c r="AC19" i="2122" s="1"/>
  <c r="AF18" i="2122"/>
  <c r="Q18" i="2122"/>
  <c r="O18" i="2122"/>
  <c r="AF17" i="2122"/>
  <c r="AB17" i="2122"/>
  <c r="Q17" i="2122"/>
  <c r="P17" i="2122"/>
  <c r="AC17" i="2122" s="1"/>
  <c r="O17" i="2122"/>
  <c r="M17" i="2122"/>
  <c r="K17" i="2122"/>
  <c r="AF16" i="2122"/>
  <c r="AB16" i="2122"/>
  <c r="Q16" i="2122"/>
  <c r="AF15" i="2122"/>
  <c r="Q15" i="2122"/>
  <c r="O15" i="2122"/>
  <c r="AF14" i="2122"/>
  <c r="AB14" i="2122"/>
  <c r="Q14" i="2122"/>
  <c r="P14" i="2122"/>
  <c r="AC14" i="2122" s="1"/>
  <c r="O14" i="2122"/>
  <c r="M14" i="2122"/>
  <c r="AF13" i="2122"/>
  <c r="AB13" i="2122"/>
  <c r="Q13" i="2122"/>
  <c r="P13" i="2122" s="1"/>
  <c r="AC13" i="2122" s="1"/>
  <c r="O13" i="2122"/>
  <c r="M13" i="2122"/>
  <c r="AF12" i="2122"/>
  <c r="Q12" i="2122"/>
  <c r="O12" i="2122"/>
  <c r="AB12" i="2122"/>
  <c r="AF11" i="2122"/>
  <c r="AB11" i="2122"/>
  <c r="Q11" i="2122"/>
  <c r="P11" i="2122" s="1"/>
  <c r="AC11" i="2122" s="1"/>
  <c r="M11" i="2122"/>
  <c r="AF10" i="2122"/>
  <c r="AB10" i="2122"/>
  <c r="Q10" i="2122"/>
  <c r="P10" i="2122" s="1"/>
  <c r="AC10" i="2122" s="1"/>
  <c r="M10" i="2122"/>
  <c r="AF9" i="2122"/>
  <c r="Q9" i="2122"/>
  <c r="O9" i="2122"/>
  <c r="AF8" i="2122"/>
  <c r="Q8" i="2122"/>
  <c r="P8" i="2122" s="1"/>
  <c r="AC8" i="2122" s="1"/>
  <c r="AB8" i="2122"/>
  <c r="AF7" i="2122"/>
  <c r="Q7" i="2122"/>
  <c r="P7" i="2122"/>
  <c r="AC7" i="2122" s="1"/>
  <c r="O7" i="2122"/>
  <c r="AF6" i="2122"/>
  <c r="AC6" i="2122"/>
  <c r="AD6" i="2122" s="1"/>
  <c r="AB6" i="2122"/>
  <c r="Q6" i="2122"/>
  <c r="P6" i="2122"/>
  <c r="O6" i="2122"/>
  <c r="M6" i="2122"/>
  <c r="K6" i="2122"/>
  <c r="I27" i="16"/>
  <c r="I26" i="16"/>
  <c r="I25" i="16"/>
  <c r="I24" i="16"/>
  <c r="I23" i="16"/>
  <c r="I22" i="16"/>
  <c r="I21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AB21" i="2126" l="1"/>
  <c r="M21" i="2126"/>
  <c r="O21" i="2126"/>
  <c r="AD21" i="2126"/>
  <c r="O18" i="2126"/>
  <c r="K9" i="2126"/>
  <c r="P18" i="2126"/>
  <c r="AC18" i="2126" s="1"/>
  <c r="AD18" i="2126"/>
  <c r="P15" i="2126"/>
  <c r="AC15" i="2126" s="1"/>
  <c r="K15" i="2126"/>
  <c r="Q29" i="2126"/>
  <c r="AD14" i="2126"/>
  <c r="K26" i="2126"/>
  <c r="AD17" i="2126"/>
  <c r="AD24" i="2126"/>
  <c r="AD11" i="2126"/>
  <c r="AD23" i="2126"/>
  <c r="AC6" i="2126"/>
  <c r="AD13" i="2126"/>
  <c r="AD19" i="2126"/>
  <c r="AD16" i="2126"/>
  <c r="AD26" i="2126"/>
  <c r="AB7" i="2126"/>
  <c r="AD7" i="2126" s="1"/>
  <c r="M10" i="2126"/>
  <c r="AB10" i="2126"/>
  <c r="AD10" i="2126" s="1"/>
  <c r="M16" i="2126"/>
  <c r="M19" i="2126"/>
  <c r="O20" i="2126"/>
  <c r="P22" i="2126"/>
  <c r="AC22" i="2126" s="1"/>
  <c r="AD22" i="2126" s="1"/>
  <c r="M26" i="2126"/>
  <c r="L29" i="2126"/>
  <c r="O29" i="2126" s="1"/>
  <c r="M6" i="2126"/>
  <c r="AB6" i="2126"/>
  <c r="M9" i="2126"/>
  <c r="AB9" i="2126"/>
  <c r="AD9" i="2126" s="1"/>
  <c r="M12" i="2126"/>
  <c r="AB12" i="2126"/>
  <c r="AD12" i="2126" s="1"/>
  <c r="AB15" i="2126"/>
  <c r="AD15" i="2126" s="1"/>
  <c r="P20" i="2126"/>
  <c r="AC20" i="2126" s="1"/>
  <c r="AB25" i="2126"/>
  <c r="AD25" i="2126" s="1"/>
  <c r="M20" i="2126"/>
  <c r="AD25" i="2125"/>
  <c r="O24" i="2125"/>
  <c r="AD24" i="2125" s="1"/>
  <c r="AB16" i="2125"/>
  <c r="P16" i="2125"/>
  <c r="AC16" i="2125" s="1"/>
  <c r="P13" i="2125"/>
  <c r="AC13" i="2125" s="1"/>
  <c r="M9" i="2125"/>
  <c r="AB9" i="2125"/>
  <c r="Q28" i="2125"/>
  <c r="P6" i="2125"/>
  <c r="AC6" i="2125" s="1"/>
  <c r="AD8" i="2125"/>
  <c r="AD17" i="2125"/>
  <c r="AD19" i="2125"/>
  <c r="AD11" i="2125"/>
  <c r="P7" i="2125"/>
  <c r="AC7" i="2125" s="1"/>
  <c r="AD7" i="2125" s="1"/>
  <c r="O9" i="2125"/>
  <c r="AD9" i="2125" s="1"/>
  <c r="K28" i="2125"/>
  <c r="P10" i="2125"/>
  <c r="AC10" i="2125" s="1"/>
  <c r="AD10" i="2125" s="1"/>
  <c r="M12" i="2125"/>
  <c r="AB12" i="2125"/>
  <c r="O13" i="2125"/>
  <c r="M15" i="2125"/>
  <c r="AB15" i="2125"/>
  <c r="O16" i="2125"/>
  <c r="M18" i="2125"/>
  <c r="AB18" i="2125"/>
  <c r="M21" i="2125"/>
  <c r="AB21" i="2125"/>
  <c r="L28" i="2125"/>
  <c r="O28" i="2125" s="1"/>
  <c r="O12" i="2125"/>
  <c r="O15" i="2125"/>
  <c r="O18" i="2125"/>
  <c r="O21" i="2125"/>
  <c r="M7" i="2125"/>
  <c r="M10" i="2125"/>
  <c r="O21" i="2124"/>
  <c r="P21" i="2124"/>
  <c r="AC21" i="2124" s="1"/>
  <c r="AD21" i="2124" s="1"/>
  <c r="AB20" i="2124"/>
  <c r="K20" i="2124"/>
  <c r="P20" i="2124"/>
  <c r="AC20" i="2124" s="1"/>
  <c r="AD19" i="2124"/>
  <c r="AD16" i="2124"/>
  <c r="AD15" i="2124"/>
  <c r="AD11" i="2124"/>
  <c r="K9" i="2124"/>
  <c r="K28" i="2124" s="1"/>
  <c r="L28" i="2124"/>
  <c r="O28" i="2124" s="1"/>
  <c r="AB9" i="2124"/>
  <c r="AD9" i="2124"/>
  <c r="Q28" i="2124"/>
  <c r="M28" i="2124"/>
  <c r="AD7" i="2124"/>
  <c r="M7" i="2124"/>
  <c r="AD10" i="2124"/>
  <c r="AD13" i="2124"/>
  <c r="AD18" i="2124"/>
  <c r="AD6" i="2124"/>
  <c r="P12" i="2124"/>
  <c r="AC12" i="2124" s="1"/>
  <c r="AD12" i="2124" s="1"/>
  <c r="AD18" i="2123"/>
  <c r="Q28" i="2123"/>
  <c r="AD9" i="2123"/>
  <c r="AD22" i="2123"/>
  <c r="AD11" i="2123"/>
  <c r="AD17" i="2123"/>
  <c r="AD19" i="2123"/>
  <c r="AD14" i="2123"/>
  <c r="AD6" i="2123"/>
  <c r="P28" i="2123"/>
  <c r="AC7" i="2123"/>
  <c r="AC28" i="2123" s="1"/>
  <c r="AD12" i="2123"/>
  <c r="L28" i="2123"/>
  <c r="O28" i="2123" s="1"/>
  <c r="O7" i="2123"/>
  <c r="O10" i="2123"/>
  <c r="AD10" i="2123" s="1"/>
  <c r="M15" i="2123"/>
  <c r="AB15" i="2123"/>
  <c r="AD15" i="2123" s="1"/>
  <c r="O16" i="2123"/>
  <c r="AD16" i="2123" s="1"/>
  <c r="M20" i="2123"/>
  <c r="AB20" i="2123"/>
  <c r="O21" i="2123"/>
  <c r="AD21" i="2123" s="1"/>
  <c r="K28" i="2123"/>
  <c r="M12" i="2123"/>
  <c r="O15" i="2123"/>
  <c r="O20" i="2123"/>
  <c r="P21" i="2122"/>
  <c r="AC21" i="2122" s="1"/>
  <c r="AD21" i="2122" s="1"/>
  <c r="K21" i="2122"/>
  <c r="K28" i="2122" s="1"/>
  <c r="O20" i="2122"/>
  <c r="AD20" i="2122" s="1"/>
  <c r="P16" i="2122"/>
  <c r="AC16" i="2122" s="1"/>
  <c r="P12" i="2122"/>
  <c r="AC12" i="2122" s="1"/>
  <c r="AD12" i="2122" s="1"/>
  <c r="O11" i="2122"/>
  <c r="AD11" i="2122" s="1"/>
  <c r="Q28" i="2122"/>
  <c r="AD7" i="2122"/>
  <c r="L28" i="2122"/>
  <c r="O28" i="2122" s="1"/>
  <c r="M7" i="2122"/>
  <c r="AB7" i="2122"/>
  <c r="AD13" i="2122"/>
  <c r="AD17" i="2122"/>
  <c r="AD14" i="2122"/>
  <c r="AD8" i="2122"/>
  <c r="P9" i="2122"/>
  <c r="AC9" i="2122" s="1"/>
  <c r="AD9" i="2122" s="1"/>
  <c r="P15" i="2122"/>
  <c r="AC15" i="2122" s="1"/>
  <c r="P18" i="2122"/>
  <c r="AC18" i="2122" s="1"/>
  <c r="P24" i="2122"/>
  <c r="AC24" i="2122" s="1"/>
  <c r="AB15" i="2122"/>
  <c r="M18" i="2122"/>
  <c r="M9" i="2122"/>
  <c r="AB9" i="2122"/>
  <c r="O10" i="2122"/>
  <c r="AD10" i="2122" s="1"/>
  <c r="M15" i="2122"/>
  <c r="O16" i="2122"/>
  <c r="AB18" i="2122"/>
  <c r="O19" i="2122"/>
  <c r="AD19" i="2122" s="1"/>
  <c r="M24" i="2122"/>
  <c r="AB24" i="2122"/>
  <c r="M8" i="2122"/>
  <c r="M12" i="2122"/>
  <c r="M21" i="2122"/>
  <c r="L21" i="2121"/>
  <c r="L20" i="2121"/>
  <c r="K20" i="2121" s="1"/>
  <c r="L19" i="2121"/>
  <c r="L18" i="2121"/>
  <c r="L16" i="2121"/>
  <c r="K16" i="2121"/>
  <c r="L15" i="2121"/>
  <c r="K15" i="2121" s="1"/>
  <c r="P29" i="2126" l="1"/>
  <c r="AB29" i="2126"/>
  <c r="K29" i="2126"/>
  <c r="AD6" i="2126"/>
  <c r="AC29" i="2126"/>
  <c r="AD20" i="2126"/>
  <c r="M29" i="2126"/>
  <c r="AD16" i="2125"/>
  <c r="AD13" i="2125"/>
  <c r="AB28" i="2125"/>
  <c r="AD15" i="2125"/>
  <c r="AD21" i="2125"/>
  <c r="M28" i="2125"/>
  <c r="AD18" i="2125"/>
  <c r="P28" i="2125"/>
  <c r="AD12" i="2125"/>
  <c r="AC28" i="2125"/>
  <c r="AD6" i="2125"/>
  <c r="AD20" i="2124"/>
  <c r="AD28" i="2124" s="1"/>
  <c r="AE25" i="2124" s="1"/>
  <c r="AB28" i="2124"/>
  <c r="P28" i="2124"/>
  <c r="AC28" i="2124"/>
  <c r="M28" i="2123"/>
  <c r="AD20" i="2123"/>
  <c r="AD7" i="2123"/>
  <c r="AB28" i="2123"/>
  <c r="AD16" i="2122"/>
  <c r="M28" i="2122"/>
  <c r="AB28" i="2122"/>
  <c r="AD18" i="2122"/>
  <c r="AC28" i="2122"/>
  <c r="AD24" i="2122"/>
  <c r="AD15" i="2122"/>
  <c r="P28" i="2122"/>
  <c r="L12" i="2121"/>
  <c r="K12" i="2121" s="1"/>
  <c r="L11" i="2121"/>
  <c r="K11" i="2121" s="1"/>
  <c r="L10" i="2121"/>
  <c r="L9" i="2121"/>
  <c r="L8" i="2121"/>
  <c r="L7" i="2121"/>
  <c r="K7" i="2121" s="1"/>
  <c r="AD29" i="2126" l="1"/>
  <c r="AE21" i="2126" s="1"/>
  <c r="AD28" i="2125"/>
  <c r="AE27" i="2125" s="1"/>
  <c r="AE16" i="2124"/>
  <c r="AE18" i="2124"/>
  <c r="AE27" i="2124"/>
  <c r="AE11" i="2124"/>
  <c r="AE13" i="2124"/>
  <c r="AE8" i="2124"/>
  <c r="AE24" i="2124"/>
  <c r="AE19" i="2124"/>
  <c r="AE10" i="2124"/>
  <c r="AE26" i="2124"/>
  <c r="AE21" i="2124"/>
  <c r="AE12" i="2124"/>
  <c r="AE20" i="2124"/>
  <c r="AE7" i="2124"/>
  <c r="AE15" i="2124"/>
  <c r="AE23" i="2124"/>
  <c r="AE6" i="2124"/>
  <c r="AE14" i="2124"/>
  <c r="AE22" i="2124"/>
  <c r="AE9" i="2124"/>
  <c r="AE17" i="2124"/>
  <c r="AD28" i="2123"/>
  <c r="AE27" i="2123" s="1"/>
  <c r="AE23" i="2123"/>
  <c r="AE26" i="2123"/>
  <c r="AE24" i="2123"/>
  <c r="AD28" i="2122"/>
  <c r="AE25" i="2122" s="1"/>
  <c r="L24" i="2121"/>
  <c r="K24" i="2121" s="1"/>
  <c r="K21" i="2121"/>
  <c r="K19" i="2121"/>
  <c r="K18" i="2121"/>
  <c r="K17" i="2121"/>
  <c r="K14" i="2121"/>
  <c r="K13" i="2121"/>
  <c r="K10" i="2121"/>
  <c r="K9" i="2121"/>
  <c r="K8" i="2121"/>
  <c r="A83" i="2121"/>
  <c r="A84" i="2121" s="1"/>
  <c r="A85" i="2121" s="1"/>
  <c r="A86" i="2121" s="1"/>
  <c r="A87" i="2121" s="1"/>
  <c r="A88" i="2121" s="1"/>
  <c r="AF67" i="2121"/>
  <c r="AF66" i="2121"/>
  <c r="AF69" i="2121" s="1"/>
  <c r="AA28" i="2121"/>
  <c r="Z28" i="2121"/>
  <c r="Y28" i="2121"/>
  <c r="X28" i="2121"/>
  <c r="W28" i="2121"/>
  <c r="V28" i="2121"/>
  <c r="U28" i="2121"/>
  <c r="T28" i="2121"/>
  <c r="S28" i="2121"/>
  <c r="R28" i="2121"/>
  <c r="N28" i="2121"/>
  <c r="J28" i="2121"/>
  <c r="I28" i="2121"/>
  <c r="AF27" i="2121"/>
  <c r="AB27" i="2121"/>
  <c r="Q27" i="2121"/>
  <c r="P27" i="2121"/>
  <c r="AC27" i="2121" s="1"/>
  <c r="AD27" i="2121" s="1"/>
  <c r="O27" i="2121"/>
  <c r="M27" i="2121"/>
  <c r="K27" i="2121"/>
  <c r="AF26" i="2121"/>
  <c r="AB26" i="2121"/>
  <c r="Q26" i="2121"/>
  <c r="P26" i="2121"/>
  <c r="AC26" i="2121" s="1"/>
  <c r="AD26" i="2121" s="1"/>
  <c r="O26" i="2121"/>
  <c r="M26" i="2121"/>
  <c r="K26" i="2121"/>
  <c r="AF25" i="2121"/>
  <c r="AB25" i="2121"/>
  <c r="Q25" i="2121"/>
  <c r="P25" i="2121"/>
  <c r="AC25" i="2121" s="1"/>
  <c r="AD25" i="2121" s="1"/>
  <c r="O25" i="2121"/>
  <c r="M25" i="2121"/>
  <c r="K25" i="2121"/>
  <c r="AF24" i="2121"/>
  <c r="AB24" i="2121"/>
  <c r="Q24" i="2121"/>
  <c r="P24" i="2121"/>
  <c r="AC24" i="2121" s="1"/>
  <c r="AD24" i="2121" s="1"/>
  <c r="M24" i="2121"/>
  <c r="O24" i="2121"/>
  <c r="AF23" i="2121"/>
  <c r="AB23" i="2121"/>
  <c r="Q23" i="2121"/>
  <c r="P23" i="2121"/>
  <c r="AC23" i="2121" s="1"/>
  <c r="AD23" i="2121" s="1"/>
  <c r="O23" i="2121"/>
  <c r="M23" i="2121"/>
  <c r="K23" i="2121"/>
  <c r="AF22" i="2121"/>
  <c r="AB22" i="2121"/>
  <c r="Q22" i="2121"/>
  <c r="P22" i="2121"/>
  <c r="AC22" i="2121" s="1"/>
  <c r="AD22" i="2121" s="1"/>
  <c r="O22" i="2121"/>
  <c r="M22" i="2121"/>
  <c r="K22" i="2121"/>
  <c r="AF21" i="2121"/>
  <c r="Q21" i="2121"/>
  <c r="O21" i="2121"/>
  <c r="AB21" i="2121"/>
  <c r="AF20" i="2121"/>
  <c r="AB20" i="2121"/>
  <c r="Q20" i="2121"/>
  <c r="P20" i="2121"/>
  <c r="AC20" i="2121" s="1"/>
  <c r="M20" i="2121"/>
  <c r="O20" i="2121"/>
  <c r="AF19" i="2121"/>
  <c r="Q19" i="2121"/>
  <c r="P19" i="2121" s="1"/>
  <c r="AC19" i="2121" s="1"/>
  <c r="AF18" i="2121"/>
  <c r="AB18" i="2121"/>
  <c r="Q18" i="2121"/>
  <c r="P18" i="2121" s="1"/>
  <c r="AC18" i="2121" s="1"/>
  <c r="O18" i="2121"/>
  <c r="M18" i="2121"/>
  <c r="AF17" i="2121"/>
  <c r="AB17" i="2121"/>
  <c r="Q17" i="2121"/>
  <c r="P17" i="2121"/>
  <c r="AC17" i="2121" s="1"/>
  <c r="O17" i="2121"/>
  <c r="M17" i="2121"/>
  <c r="AF16" i="2121"/>
  <c r="AB16" i="2121"/>
  <c r="Q16" i="2121"/>
  <c r="P16" i="2121"/>
  <c r="AC16" i="2121" s="1"/>
  <c r="M16" i="2121"/>
  <c r="O16" i="2121"/>
  <c r="AF15" i="2121"/>
  <c r="Q15" i="2121"/>
  <c r="O15" i="2121"/>
  <c r="AB15" i="2121"/>
  <c r="AF14" i="2121"/>
  <c r="AB14" i="2121"/>
  <c r="Q14" i="2121"/>
  <c r="P14" i="2121" s="1"/>
  <c r="AC14" i="2121" s="1"/>
  <c r="M14" i="2121"/>
  <c r="O14" i="2121"/>
  <c r="AF13" i="2121"/>
  <c r="Q13" i="2121"/>
  <c r="P13" i="2121"/>
  <c r="AC13" i="2121" s="1"/>
  <c r="AF12" i="2121"/>
  <c r="AB12" i="2121"/>
  <c r="Q12" i="2121"/>
  <c r="P12" i="2121" s="1"/>
  <c r="AC12" i="2121" s="1"/>
  <c r="O12" i="2121"/>
  <c r="M12" i="2121"/>
  <c r="AF11" i="2121"/>
  <c r="AB11" i="2121"/>
  <c r="Q11" i="2121"/>
  <c r="P11" i="2121" s="1"/>
  <c r="AC11" i="2121" s="1"/>
  <c r="M11" i="2121"/>
  <c r="AF10" i="2121"/>
  <c r="Q10" i="2121"/>
  <c r="P10" i="2121"/>
  <c r="AC10" i="2121" s="1"/>
  <c r="AF9" i="2121"/>
  <c r="Q9" i="2121"/>
  <c r="P9" i="2121" s="1"/>
  <c r="AC9" i="2121" s="1"/>
  <c r="O9" i="2121"/>
  <c r="AF8" i="2121"/>
  <c r="AB8" i="2121"/>
  <c r="Q8" i="2121"/>
  <c r="P8" i="2121" s="1"/>
  <c r="AC8" i="2121" s="1"/>
  <c r="O8" i="2121"/>
  <c r="M8" i="2121"/>
  <c r="AF7" i="2121"/>
  <c r="Q7" i="2121"/>
  <c r="P7" i="2121"/>
  <c r="AC7" i="2121" s="1"/>
  <c r="AF6" i="2121"/>
  <c r="AB6" i="2121"/>
  <c r="Q6" i="2121"/>
  <c r="P6" i="2121"/>
  <c r="AC6" i="2121" s="1"/>
  <c r="O6" i="2121"/>
  <c r="M6" i="2121"/>
  <c r="K6" i="2121"/>
  <c r="H27" i="16"/>
  <c r="H26" i="16"/>
  <c r="H25" i="16"/>
  <c r="H24" i="16"/>
  <c r="H23" i="16"/>
  <c r="H22" i="16"/>
  <c r="H21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21" i="2120"/>
  <c r="K21" i="2120" s="1"/>
  <c r="L20" i="2120"/>
  <c r="L19" i="2120"/>
  <c r="K17" i="2120"/>
  <c r="L16" i="2120"/>
  <c r="K16" i="2120" s="1"/>
  <c r="L15" i="2120"/>
  <c r="O15" i="2120" s="1"/>
  <c r="K15" i="2120"/>
  <c r="L14" i="2120"/>
  <c r="K14" i="2120" s="1"/>
  <c r="L13" i="2120"/>
  <c r="L11" i="2120"/>
  <c r="K11" i="2120" s="1"/>
  <c r="L10" i="2120"/>
  <c r="K10" i="2120" s="1"/>
  <c r="L9" i="2120"/>
  <c r="K9" i="2120" s="1"/>
  <c r="L7" i="2120"/>
  <c r="K7" i="2120" s="1"/>
  <c r="L24" i="2120"/>
  <c r="K20" i="2120"/>
  <c r="K19" i="2120"/>
  <c r="K18" i="2120"/>
  <c r="K13" i="2120"/>
  <c r="K12" i="2120"/>
  <c r="K8" i="2120"/>
  <c r="A83" i="2120"/>
  <c r="A84" i="2120" s="1"/>
  <c r="A85" i="2120" s="1"/>
  <c r="A86" i="2120" s="1"/>
  <c r="A87" i="2120" s="1"/>
  <c r="A88" i="2120" s="1"/>
  <c r="AF67" i="2120"/>
  <c r="AF66" i="2120"/>
  <c r="AF69" i="2120" s="1"/>
  <c r="AA28" i="2120"/>
  <c r="Z28" i="2120"/>
  <c r="Y28" i="2120"/>
  <c r="X28" i="2120"/>
  <c r="W28" i="2120"/>
  <c r="V28" i="2120"/>
  <c r="U28" i="2120"/>
  <c r="T28" i="2120"/>
  <c r="S28" i="2120"/>
  <c r="R28" i="2120"/>
  <c r="N28" i="2120"/>
  <c r="J28" i="2120"/>
  <c r="I28" i="2120"/>
  <c r="AF27" i="2120"/>
  <c r="AB27" i="2120"/>
  <c r="Q27" i="2120"/>
  <c r="P27" i="2120"/>
  <c r="AC27" i="2120" s="1"/>
  <c r="AD27" i="2120" s="1"/>
  <c r="O27" i="2120"/>
  <c r="M27" i="2120"/>
  <c r="K27" i="2120"/>
  <c r="AF26" i="2120"/>
  <c r="AB26" i="2120"/>
  <c r="Q26" i="2120"/>
  <c r="P26" i="2120"/>
  <c r="AC26" i="2120" s="1"/>
  <c r="O26" i="2120"/>
  <c r="M26" i="2120"/>
  <c r="K26" i="2120"/>
  <c r="AF25" i="2120"/>
  <c r="AB25" i="2120"/>
  <c r="Q25" i="2120"/>
  <c r="P25" i="2120"/>
  <c r="AC25" i="2120" s="1"/>
  <c r="O25" i="2120"/>
  <c r="M25" i="2120"/>
  <c r="K25" i="2120"/>
  <c r="AF24" i="2120"/>
  <c r="AB24" i="2120"/>
  <c r="Q24" i="2120"/>
  <c r="P24" i="2120" s="1"/>
  <c r="AC24" i="2120" s="1"/>
  <c r="O24" i="2120"/>
  <c r="M24" i="2120"/>
  <c r="K24" i="2120"/>
  <c r="AF23" i="2120"/>
  <c r="AB23" i="2120"/>
  <c r="Q23" i="2120"/>
  <c r="P23" i="2120"/>
  <c r="AC23" i="2120" s="1"/>
  <c r="AD23" i="2120" s="1"/>
  <c r="O23" i="2120"/>
  <c r="M23" i="2120"/>
  <c r="K23" i="2120"/>
  <c r="AF22" i="2120"/>
  <c r="AB22" i="2120"/>
  <c r="Q22" i="2120"/>
  <c r="P22" i="2120"/>
  <c r="AC22" i="2120" s="1"/>
  <c r="O22" i="2120"/>
  <c r="M22" i="2120"/>
  <c r="K22" i="2120"/>
  <c r="AF21" i="2120"/>
  <c r="Q21" i="2120"/>
  <c r="O21" i="2120"/>
  <c r="AF20" i="2120"/>
  <c r="Q20" i="2120"/>
  <c r="AB20" i="2120"/>
  <c r="AF19" i="2120"/>
  <c r="Q19" i="2120"/>
  <c r="M19" i="2120"/>
  <c r="AF18" i="2120"/>
  <c r="Q18" i="2120"/>
  <c r="P18" i="2120"/>
  <c r="AC18" i="2120" s="1"/>
  <c r="O18" i="2120"/>
  <c r="AB18" i="2120"/>
  <c r="AF17" i="2120"/>
  <c r="AB17" i="2120"/>
  <c r="Q17" i="2120"/>
  <c r="P17" i="2120"/>
  <c r="AC17" i="2120" s="1"/>
  <c r="O17" i="2120"/>
  <c r="M17" i="2120"/>
  <c r="AF16" i="2120"/>
  <c r="Q16" i="2120"/>
  <c r="P16" i="2120"/>
  <c r="AC16" i="2120" s="1"/>
  <c r="O16" i="2120"/>
  <c r="AF15" i="2120"/>
  <c r="AB15" i="2120"/>
  <c r="Q15" i="2120"/>
  <c r="P15" i="2120"/>
  <c r="AC15" i="2120" s="1"/>
  <c r="M15" i="2120"/>
  <c r="AF14" i="2120"/>
  <c r="Q14" i="2120"/>
  <c r="P14" i="2120" s="1"/>
  <c r="AC14" i="2120" s="1"/>
  <c r="AB14" i="2120"/>
  <c r="AF13" i="2120"/>
  <c r="Q13" i="2120"/>
  <c r="P13" i="2120"/>
  <c r="AC13" i="2120" s="1"/>
  <c r="O13" i="2120"/>
  <c r="AB13" i="2120"/>
  <c r="AF12" i="2120"/>
  <c r="AB12" i="2120"/>
  <c r="Q12" i="2120"/>
  <c r="P12" i="2120" s="1"/>
  <c r="AC12" i="2120" s="1"/>
  <c r="O12" i="2120"/>
  <c r="M12" i="2120"/>
  <c r="AF11" i="2120"/>
  <c r="Q11" i="2120"/>
  <c r="P11" i="2120" s="1"/>
  <c r="AC11" i="2120" s="1"/>
  <c r="AB11" i="2120"/>
  <c r="AF10" i="2120"/>
  <c r="Q10" i="2120"/>
  <c r="O10" i="2120"/>
  <c r="AF9" i="2120"/>
  <c r="AB9" i="2120"/>
  <c r="Q9" i="2120"/>
  <c r="O9" i="2120"/>
  <c r="M9" i="2120"/>
  <c r="AF8" i="2120"/>
  <c r="Q8" i="2120"/>
  <c r="O8" i="2120"/>
  <c r="AF7" i="2120"/>
  <c r="Q7" i="2120"/>
  <c r="AF6" i="2120"/>
  <c r="AB6" i="2120"/>
  <c r="Q6" i="2120"/>
  <c r="P6" i="2120"/>
  <c r="AC6" i="2120" s="1"/>
  <c r="O6" i="2120"/>
  <c r="M6" i="2120"/>
  <c r="K6" i="2120"/>
  <c r="G27" i="16"/>
  <c r="G26" i="16"/>
  <c r="G25" i="16"/>
  <c r="G24" i="16"/>
  <c r="G23" i="16"/>
  <c r="G22" i="16"/>
  <c r="G21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2" i="2119"/>
  <c r="K22" i="2119" s="1"/>
  <c r="L21" i="2119"/>
  <c r="L20" i="2119"/>
  <c r="L18" i="2119"/>
  <c r="L16" i="2119"/>
  <c r="L15" i="2119"/>
  <c r="K15" i="2119" s="1"/>
  <c r="AF15" i="2119"/>
  <c r="Q15" i="2119"/>
  <c r="L14" i="2119"/>
  <c r="K14" i="2119" s="1"/>
  <c r="L13" i="2119"/>
  <c r="L12" i="2119"/>
  <c r="AF11" i="2119"/>
  <c r="Q11" i="2119"/>
  <c r="O11" i="2119"/>
  <c r="L11" i="2119"/>
  <c r="AB11" i="2119" s="1"/>
  <c r="AE28" i="2126" l="1"/>
  <c r="AE26" i="2126"/>
  <c r="AE23" i="2126"/>
  <c r="AE19" i="2126"/>
  <c r="AE16" i="2126"/>
  <c r="AE13" i="2126"/>
  <c r="AE10" i="2126"/>
  <c r="AE7" i="2126"/>
  <c r="AE20" i="2126"/>
  <c r="AE27" i="2126"/>
  <c r="AE24" i="2126"/>
  <c r="AE22" i="2126"/>
  <c r="AE17" i="2126"/>
  <c r="AE14" i="2126"/>
  <c r="AE11" i="2126"/>
  <c r="AE8" i="2126"/>
  <c r="AE25" i="2126"/>
  <c r="AE18" i="2126"/>
  <c r="AE15" i="2126"/>
  <c r="AE12" i="2126"/>
  <c r="AE9" i="2126"/>
  <c r="AE6" i="2126"/>
  <c r="AE19" i="2125"/>
  <c r="AE22" i="2125"/>
  <c r="AE12" i="2125"/>
  <c r="AE8" i="2125"/>
  <c r="AE17" i="2125"/>
  <c r="AE6" i="2125"/>
  <c r="AE21" i="2125"/>
  <c r="AE20" i="2125"/>
  <c r="AE9" i="2125"/>
  <c r="AE23" i="2125"/>
  <c r="AE11" i="2125"/>
  <c r="AE7" i="2125"/>
  <c r="AE24" i="2125"/>
  <c r="AE13" i="2125"/>
  <c r="AE15" i="2125"/>
  <c r="AE25" i="2125"/>
  <c r="AE14" i="2125"/>
  <c r="AE10" i="2125"/>
  <c r="AE26" i="2125"/>
  <c r="AE16" i="2125"/>
  <c r="AE18" i="2125"/>
  <c r="AE11" i="2123"/>
  <c r="AE17" i="2123"/>
  <c r="AE10" i="2123"/>
  <c r="AE13" i="2123"/>
  <c r="AE14" i="2123"/>
  <c r="AE8" i="2123"/>
  <c r="AE21" i="2123"/>
  <c r="AE6" i="2123"/>
  <c r="AE19" i="2123"/>
  <c r="AE9" i="2123"/>
  <c r="AE15" i="2123"/>
  <c r="AE16" i="2123"/>
  <c r="AE25" i="2123"/>
  <c r="AE12" i="2123"/>
  <c r="AE22" i="2123"/>
  <c r="AE20" i="2123"/>
  <c r="AE7" i="2123"/>
  <c r="AE18" i="2123"/>
  <c r="AE19" i="2122"/>
  <c r="AE9" i="2122"/>
  <c r="AE27" i="2122"/>
  <c r="AE14" i="2122"/>
  <c r="AE6" i="2122"/>
  <c r="AE7" i="2122"/>
  <c r="AE10" i="2122"/>
  <c r="AE22" i="2122"/>
  <c r="AE15" i="2122"/>
  <c r="AE17" i="2122"/>
  <c r="AE11" i="2122"/>
  <c r="AE13" i="2122"/>
  <c r="AE8" i="2122"/>
  <c r="AE24" i="2122"/>
  <c r="AE21" i="2122"/>
  <c r="AE20" i="2122"/>
  <c r="AE18" i="2122"/>
  <c r="AE16" i="2122"/>
  <c r="AE12" i="2122"/>
  <c r="AE26" i="2122"/>
  <c r="AE23" i="2122"/>
  <c r="AD18" i="2121"/>
  <c r="AD8" i="2121"/>
  <c r="Q28" i="2121"/>
  <c r="AD12" i="2121"/>
  <c r="AD17" i="2121"/>
  <c r="AD6" i="2121"/>
  <c r="AD16" i="2121"/>
  <c r="AD20" i="2121"/>
  <c r="AD14" i="2121"/>
  <c r="M7" i="2121"/>
  <c r="AB7" i="2121"/>
  <c r="M10" i="2121"/>
  <c r="AB10" i="2121"/>
  <c r="O11" i="2121"/>
  <c r="AD11" i="2121" s="1"/>
  <c r="M13" i="2121"/>
  <c r="AB13" i="2121"/>
  <c r="AD13" i="2121" s="1"/>
  <c r="P15" i="2121"/>
  <c r="AC15" i="2121" s="1"/>
  <c r="AD15" i="2121" s="1"/>
  <c r="M19" i="2121"/>
  <c r="AB19" i="2121"/>
  <c r="P21" i="2121"/>
  <c r="AC21" i="2121" s="1"/>
  <c r="AD21" i="2121" s="1"/>
  <c r="L28" i="2121"/>
  <c r="O28" i="2121" s="1"/>
  <c r="O7" i="2121"/>
  <c r="M9" i="2121"/>
  <c r="AB9" i="2121"/>
  <c r="AD9" i="2121" s="1"/>
  <c r="O10" i="2121"/>
  <c r="O13" i="2121"/>
  <c r="O19" i="2121"/>
  <c r="K28" i="2121"/>
  <c r="M15" i="2121"/>
  <c r="M21" i="2121"/>
  <c r="M21" i="2120"/>
  <c r="AB21" i="2120"/>
  <c r="P21" i="2120"/>
  <c r="AC21" i="2120" s="1"/>
  <c r="AD21" i="2120" s="1"/>
  <c r="P19" i="2120"/>
  <c r="AC19" i="2120" s="1"/>
  <c r="AD26" i="2120"/>
  <c r="AD15" i="2120"/>
  <c r="AD25" i="2120"/>
  <c r="AD24" i="2120"/>
  <c r="P9" i="2120"/>
  <c r="AC9" i="2120" s="1"/>
  <c r="AD9" i="2120" s="1"/>
  <c r="AD22" i="2120"/>
  <c r="AD17" i="2120"/>
  <c r="P10" i="2120"/>
  <c r="AC10" i="2120" s="1"/>
  <c r="AB10" i="2120"/>
  <c r="Q28" i="2120"/>
  <c r="AB7" i="2120"/>
  <c r="P7" i="2120"/>
  <c r="AC7" i="2120" s="1"/>
  <c r="AD12" i="2120"/>
  <c r="AD13" i="2120"/>
  <c r="AD18" i="2120"/>
  <c r="AD6" i="2120"/>
  <c r="M7" i="2120"/>
  <c r="M11" i="2120"/>
  <c r="M14" i="2120"/>
  <c r="M16" i="2120"/>
  <c r="AB16" i="2120"/>
  <c r="AD16" i="2120" s="1"/>
  <c r="AB19" i="2120"/>
  <c r="O20" i="2120"/>
  <c r="O7" i="2120"/>
  <c r="K28" i="2120"/>
  <c r="P8" i="2120"/>
  <c r="AC8" i="2120" s="1"/>
  <c r="M10" i="2120"/>
  <c r="O11" i="2120"/>
  <c r="AD11" i="2120" s="1"/>
  <c r="M13" i="2120"/>
  <c r="O14" i="2120"/>
  <c r="AD14" i="2120" s="1"/>
  <c r="M18" i="2120"/>
  <c r="O19" i="2120"/>
  <c r="P20" i="2120"/>
  <c r="AC20" i="2120" s="1"/>
  <c r="L28" i="2120"/>
  <c r="O28" i="2120" s="1"/>
  <c r="AB8" i="2120"/>
  <c r="M20" i="2120"/>
  <c r="M8" i="2120"/>
  <c r="AB15" i="2119"/>
  <c r="O15" i="2119"/>
  <c r="M15" i="2119"/>
  <c r="P15" i="2119"/>
  <c r="AC15" i="2119" s="1"/>
  <c r="K11" i="2119"/>
  <c r="P11" i="2119"/>
  <c r="AC11" i="2119" s="1"/>
  <c r="AD11" i="2119" s="1"/>
  <c r="M11" i="2119"/>
  <c r="AD10" i="2121" l="1"/>
  <c r="AC28" i="2121"/>
  <c r="M28" i="2121"/>
  <c r="AD19" i="2121"/>
  <c r="P28" i="2121"/>
  <c r="AB28" i="2121"/>
  <c r="AD7" i="2121"/>
  <c r="AD10" i="2120"/>
  <c r="AD7" i="2120"/>
  <c r="AD19" i="2120"/>
  <c r="P28" i="2120"/>
  <c r="AB28" i="2120"/>
  <c r="M28" i="2120"/>
  <c r="AD20" i="2120"/>
  <c r="AD8" i="2120"/>
  <c r="AC28" i="2120"/>
  <c r="AD15" i="2119"/>
  <c r="AD28" i="2121" l="1"/>
  <c r="AE27" i="2121" s="1"/>
  <c r="AE17" i="2121"/>
  <c r="AE14" i="2121"/>
  <c r="AE11" i="2121"/>
  <c r="AE23" i="2121"/>
  <c r="AE21" i="2121"/>
  <c r="AE15" i="2121"/>
  <c r="AE8" i="2121"/>
  <c r="AE22" i="2121"/>
  <c r="AE19" i="2121"/>
  <c r="AE13" i="2121"/>
  <c r="AE10" i="2121"/>
  <c r="AE26" i="2121"/>
  <c r="AE24" i="2121"/>
  <c r="AE18" i="2121"/>
  <c r="AE16" i="2121"/>
  <c r="AE12" i="2121"/>
  <c r="AE9" i="2121"/>
  <c r="AE6" i="2121"/>
  <c r="AE7" i="2121"/>
  <c r="AD28" i="2120"/>
  <c r="AE22" i="2120" s="1"/>
  <c r="AE20" i="2121" l="1"/>
  <c r="AE25" i="2121"/>
  <c r="AE19" i="2120"/>
  <c r="AE16" i="2120"/>
  <c r="AE9" i="2120"/>
  <c r="AE18" i="2120"/>
  <c r="AE27" i="2120"/>
  <c r="AE8" i="2120"/>
  <c r="AE6" i="2120"/>
  <c r="AE12" i="2120"/>
  <c r="AE20" i="2120"/>
  <c r="AE21" i="2120"/>
  <c r="AE13" i="2120"/>
  <c r="AE17" i="2120"/>
  <c r="AE11" i="2120"/>
  <c r="AE24" i="2120"/>
  <c r="AE23" i="2120"/>
  <c r="AE7" i="2120"/>
  <c r="AE15" i="2120"/>
  <c r="AE26" i="2120"/>
  <c r="AE14" i="2120"/>
  <c r="AE10" i="2120"/>
  <c r="AE25" i="2120"/>
  <c r="K12" i="2119" l="1"/>
  <c r="L10" i="2119"/>
  <c r="K10" i="2119" s="1"/>
  <c r="L9" i="2119"/>
  <c r="L8" i="2119"/>
  <c r="K8" i="2119" s="1"/>
  <c r="L7" i="2119"/>
  <c r="K7" i="2119" s="1"/>
  <c r="K21" i="2119"/>
  <c r="K20" i="2119"/>
  <c r="K18" i="2119"/>
  <c r="K13" i="2119"/>
  <c r="K9" i="2119"/>
  <c r="A85" i="2119"/>
  <c r="A86" i="2119" s="1"/>
  <c r="A87" i="2119" s="1"/>
  <c r="A88" i="2119" s="1"/>
  <c r="A89" i="2119" s="1"/>
  <c r="A90" i="2119" s="1"/>
  <c r="AF69" i="2119"/>
  <c r="AF68" i="2119"/>
  <c r="AA30" i="2119"/>
  <c r="Z30" i="2119"/>
  <c r="Y30" i="2119"/>
  <c r="X30" i="2119"/>
  <c r="W30" i="2119"/>
  <c r="V30" i="2119"/>
  <c r="U30" i="2119"/>
  <c r="T30" i="2119"/>
  <c r="S30" i="2119"/>
  <c r="R30" i="2119"/>
  <c r="N30" i="2119"/>
  <c r="J30" i="2119"/>
  <c r="I30" i="2119"/>
  <c r="AF29" i="2119"/>
  <c r="AB29" i="2119"/>
  <c r="Q29" i="2119"/>
  <c r="P29" i="2119"/>
  <c r="AC29" i="2119" s="1"/>
  <c r="O29" i="2119"/>
  <c r="M29" i="2119"/>
  <c r="K29" i="2119"/>
  <c r="AF28" i="2119"/>
  <c r="AB28" i="2119"/>
  <c r="Q28" i="2119"/>
  <c r="P28" i="2119"/>
  <c r="AC28" i="2119" s="1"/>
  <c r="O28" i="2119"/>
  <c r="M28" i="2119"/>
  <c r="K28" i="2119"/>
  <c r="AF27" i="2119"/>
  <c r="AB27" i="2119"/>
  <c r="Q27" i="2119"/>
  <c r="P27" i="2119"/>
  <c r="AC27" i="2119" s="1"/>
  <c r="O27" i="2119"/>
  <c r="M27" i="2119"/>
  <c r="K27" i="2119"/>
  <c r="AF26" i="2119"/>
  <c r="AB26" i="2119"/>
  <c r="Q26" i="2119"/>
  <c r="P26" i="2119"/>
  <c r="AC26" i="2119" s="1"/>
  <c r="AD26" i="2119" s="1"/>
  <c r="O26" i="2119"/>
  <c r="M26" i="2119"/>
  <c r="K26" i="2119"/>
  <c r="AF25" i="2119"/>
  <c r="AB25" i="2119"/>
  <c r="Q25" i="2119"/>
  <c r="P25" i="2119"/>
  <c r="AC25" i="2119" s="1"/>
  <c r="O25" i="2119"/>
  <c r="M25" i="2119"/>
  <c r="K25" i="2119"/>
  <c r="AF24" i="2119"/>
  <c r="AB24" i="2119"/>
  <c r="Q24" i="2119"/>
  <c r="P24" i="2119"/>
  <c r="AC24" i="2119" s="1"/>
  <c r="O24" i="2119"/>
  <c r="M24" i="2119"/>
  <c r="K24" i="2119"/>
  <c r="AF23" i="2119"/>
  <c r="AB23" i="2119"/>
  <c r="Q23" i="2119"/>
  <c r="P23" i="2119"/>
  <c r="AC23" i="2119" s="1"/>
  <c r="O23" i="2119"/>
  <c r="M23" i="2119"/>
  <c r="K23" i="2119"/>
  <c r="AF22" i="2119"/>
  <c r="AB22" i="2119"/>
  <c r="Q22" i="2119"/>
  <c r="O22" i="2119"/>
  <c r="M22" i="2119"/>
  <c r="P22" i="2119"/>
  <c r="AC22" i="2119" s="1"/>
  <c r="AF21" i="2119"/>
  <c r="AB21" i="2119"/>
  <c r="Q21" i="2119"/>
  <c r="M21" i="2119"/>
  <c r="P21" i="2119"/>
  <c r="AC21" i="2119" s="1"/>
  <c r="AF20" i="2119"/>
  <c r="AB20" i="2119"/>
  <c r="Q20" i="2119"/>
  <c r="P20" i="2119" s="1"/>
  <c r="AC20" i="2119" s="1"/>
  <c r="O20" i="2119"/>
  <c r="M20" i="2119"/>
  <c r="AF19" i="2119"/>
  <c r="AB19" i="2119"/>
  <c r="Q19" i="2119"/>
  <c r="P19" i="2119"/>
  <c r="AC19" i="2119" s="1"/>
  <c r="O19" i="2119"/>
  <c r="M19" i="2119"/>
  <c r="K19" i="2119"/>
  <c r="AF18" i="2119"/>
  <c r="Q18" i="2119"/>
  <c r="P18" i="2119"/>
  <c r="AC18" i="2119" s="1"/>
  <c r="AF17" i="2119"/>
  <c r="AB17" i="2119"/>
  <c r="Q17" i="2119"/>
  <c r="P17" i="2119"/>
  <c r="AC17" i="2119" s="1"/>
  <c r="O17" i="2119"/>
  <c r="M17" i="2119"/>
  <c r="K17" i="2119"/>
  <c r="AF16" i="2119"/>
  <c r="AB16" i="2119"/>
  <c r="Q16" i="2119"/>
  <c r="P16" i="2119"/>
  <c r="AC16" i="2119" s="1"/>
  <c r="O16" i="2119"/>
  <c r="M16" i="2119"/>
  <c r="K16" i="2119"/>
  <c r="AF14" i="2119"/>
  <c r="Q14" i="2119"/>
  <c r="P14" i="2119" s="1"/>
  <c r="AC14" i="2119" s="1"/>
  <c r="O14" i="2119"/>
  <c r="AB14" i="2119"/>
  <c r="AF13" i="2119"/>
  <c r="AB13" i="2119"/>
  <c r="Q13" i="2119"/>
  <c r="O13" i="2119"/>
  <c r="M13" i="2119"/>
  <c r="P13" i="2119"/>
  <c r="AC13" i="2119" s="1"/>
  <c r="AF12" i="2119"/>
  <c r="Q12" i="2119"/>
  <c r="AF10" i="2119"/>
  <c r="AB10" i="2119"/>
  <c r="Q10" i="2119"/>
  <c r="P10" i="2119" s="1"/>
  <c r="AC10" i="2119" s="1"/>
  <c r="O10" i="2119"/>
  <c r="M10" i="2119"/>
  <c r="AF9" i="2119"/>
  <c r="AB9" i="2119"/>
  <c r="Q9" i="2119"/>
  <c r="P9" i="2119" s="1"/>
  <c r="AC9" i="2119" s="1"/>
  <c r="O9" i="2119"/>
  <c r="M9" i="2119"/>
  <c r="AF8" i="2119"/>
  <c r="AB8" i="2119"/>
  <c r="Q8" i="2119"/>
  <c r="P8" i="2119" s="1"/>
  <c r="AC8" i="2119" s="1"/>
  <c r="M8" i="2119"/>
  <c r="AF7" i="2119"/>
  <c r="Q7" i="2119"/>
  <c r="AF6" i="2119"/>
  <c r="AB6" i="2119"/>
  <c r="Q6" i="2119"/>
  <c r="P6" i="2119"/>
  <c r="AC6" i="2119" s="1"/>
  <c r="O6" i="2119"/>
  <c r="M6" i="2119"/>
  <c r="K6" i="2119"/>
  <c r="F27" i="16"/>
  <c r="F26" i="16"/>
  <c r="F25" i="16"/>
  <c r="F24" i="16"/>
  <c r="F23" i="16"/>
  <c r="F22" i="16"/>
  <c r="F21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0" i="2117"/>
  <c r="K20" i="2117" s="1"/>
  <c r="L19" i="2117"/>
  <c r="K19" i="2117" s="1"/>
  <c r="L16" i="2117"/>
  <c r="AB16" i="2117" s="1"/>
  <c r="L13" i="2117"/>
  <c r="O13" i="2117" s="1"/>
  <c r="L12" i="2117"/>
  <c r="K12" i="2117" s="1"/>
  <c r="L11" i="2117"/>
  <c r="K11" i="2117" s="1"/>
  <c r="L9" i="2117"/>
  <c r="K9" i="2117" s="1"/>
  <c r="L8" i="2117"/>
  <c r="K8" i="2117" s="1"/>
  <c r="L7" i="2117"/>
  <c r="K7" i="2117" s="1"/>
  <c r="K18" i="2117"/>
  <c r="K17" i="2117"/>
  <c r="K10" i="2117"/>
  <c r="A85" i="2117"/>
  <c r="A86" i="2117" s="1"/>
  <c r="A87" i="2117" s="1"/>
  <c r="A88" i="2117" s="1"/>
  <c r="A84" i="2117"/>
  <c r="A83" i="2117"/>
  <c r="AF67" i="2117"/>
  <c r="AF66" i="2117"/>
  <c r="AF69" i="2117" s="1"/>
  <c r="AA28" i="2117"/>
  <c r="Z28" i="2117"/>
  <c r="Y28" i="2117"/>
  <c r="X28" i="2117"/>
  <c r="W28" i="2117"/>
  <c r="V28" i="2117"/>
  <c r="U28" i="2117"/>
  <c r="T28" i="2117"/>
  <c r="S28" i="2117"/>
  <c r="R28" i="2117"/>
  <c r="N28" i="2117"/>
  <c r="J28" i="2117"/>
  <c r="I28" i="2117"/>
  <c r="AF27" i="2117"/>
  <c r="AB27" i="2117"/>
  <c r="Q27" i="2117"/>
  <c r="P27" i="2117"/>
  <c r="AC27" i="2117" s="1"/>
  <c r="AD27" i="2117" s="1"/>
  <c r="O27" i="2117"/>
  <c r="M27" i="2117"/>
  <c r="K27" i="2117"/>
  <c r="AF26" i="2117"/>
  <c r="AB26" i="2117"/>
  <c r="Q26" i="2117"/>
  <c r="P26" i="2117"/>
  <c r="AC26" i="2117" s="1"/>
  <c r="AD26" i="2117" s="1"/>
  <c r="O26" i="2117"/>
  <c r="M26" i="2117"/>
  <c r="K26" i="2117"/>
  <c r="AF25" i="2117"/>
  <c r="AB25" i="2117"/>
  <c r="Q25" i="2117"/>
  <c r="P25" i="2117"/>
  <c r="AC25" i="2117" s="1"/>
  <c r="AD25" i="2117" s="1"/>
  <c r="O25" i="2117"/>
  <c r="M25" i="2117"/>
  <c r="K25" i="2117"/>
  <c r="AF24" i="2117"/>
  <c r="AB24" i="2117"/>
  <c r="Q24" i="2117"/>
  <c r="P24" i="2117"/>
  <c r="AC24" i="2117" s="1"/>
  <c r="AD24" i="2117" s="1"/>
  <c r="O24" i="2117"/>
  <c r="M24" i="2117"/>
  <c r="K24" i="2117"/>
  <c r="AF23" i="2117"/>
  <c r="AB23" i="2117"/>
  <c r="Q23" i="2117"/>
  <c r="P23" i="2117"/>
  <c r="AC23" i="2117" s="1"/>
  <c r="AD23" i="2117" s="1"/>
  <c r="O23" i="2117"/>
  <c r="M23" i="2117"/>
  <c r="K23" i="2117"/>
  <c r="AF22" i="2117"/>
  <c r="AB22" i="2117"/>
  <c r="Q22" i="2117"/>
  <c r="P22" i="2117"/>
  <c r="AC22" i="2117" s="1"/>
  <c r="AD22" i="2117" s="1"/>
  <c r="O22" i="2117"/>
  <c r="M22" i="2117"/>
  <c r="K22" i="2117"/>
  <c r="AF21" i="2117"/>
  <c r="AC21" i="2117"/>
  <c r="AD21" i="2117" s="1"/>
  <c r="AB21" i="2117"/>
  <c r="Q21" i="2117"/>
  <c r="P21" i="2117"/>
  <c r="O21" i="2117"/>
  <c r="M21" i="2117"/>
  <c r="K21" i="2117"/>
  <c r="AF20" i="2117"/>
  <c r="Q20" i="2117"/>
  <c r="P20" i="2117" s="1"/>
  <c r="AC20" i="2117" s="1"/>
  <c r="O20" i="2117"/>
  <c r="AF19" i="2117"/>
  <c r="AB19" i="2117"/>
  <c r="Q19" i="2117"/>
  <c r="P19" i="2117"/>
  <c r="AC19" i="2117" s="1"/>
  <c r="O19" i="2117"/>
  <c r="M19" i="2117"/>
  <c r="AF18" i="2117"/>
  <c r="AB18" i="2117"/>
  <c r="Q18" i="2117"/>
  <c r="P18" i="2117" s="1"/>
  <c r="AC18" i="2117" s="1"/>
  <c r="O18" i="2117"/>
  <c r="M18" i="2117"/>
  <c r="AF17" i="2117"/>
  <c r="Q17" i="2117"/>
  <c r="P17" i="2117"/>
  <c r="AC17" i="2117" s="1"/>
  <c r="O17" i="2117"/>
  <c r="AF16" i="2117"/>
  <c r="Q16" i="2117"/>
  <c r="O16" i="2117"/>
  <c r="M16" i="2117"/>
  <c r="AF15" i="2117"/>
  <c r="AC15" i="2117"/>
  <c r="AD15" i="2117" s="1"/>
  <c r="AB15" i="2117"/>
  <c r="Q15" i="2117"/>
  <c r="P15" i="2117"/>
  <c r="O15" i="2117"/>
  <c r="M15" i="2117"/>
  <c r="K15" i="2117"/>
  <c r="AF14" i="2117"/>
  <c r="AB14" i="2117"/>
  <c r="Q14" i="2117"/>
  <c r="P14" i="2117"/>
  <c r="AC14" i="2117" s="1"/>
  <c r="O14" i="2117"/>
  <c r="M14" i="2117"/>
  <c r="K14" i="2117"/>
  <c r="AF13" i="2117"/>
  <c r="Q13" i="2117"/>
  <c r="AF12" i="2117"/>
  <c r="Q12" i="2117"/>
  <c r="P12" i="2117"/>
  <c r="AC12" i="2117" s="1"/>
  <c r="AF11" i="2117"/>
  <c r="Q11" i="2117"/>
  <c r="P11" i="2117"/>
  <c r="AC11" i="2117" s="1"/>
  <c r="O11" i="2117"/>
  <c r="AF10" i="2117"/>
  <c r="AB10" i="2117"/>
  <c r="Q10" i="2117"/>
  <c r="P10" i="2117" s="1"/>
  <c r="AC10" i="2117" s="1"/>
  <c r="O10" i="2117"/>
  <c r="M10" i="2117"/>
  <c r="AF9" i="2117"/>
  <c r="AB9" i="2117"/>
  <c r="Q9" i="2117"/>
  <c r="O9" i="2117"/>
  <c r="M9" i="2117"/>
  <c r="P9" i="2117"/>
  <c r="AF8" i="2117"/>
  <c r="AB8" i="2117"/>
  <c r="Q8" i="2117"/>
  <c r="P8" i="2117" s="1"/>
  <c r="AC8" i="2117" s="1"/>
  <c r="O8" i="2117"/>
  <c r="M8" i="2117"/>
  <c r="AF7" i="2117"/>
  <c r="Q7" i="2117"/>
  <c r="P7" i="2117"/>
  <c r="AC7" i="2117" s="1"/>
  <c r="O7" i="2117"/>
  <c r="M7" i="2117"/>
  <c r="AB7" i="2117"/>
  <c r="AF6" i="2117"/>
  <c r="AC6" i="2117"/>
  <c r="AD6" i="2117" s="1"/>
  <c r="AB6" i="2117"/>
  <c r="Q6" i="2117"/>
  <c r="Q28" i="2117" s="1"/>
  <c r="P6" i="2117"/>
  <c r="O6" i="2117"/>
  <c r="M6" i="2117"/>
  <c r="K6" i="2117"/>
  <c r="E27" i="16"/>
  <c r="E26" i="16"/>
  <c r="E25" i="16"/>
  <c r="E24" i="16"/>
  <c r="E23" i="16"/>
  <c r="E22" i="16"/>
  <c r="E21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0" i="2116"/>
  <c r="L19" i="2116"/>
  <c r="K19" i="2116" s="1"/>
  <c r="L17" i="2116"/>
  <c r="K17" i="2116" s="1"/>
  <c r="L16" i="2116"/>
  <c r="K16" i="2116" s="1"/>
  <c r="L13" i="2116"/>
  <c r="L12" i="2116"/>
  <c r="K12" i="2116" s="1"/>
  <c r="L11" i="2116"/>
  <c r="L10" i="2116"/>
  <c r="L9" i="2116"/>
  <c r="L7" i="2116"/>
  <c r="K18" i="2116"/>
  <c r="K9" i="2116"/>
  <c r="K8" i="2116"/>
  <c r="A83" i="2116"/>
  <c r="A84" i="2116" s="1"/>
  <c r="A85" i="2116" s="1"/>
  <c r="A86" i="2116" s="1"/>
  <c r="A87" i="2116" s="1"/>
  <c r="A88" i="2116" s="1"/>
  <c r="AF67" i="2116"/>
  <c r="AF69" i="2116" s="1"/>
  <c r="AF66" i="2116"/>
  <c r="AA28" i="2116"/>
  <c r="Z28" i="2116"/>
  <c r="Y28" i="2116"/>
  <c r="X28" i="2116"/>
  <c r="W28" i="2116"/>
  <c r="V28" i="2116"/>
  <c r="U28" i="2116"/>
  <c r="T28" i="2116"/>
  <c r="S28" i="2116"/>
  <c r="R28" i="2116"/>
  <c r="N28" i="2116"/>
  <c r="J28" i="2116"/>
  <c r="I28" i="2116"/>
  <c r="AF27" i="2116"/>
  <c r="AB27" i="2116"/>
  <c r="Q27" i="2116"/>
  <c r="P27" i="2116"/>
  <c r="AC27" i="2116" s="1"/>
  <c r="AD27" i="2116" s="1"/>
  <c r="O27" i="2116"/>
  <c r="M27" i="2116"/>
  <c r="K27" i="2116"/>
  <c r="AF26" i="2116"/>
  <c r="AB26" i="2116"/>
  <c r="Q26" i="2116"/>
  <c r="P26" i="2116"/>
  <c r="AC26" i="2116" s="1"/>
  <c r="AD26" i="2116" s="1"/>
  <c r="O26" i="2116"/>
  <c r="M26" i="2116"/>
  <c r="K26" i="2116"/>
  <c r="AF25" i="2116"/>
  <c r="AB25" i="2116"/>
  <c r="Q25" i="2116"/>
  <c r="P25" i="2116"/>
  <c r="AC25" i="2116" s="1"/>
  <c r="AD25" i="2116" s="1"/>
  <c r="O25" i="2116"/>
  <c r="M25" i="2116"/>
  <c r="K25" i="2116"/>
  <c r="AF24" i="2116"/>
  <c r="AB24" i="2116"/>
  <c r="Q24" i="2116"/>
  <c r="P24" i="2116"/>
  <c r="AC24" i="2116" s="1"/>
  <c r="AD24" i="2116" s="1"/>
  <c r="O24" i="2116"/>
  <c r="M24" i="2116"/>
  <c r="K24" i="2116"/>
  <c r="AF23" i="2116"/>
  <c r="AB23" i="2116"/>
  <c r="Q23" i="2116"/>
  <c r="P23" i="2116"/>
  <c r="AC23" i="2116" s="1"/>
  <c r="AD23" i="2116" s="1"/>
  <c r="O23" i="2116"/>
  <c r="M23" i="2116"/>
  <c r="K23" i="2116"/>
  <c r="AF22" i="2116"/>
  <c r="AB22" i="2116"/>
  <c r="Q22" i="2116"/>
  <c r="P22" i="2116"/>
  <c r="AC22" i="2116" s="1"/>
  <c r="AD22" i="2116" s="1"/>
  <c r="O22" i="2116"/>
  <c r="M22" i="2116"/>
  <c r="K22" i="2116"/>
  <c r="AF21" i="2116"/>
  <c r="AB21" i="2116"/>
  <c r="Q21" i="2116"/>
  <c r="P21" i="2116"/>
  <c r="AC21" i="2116" s="1"/>
  <c r="AD21" i="2116" s="1"/>
  <c r="O21" i="2116"/>
  <c r="M21" i="2116"/>
  <c r="K21" i="2116"/>
  <c r="AF20" i="2116"/>
  <c r="AB20" i="2116"/>
  <c r="Q20" i="2116"/>
  <c r="P20" i="2116"/>
  <c r="AC20" i="2116" s="1"/>
  <c r="O20" i="2116"/>
  <c r="M20" i="2116"/>
  <c r="K20" i="2116"/>
  <c r="AF19" i="2116"/>
  <c r="AB19" i="2116"/>
  <c r="Q19" i="2116"/>
  <c r="O19" i="2116"/>
  <c r="M19" i="2116"/>
  <c r="AF18" i="2116"/>
  <c r="AB18" i="2116"/>
  <c r="Q18" i="2116"/>
  <c r="P18" i="2116" s="1"/>
  <c r="AC18" i="2116" s="1"/>
  <c r="AD18" i="2116" s="1"/>
  <c r="M18" i="2116"/>
  <c r="O18" i="2116"/>
  <c r="AF17" i="2116"/>
  <c r="Q17" i="2116"/>
  <c r="O17" i="2116"/>
  <c r="AB17" i="2116"/>
  <c r="AF16" i="2116"/>
  <c r="AB16" i="2116"/>
  <c r="Q16" i="2116"/>
  <c r="P16" i="2116" s="1"/>
  <c r="AC16" i="2116" s="1"/>
  <c r="O16" i="2116"/>
  <c r="M16" i="2116"/>
  <c r="AF15" i="2116"/>
  <c r="AB15" i="2116"/>
  <c r="Q15" i="2116"/>
  <c r="P15" i="2116"/>
  <c r="AC15" i="2116" s="1"/>
  <c r="O15" i="2116"/>
  <c r="M15" i="2116"/>
  <c r="K15" i="2116"/>
  <c r="AF14" i="2116"/>
  <c r="AB14" i="2116"/>
  <c r="Q14" i="2116"/>
  <c r="P14" i="2116"/>
  <c r="AC14" i="2116" s="1"/>
  <c r="AD14" i="2116" s="1"/>
  <c r="O14" i="2116"/>
  <c r="M14" i="2116"/>
  <c r="K14" i="2116"/>
  <c r="AF13" i="2116"/>
  <c r="AB13" i="2116"/>
  <c r="Q13" i="2116"/>
  <c r="P13" i="2116"/>
  <c r="AC13" i="2116" s="1"/>
  <c r="O13" i="2116"/>
  <c r="M13" i="2116"/>
  <c r="K13" i="2116"/>
  <c r="AF12" i="2116"/>
  <c r="Q12" i="2116"/>
  <c r="AF11" i="2116"/>
  <c r="Q11" i="2116"/>
  <c r="AF10" i="2116"/>
  <c r="AB10" i="2116"/>
  <c r="Q10" i="2116"/>
  <c r="P10" i="2116" s="1"/>
  <c r="AC10" i="2116" s="1"/>
  <c r="O10" i="2116"/>
  <c r="M10" i="2116"/>
  <c r="K10" i="2116"/>
  <c r="AF9" i="2116"/>
  <c r="Q9" i="2116"/>
  <c r="P9" i="2116" s="1"/>
  <c r="AC9" i="2116" s="1"/>
  <c r="AF8" i="2116"/>
  <c r="AB8" i="2116"/>
  <c r="Q8" i="2116"/>
  <c r="P8" i="2116"/>
  <c r="AC8" i="2116" s="1"/>
  <c r="O8" i="2116"/>
  <c r="M8" i="2116"/>
  <c r="AF7" i="2116"/>
  <c r="AB7" i="2116"/>
  <c r="Q7" i="2116"/>
  <c r="P7" i="2116"/>
  <c r="AC7" i="2116" s="1"/>
  <c r="AD7" i="2116" s="1"/>
  <c r="O7" i="2116"/>
  <c r="M7" i="2116"/>
  <c r="K7" i="2116"/>
  <c r="AF6" i="2116"/>
  <c r="AB6" i="2116"/>
  <c r="Q6" i="2116"/>
  <c r="P6" i="2116"/>
  <c r="AC6" i="2116" s="1"/>
  <c r="O6" i="2116"/>
  <c r="M6" i="2116"/>
  <c r="K6" i="2116"/>
  <c r="C27" i="16"/>
  <c r="C26" i="16"/>
  <c r="C25" i="16"/>
  <c r="C24" i="16"/>
  <c r="C23" i="16"/>
  <c r="C22" i="16"/>
  <c r="C21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18" i="2115"/>
  <c r="AB18" i="2115" s="1"/>
  <c r="L17" i="2115"/>
  <c r="AB17" i="2115" s="1"/>
  <c r="K17" i="2115"/>
  <c r="L11" i="2115"/>
  <c r="L9" i="2115"/>
  <c r="AB9" i="2115" s="1"/>
  <c r="K20" i="2115"/>
  <c r="K18" i="2115"/>
  <c r="K16" i="2115"/>
  <c r="K15" i="2115"/>
  <c r="K13" i="2115"/>
  <c r="K12" i="2115"/>
  <c r="K11" i="2115"/>
  <c r="K10" i="2115"/>
  <c r="K9" i="2115"/>
  <c r="K8" i="2115"/>
  <c r="K6" i="2115"/>
  <c r="A83" i="2115"/>
  <c r="A84" i="2115" s="1"/>
  <c r="A85" i="2115" s="1"/>
  <c r="A86" i="2115" s="1"/>
  <c r="A87" i="2115" s="1"/>
  <c r="A88" i="2115" s="1"/>
  <c r="AF69" i="2115"/>
  <c r="AF67" i="2115"/>
  <c r="AF66" i="2115"/>
  <c r="AA28" i="2115"/>
  <c r="Z28" i="2115"/>
  <c r="Y28" i="2115"/>
  <c r="X28" i="2115"/>
  <c r="W28" i="2115"/>
  <c r="V28" i="2115"/>
  <c r="U28" i="2115"/>
  <c r="T28" i="2115"/>
  <c r="S28" i="2115"/>
  <c r="R28" i="2115"/>
  <c r="N28" i="2115"/>
  <c r="J28" i="2115"/>
  <c r="I28" i="2115"/>
  <c r="AF27" i="2115"/>
  <c r="AC27" i="2115"/>
  <c r="AD27" i="2115" s="1"/>
  <c r="AB27" i="2115"/>
  <c r="Q27" i="2115"/>
  <c r="P27" i="2115"/>
  <c r="O27" i="2115"/>
  <c r="M27" i="2115"/>
  <c r="K27" i="2115"/>
  <c r="AF26" i="2115"/>
  <c r="AB26" i="2115"/>
  <c r="Q26" i="2115"/>
  <c r="P26" i="2115"/>
  <c r="AC26" i="2115" s="1"/>
  <c r="AD26" i="2115" s="1"/>
  <c r="O26" i="2115"/>
  <c r="M26" i="2115"/>
  <c r="K26" i="2115"/>
  <c r="AF25" i="2115"/>
  <c r="AC25" i="2115"/>
  <c r="AD25" i="2115" s="1"/>
  <c r="AB25" i="2115"/>
  <c r="Q25" i="2115"/>
  <c r="P25" i="2115"/>
  <c r="O25" i="2115"/>
  <c r="M25" i="2115"/>
  <c r="K25" i="2115"/>
  <c r="AF24" i="2115"/>
  <c r="AB24" i="2115"/>
  <c r="Q24" i="2115"/>
  <c r="P24" i="2115"/>
  <c r="AC24" i="2115" s="1"/>
  <c r="AD24" i="2115" s="1"/>
  <c r="O24" i="2115"/>
  <c r="M24" i="2115"/>
  <c r="K24" i="2115"/>
  <c r="AF23" i="2115"/>
  <c r="AC23" i="2115"/>
  <c r="AD23" i="2115" s="1"/>
  <c r="AB23" i="2115"/>
  <c r="Q23" i="2115"/>
  <c r="P23" i="2115"/>
  <c r="O23" i="2115"/>
  <c r="M23" i="2115"/>
  <c r="K23" i="2115"/>
  <c r="AF22" i="2115"/>
  <c r="AB22" i="2115"/>
  <c r="Q22" i="2115"/>
  <c r="P22" i="2115"/>
  <c r="AC22" i="2115" s="1"/>
  <c r="AD22" i="2115" s="1"/>
  <c r="O22" i="2115"/>
  <c r="M22" i="2115"/>
  <c r="K22" i="2115"/>
  <c r="AF21" i="2115"/>
  <c r="AC21" i="2115"/>
  <c r="AD21" i="2115" s="1"/>
  <c r="AB21" i="2115"/>
  <c r="Q21" i="2115"/>
  <c r="P21" i="2115"/>
  <c r="O21" i="2115"/>
  <c r="M21" i="2115"/>
  <c r="K21" i="2115"/>
  <c r="AF20" i="2115"/>
  <c r="Q20" i="2115"/>
  <c r="P20" i="2115"/>
  <c r="AC20" i="2115" s="1"/>
  <c r="O20" i="2115"/>
  <c r="AF19" i="2115"/>
  <c r="AC19" i="2115"/>
  <c r="AD19" i="2115" s="1"/>
  <c r="AB19" i="2115"/>
  <c r="Q19" i="2115"/>
  <c r="P19" i="2115"/>
  <c r="O19" i="2115"/>
  <c r="M19" i="2115"/>
  <c r="K19" i="2115"/>
  <c r="AF18" i="2115"/>
  <c r="Q18" i="2115"/>
  <c r="P18" i="2115" s="1"/>
  <c r="AC18" i="2115" s="1"/>
  <c r="O18" i="2115"/>
  <c r="M18" i="2115"/>
  <c r="AF17" i="2115"/>
  <c r="Q17" i="2115"/>
  <c r="P17" i="2115"/>
  <c r="AC17" i="2115" s="1"/>
  <c r="O17" i="2115"/>
  <c r="AF16" i="2115"/>
  <c r="AB16" i="2115"/>
  <c r="Q16" i="2115"/>
  <c r="P16" i="2115"/>
  <c r="AC16" i="2115" s="1"/>
  <c r="AD16" i="2115" s="1"/>
  <c r="O16" i="2115"/>
  <c r="M16" i="2115"/>
  <c r="AF15" i="2115"/>
  <c r="Q15" i="2115"/>
  <c r="P15" i="2115"/>
  <c r="AC15" i="2115" s="1"/>
  <c r="AF14" i="2115"/>
  <c r="AB14" i="2115"/>
  <c r="Q14" i="2115"/>
  <c r="P14" i="2115"/>
  <c r="AC14" i="2115" s="1"/>
  <c r="O14" i="2115"/>
  <c r="M14" i="2115"/>
  <c r="K14" i="2115"/>
  <c r="AF13" i="2115"/>
  <c r="AB13" i="2115"/>
  <c r="Q13" i="2115"/>
  <c r="P13" i="2115"/>
  <c r="AC13" i="2115" s="1"/>
  <c r="AD13" i="2115" s="1"/>
  <c r="O13" i="2115"/>
  <c r="M13" i="2115"/>
  <c r="AF12" i="2115"/>
  <c r="Q12" i="2115"/>
  <c r="P12" i="2115"/>
  <c r="AC12" i="2115" s="1"/>
  <c r="AF11" i="2115"/>
  <c r="Q11" i="2115"/>
  <c r="O11" i="2115"/>
  <c r="AF10" i="2115"/>
  <c r="Q10" i="2115"/>
  <c r="P10" i="2115"/>
  <c r="AC10" i="2115" s="1"/>
  <c r="O10" i="2115"/>
  <c r="AB10" i="2115"/>
  <c r="AF9" i="2115"/>
  <c r="Q9" i="2115"/>
  <c r="P9" i="2115" s="1"/>
  <c r="AC9" i="2115" s="1"/>
  <c r="O9" i="2115"/>
  <c r="AF8" i="2115"/>
  <c r="AB8" i="2115"/>
  <c r="Q8" i="2115"/>
  <c r="P8" i="2115" s="1"/>
  <c r="AC8" i="2115" s="1"/>
  <c r="AD8" i="2115" s="1"/>
  <c r="O8" i="2115"/>
  <c r="M8" i="2115"/>
  <c r="AF7" i="2115"/>
  <c r="AC7" i="2115"/>
  <c r="AD7" i="2115" s="1"/>
  <c r="AB7" i="2115"/>
  <c r="Q7" i="2115"/>
  <c r="P7" i="2115"/>
  <c r="O7" i="2115"/>
  <c r="M7" i="2115"/>
  <c r="K7" i="2115"/>
  <c r="AF6" i="2115"/>
  <c r="Q6" i="2115"/>
  <c r="P6" i="2115"/>
  <c r="B27" i="16"/>
  <c r="B26" i="16"/>
  <c r="AG26" i="16" s="1"/>
  <c r="B25" i="16"/>
  <c r="B24" i="16"/>
  <c r="B23" i="16"/>
  <c r="B22" i="16"/>
  <c r="AG22" i="16" s="1"/>
  <c r="B21" i="16"/>
  <c r="B18" i="16"/>
  <c r="B17" i="16"/>
  <c r="B16" i="16"/>
  <c r="AG16" i="16" s="1"/>
  <c r="B15" i="16"/>
  <c r="B14" i="16"/>
  <c r="B13" i="16"/>
  <c r="B12" i="16"/>
  <c r="AG12" i="16" s="1"/>
  <c r="B11" i="16"/>
  <c r="B10" i="16"/>
  <c r="B9" i="16"/>
  <c r="B8" i="16"/>
  <c r="AG8" i="16" s="1"/>
  <c r="B7" i="16"/>
  <c r="B6" i="16"/>
  <c r="B5" i="16"/>
  <c r="B4" i="16"/>
  <c r="AG4" i="16" s="1"/>
  <c r="B3" i="16"/>
  <c r="AG27" i="16"/>
  <c r="AG23" i="16"/>
  <c r="AG17" i="16"/>
  <c r="AG13" i="16"/>
  <c r="AG9" i="16"/>
  <c r="AG5" i="16"/>
  <c r="L20" i="2114"/>
  <c r="K20" i="2114" s="1"/>
  <c r="L17" i="2114"/>
  <c r="L16" i="2114"/>
  <c r="K16" i="2114" s="1"/>
  <c r="L15" i="2114"/>
  <c r="L13" i="2114"/>
  <c r="AB13" i="2114" s="1"/>
  <c r="L12" i="2114"/>
  <c r="L11" i="2114"/>
  <c r="O11" i="2114" s="1"/>
  <c r="L10" i="2114"/>
  <c r="K10" i="2114" s="1"/>
  <c r="L9" i="2114"/>
  <c r="K9" i="2114" s="1"/>
  <c r="K8" i="2114"/>
  <c r="L6" i="2114"/>
  <c r="K6" i="2114" s="1"/>
  <c r="K27" i="2114"/>
  <c r="K22" i="2114"/>
  <c r="K21" i="2114"/>
  <c r="K19" i="2114"/>
  <c r="K17" i="2114"/>
  <c r="K15" i="2114"/>
  <c r="K12" i="2114"/>
  <c r="K7" i="2114"/>
  <c r="K24" i="2114"/>
  <c r="AF18" i="2114"/>
  <c r="AB18" i="2114"/>
  <c r="Q18" i="2114"/>
  <c r="P18" i="2114" s="1"/>
  <c r="AC18" i="2114" s="1"/>
  <c r="O18" i="2114"/>
  <c r="M18" i="2114"/>
  <c r="K18" i="2114"/>
  <c r="A83" i="2114"/>
  <c r="A84" i="2114" s="1"/>
  <c r="A85" i="2114" s="1"/>
  <c r="A86" i="2114" s="1"/>
  <c r="A87" i="2114" s="1"/>
  <c r="A88" i="2114" s="1"/>
  <c r="AF67" i="2114"/>
  <c r="AF66" i="2114"/>
  <c r="AA28" i="2114"/>
  <c r="Z28" i="2114"/>
  <c r="Y28" i="2114"/>
  <c r="X28" i="2114"/>
  <c r="W28" i="2114"/>
  <c r="V28" i="2114"/>
  <c r="U28" i="2114"/>
  <c r="T28" i="2114"/>
  <c r="S28" i="2114"/>
  <c r="R28" i="2114"/>
  <c r="N28" i="2114"/>
  <c r="J28" i="2114"/>
  <c r="I28" i="2114"/>
  <c r="AF27" i="2114"/>
  <c r="Q27" i="2114"/>
  <c r="P27" i="2114" s="1"/>
  <c r="AC27" i="2114" s="1"/>
  <c r="O27" i="2114"/>
  <c r="AB27" i="2114"/>
  <c r="AF26" i="2114"/>
  <c r="AB26" i="2114"/>
  <c r="Q26" i="2114"/>
  <c r="P26" i="2114"/>
  <c r="AC26" i="2114" s="1"/>
  <c r="O26" i="2114"/>
  <c r="M26" i="2114"/>
  <c r="K26" i="2114"/>
  <c r="AF25" i="2114"/>
  <c r="AB25" i="2114"/>
  <c r="Q25" i="2114"/>
  <c r="P25" i="2114"/>
  <c r="AC25" i="2114" s="1"/>
  <c r="O25" i="2114"/>
  <c r="M25" i="2114"/>
  <c r="K25" i="2114"/>
  <c r="AF24" i="2114"/>
  <c r="AB24" i="2114"/>
  <c r="Q24" i="2114"/>
  <c r="P24" i="2114"/>
  <c r="AC24" i="2114" s="1"/>
  <c r="O24" i="2114"/>
  <c r="M24" i="2114"/>
  <c r="AF23" i="2114"/>
  <c r="AB23" i="2114"/>
  <c r="Q23" i="2114"/>
  <c r="P23" i="2114"/>
  <c r="AC23" i="2114" s="1"/>
  <c r="O23" i="2114"/>
  <c r="M23" i="2114"/>
  <c r="K23" i="2114"/>
  <c r="AF22" i="2114"/>
  <c r="Q22" i="2114"/>
  <c r="AF21" i="2114"/>
  <c r="Q21" i="2114"/>
  <c r="AB21" i="2114"/>
  <c r="AF20" i="2114"/>
  <c r="AB20" i="2114"/>
  <c r="Q20" i="2114"/>
  <c r="P20" i="2114" s="1"/>
  <c r="AC20" i="2114" s="1"/>
  <c r="O20" i="2114"/>
  <c r="M20" i="2114"/>
  <c r="AF19" i="2114"/>
  <c r="Q19" i="2114"/>
  <c r="M19" i="2114"/>
  <c r="AF17" i="2114"/>
  <c r="Q17" i="2114"/>
  <c r="AF16" i="2114"/>
  <c r="Q16" i="2114"/>
  <c r="AF15" i="2114"/>
  <c r="AB15" i="2114"/>
  <c r="Q15" i="2114"/>
  <c r="O15" i="2114"/>
  <c r="M15" i="2114"/>
  <c r="AF14" i="2114"/>
  <c r="AB14" i="2114"/>
  <c r="Q14" i="2114"/>
  <c r="P14" i="2114"/>
  <c r="AC14" i="2114" s="1"/>
  <c r="O14" i="2114"/>
  <c r="M14" i="2114"/>
  <c r="K14" i="2114"/>
  <c r="AF13" i="2114"/>
  <c r="Q13" i="2114"/>
  <c r="P13" i="2114" s="1"/>
  <c r="AC13" i="2114" s="1"/>
  <c r="AF12" i="2114"/>
  <c r="Q12" i="2114"/>
  <c r="AF11" i="2114"/>
  <c r="Q11" i="2114"/>
  <c r="AF10" i="2114"/>
  <c r="Q10" i="2114"/>
  <c r="P10" i="2114" s="1"/>
  <c r="AC10" i="2114" s="1"/>
  <c r="O10" i="2114"/>
  <c r="AB10" i="2114"/>
  <c r="AF9" i="2114"/>
  <c r="Q9" i="2114"/>
  <c r="O9" i="2114"/>
  <c r="AF8" i="2114"/>
  <c r="AB8" i="2114"/>
  <c r="Q8" i="2114"/>
  <c r="P8" i="2114" s="1"/>
  <c r="AC8" i="2114" s="1"/>
  <c r="O8" i="2114"/>
  <c r="M8" i="2114"/>
  <c r="AF7" i="2114"/>
  <c r="Q7" i="2114"/>
  <c r="P7" i="2114" s="1"/>
  <c r="AC7" i="2114" s="1"/>
  <c r="O7" i="2114"/>
  <c r="AB7" i="2114"/>
  <c r="AF6" i="2114"/>
  <c r="Q6" i="2114"/>
  <c r="AG3" i="16" l="1"/>
  <c r="AG7" i="16"/>
  <c r="AG11" i="16"/>
  <c r="AG15" i="16"/>
  <c r="AG21" i="16"/>
  <c r="AG25" i="16"/>
  <c r="AD29" i="2119"/>
  <c r="AD19" i="2119"/>
  <c r="AD28" i="2119"/>
  <c r="AF71" i="2119"/>
  <c r="M12" i="2119"/>
  <c r="AD24" i="2119"/>
  <c r="AD27" i="2119"/>
  <c r="P12" i="2119"/>
  <c r="AC12" i="2119" s="1"/>
  <c r="AC30" i="2119" s="1"/>
  <c r="AD22" i="2119"/>
  <c r="AD25" i="2119"/>
  <c r="P7" i="2119"/>
  <c r="AC7" i="2119" s="1"/>
  <c r="AB12" i="2119"/>
  <c r="AD16" i="2119"/>
  <c r="AD23" i="2119"/>
  <c r="Q30" i="2119"/>
  <c r="AD9" i="2119"/>
  <c r="AD10" i="2119"/>
  <c r="AD13" i="2119"/>
  <c r="AD14" i="2119"/>
  <c r="AD17" i="2119"/>
  <c r="AD20" i="2119"/>
  <c r="AD6" i="2119"/>
  <c r="M7" i="2119"/>
  <c r="AB7" i="2119"/>
  <c r="O8" i="2119"/>
  <c r="AD8" i="2119" s="1"/>
  <c r="O12" i="2119"/>
  <c r="M18" i="2119"/>
  <c r="AB18" i="2119"/>
  <c r="O21" i="2119"/>
  <c r="AD21" i="2119" s="1"/>
  <c r="L30" i="2119"/>
  <c r="O30" i="2119" s="1"/>
  <c r="O7" i="2119"/>
  <c r="K30" i="2119"/>
  <c r="M14" i="2119"/>
  <c r="O18" i="2119"/>
  <c r="AD19" i="2117"/>
  <c r="P16" i="2117"/>
  <c r="AC16" i="2117" s="1"/>
  <c r="AD16" i="2117" s="1"/>
  <c r="K16" i="2117"/>
  <c r="P13" i="2117"/>
  <c r="AC13" i="2117" s="1"/>
  <c r="AB13" i="2117"/>
  <c r="K13" i="2117"/>
  <c r="M13" i="2117"/>
  <c r="AD10" i="2117"/>
  <c r="AD8" i="2117"/>
  <c r="AD14" i="2117"/>
  <c r="AD18" i="2117"/>
  <c r="AD7" i="2117"/>
  <c r="AC9" i="2117"/>
  <c r="AD9" i="2117" s="1"/>
  <c r="M12" i="2117"/>
  <c r="AB12" i="2117"/>
  <c r="M11" i="2117"/>
  <c r="AB11" i="2117"/>
  <c r="O12" i="2117"/>
  <c r="M17" i="2117"/>
  <c r="AB17" i="2117"/>
  <c r="AD17" i="2117" s="1"/>
  <c r="M20" i="2117"/>
  <c r="AB20" i="2117"/>
  <c r="AD20" i="2117" s="1"/>
  <c r="L28" i="2117"/>
  <c r="O28" i="2117" s="1"/>
  <c r="K28" i="2117"/>
  <c r="AD20" i="2116"/>
  <c r="P19" i="2116"/>
  <c r="AC19" i="2116" s="1"/>
  <c r="AD19" i="2116" s="1"/>
  <c r="O12" i="2116"/>
  <c r="AB12" i="2116"/>
  <c r="P12" i="2116"/>
  <c r="AC12" i="2116" s="1"/>
  <c r="M12" i="2116"/>
  <c r="P11" i="2116"/>
  <c r="AC11" i="2116" s="1"/>
  <c r="O11" i="2116"/>
  <c r="AB11" i="2116"/>
  <c r="K11" i="2116"/>
  <c r="M11" i="2116"/>
  <c r="AD10" i="2116"/>
  <c r="Q28" i="2116"/>
  <c r="AD13" i="2116"/>
  <c r="AD8" i="2116"/>
  <c r="AD16" i="2116"/>
  <c r="AD15" i="2116"/>
  <c r="AD6" i="2116"/>
  <c r="L28" i="2116"/>
  <c r="O28" i="2116" s="1"/>
  <c r="M9" i="2116"/>
  <c r="AB9" i="2116"/>
  <c r="P17" i="2116"/>
  <c r="AC17" i="2116" s="1"/>
  <c r="AD17" i="2116" s="1"/>
  <c r="O9" i="2116"/>
  <c r="K28" i="2116"/>
  <c r="M17" i="2116"/>
  <c r="AG6" i="16"/>
  <c r="AG10" i="16"/>
  <c r="AG14" i="16"/>
  <c r="AG18" i="16"/>
  <c r="AG24" i="16"/>
  <c r="P11" i="2115"/>
  <c r="AC11" i="2115" s="1"/>
  <c r="Q28" i="2115"/>
  <c r="AD9" i="2115"/>
  <c r="M9" i="2115"/>
  <c r="AD14" i="2115"/>
  <c r="AD18" i="2115"/>
  <c r="AD17" i="2115"/>
  <c r="AD10" i="2115"/>
  <c r="AC6" i="2115"/>
  <c r="P28" i="2115"/>
  <c r="AD20" i="2115"/>
  <c r="L28" i="2115"/>
  <c r="O28" i="2115" s="1"/>
  <c r="M6" i="2115"/>
  <c r="AB6" i="2115"/>
  <c r="M12" i="2115"/>
  <c r="AB12" i="2115"/>
  <c r="AD12" i="2115" s="1"/>
  <c r="M15" i="2115"/>
  <c r="AB15" i="2115"/>
  <c r="O6" i="2115"/>
  <c r="M11" i="2115"/>
  <c r="AB11" i="2115"/>
  <c r="AD11" i="2115" s="1"/>
  <c r="O12" i="2115"/>
  <c r="O15" i="2115"/>
  <c r="M20" i="2115"/>
  <c r="AB20" i="2115"/>
  <c r="K28" i="2115"/>
  <c r="M10" i="2115"/>
  <c r="M17" i="2115"/>
  <c r="K13" i="2114"/>
  <c r="M9" i="2114"/>
  <c r="O13" i="2114"/>
  <c r="K11" i="2114"/>
  <c r="P15" i="2114"/>
  <c r="AC15" i="2114" s="1"/>
  <c r="AD15" i="2114" s="1"/>
  <c r="P6" i="2114"/>
  <c r="AC6" i="2114" s="1"/>
  <c r="AD18" i="2114"/>
  <c r="AF69" i="2114"/>
  <c r="AB6" i="2114"/>
  <c r="P11" i="2114"/>
  <c r="AC11" i="2114" s="1"/>
  <c r="M6" i="2114"/>
  <c r="AB11" i="2114"/>
  <c r="O16" i="2114"/>
  <c r="O6" i="2114"/>
  <c r="AD6" i="2114" s="1"/>
  <c r="M11" i="2114"/>
  <c r="AD25" i="2114"/>
  <c r="P17" i="2114"/>
  <c r="AC17" i="2114" s="1"/>
  <c r="AB17" i="2114"/>
  <c r="O17" i="2114"/>
  <c r="P9" i="2114"/>
  <c r="AC9" i="2114" s="1"/>
  <c r="M12" i="2114"/>
  <c r="AB12" i="2114"/>
  <c r="M22" i="2114"/>
  <c r="AB22" i="2114"/>
  <c r="AD24" i="2114"/>
  <c r="K28" i="2114"/>
  <c r="AB9" i="2114"/>
  <c r="O12" i="2114"/>
  <c r="O22" i="2114"/>
  <c r="AD14" i="2114"/>
  <c r="L28" i="2114"/>
  <c r="O28" i="2114" s="1"/>
  <c r="P12" i="2114"/>
  <c r="AC12" i="2114" s="1"/>
  <c r="AD12" i="2114" s="1"/>
  <c r="P22" i="2114"/>
  <c r="AC22" i="2114" s="1"/>
  <c r="P16" i="2114"/>
  <c r="AC16" i="2114" s="1"/>
  <c r="M16" i="2114"/>
  <c r="AB16" i="2114"/>
  <c r="AD8" i="2114"/>
  <c r="Q28" i="2114"/>
  <c r="AD23" i="2114"/>
  <c r="AD26" i="2114"/>
  <c r="AD27" i="2114"/>
  <c r="AD20" i="2114"/>
  <c r="AD10" i="2114"/>
  <c r="AD13" i="2114"/>
  <c r="AD7" i="2114"/>
  <c r="AB19" i="2114"/>
  <c r="O19" i="2114"/>
  <c r="M21" i="2114"/>
  <c r="M7" i="2114"/>
  <c r="M10" i="2114"/>
  <c r="M13" i="2114"/>
  <c r="M17" i="2114"/>
  <c r="P19" i="2114"/>
  <c r="AC19" i="2114" s="1"/>
  <c r="O21" i="2114"/>
  <c r="M27" i="2114"/>
  <c r="P21" i="2114"/>
  <c r="AC21" i="2114" s="1"/>
  <c r="P30" i="2119" l="1"/>
  <c r="AD12" i="2119"/>
  <c r="AD18" i="2119"/>
  <c r="AD7" i="2119"/>
  <c r="M30" i="2119"/>
  <c r="AB30" i="2119"/>
  <c r="AC28" i="2117"/>
  <c r="P28" i="2117"/>
  <c r="AD13" i="2117"/>
  <c r="AD12" i="2117"/>
  <c r="AB28" i="2117"/>
  <c r="M28" i="2117"/>
  <c r="AD11" i="2117"/>
  <c r="AD12" i="2116"/>
  <c r="AD11" i="2116"/>
  <c r="AB28" i="2116"/>
  <c r="M28" i="2116"/>
  <c r="AD9" i="2116"/>
  <c r="AD28" i="2116" s="1"/>
  <c r="P28" i="2116"/>
  <c r="AC28" i="2116"/>
  <c r="AD15" i="2115"/>
  <c r="AB28" i="2115"/>
  <c r="M28" i="2115"/>
  <c r="AD6" i="2115"/>
  <c r="AC28" i="2115"/>
  <c r="AD9" i="2114"/>
  <c r="AD22" i="2114"/>
  <c r="AD11" i="2114"/>
  <c r="AC28" i="2114"/>
  <c r="AD17" i="2114"/>
  <c r="AB28" i="2114"/>
  <c r="AD16" i="2114"/>
  <c r="M28" i="2114"/>
  <c r="AD21" i="2114"/>
  <c r="AD19" i="2114"/>
  <c r="P28" i="2114"/>
  <c r="AD30" i="2119" l="1"/>
  <c r="AE27" i="2119" s="1"/>
  <c r="AD28" i="2117"/>
  <c r="AE25" i="2117" s="1"/>
  <c r="AE27" i="2116"/>
  <c r="AE25" i="2116"/>
  <c r="AE23" i="2116"/>
  <c r="AE21" i="2116"/>
  <c r="AE19" i="2116"/>
  <c r="AE16" i="2116"/>
  <c r="AE14" i="2116"/>
  <c r="AE12" i="2116"/>
  <c r="AE7" i="2116"/>
  <c r="AE9" i="2116"/>
  <c r="AE17" i="2116"/>
  <c r="AE10" i="2116"/>
  <c r="AE26" i="2116"/>
  <c r="AE24" i="2116"/>
  <c r="AE22" i="2116"/>
  <c r="AE20" i="2116"/>
  <c r="AE18" i="2116"/>
  <c r="AE15" i="2116"/>
  <c r="AE13" i="2116"/>
  <c r="AE11" i="2116"/>
  <c r="AE8" i="2116"/>
  <c r="AE6" i="2116"/>
  <c r="AD28" i="2115"/>
  <c r="AE25" i="2115" s="1"/>
  <c r="AD28" i="2114"/>
  <c r="AE13" i="2119" l="1"/>
  <c r="AE16" i="2119"/>
  <c r="AE14" i="2119"/>
  <c r="AE19" i="2119"/>
  <c r="AE28" i="2119"/>
  <c r="AE21" i="2119"/>
  <c r="AE9" i="2119"/>
  <c r="AE24" i="2119"/>
  <c r="AE12" i="2119"/>
  <c r="AE6" i="2119"/>
  <c r="AE26" i="2119"/>
  <c r="AE17" i="2119"/>
  <c r="AE22" i="2119"/>
  <c r="AE8" i="2119"/>
  <c r="AE7" i="2119"/>
  <c r="AE10" i="2119"/>
  <c r="AE20" i="2119"/>
  <c r="AE18" i="2119"/>
  <c r="AE29" i="2119"/>
  <c r="AE23" i="2119"/>
  <c r="AE25" i="2119"/>
  <c r="AE11" i="2119"/>
  <c r="AE15" i="2119"/>
  <c r="AE10" i="2117"/>
  <c r="AE14" i="2117"/>
  <c r="AE16" i="2117"/>
  <c r="AE21" i="2117"/>
  <c r="AE24" i="2117"/>
  <c r="AE9" i="2117"/>
  <c r="AE11" i="2117"/>
  <c r="AE18" i="2117"/>
  <c r="AE22" i="2117"/>
  <c r="AE6" i="2117"/>
  <c r="AE27" i="2117"/>
  <c r="AE17" i="2117"/>
  <c r="AE26" i="2117"/>
  <c r="AE19" i="2117"/>
  <c r="AE13" i="2117"/>
  <c r="AE23" i="2117"/>
  <c r="AE8" i="2117"/>
  <c r="AE20" i="2117"/>
  <c r="AE7" i="2117"/>
  <c r="AE12" i="2117"/>
  <c r="AE15" i="2117"/>
  <c r="AE16" i="2115"/>
  <c r="AE14" i="2115"/>
  <c r="AE24" i="2115"/>
  <c r="AE8" i="2115"/>
  <c r="AE26" i="2115"/>
  <c r="AE12" i="2115"/>
  <c r="AE19" i="2115"/>
  <c r="AE21" i="2115"/>
  <c r="AE11" i="2115"/>
  <c r="AE17" i="2115"/>
  <c r="AE27" i="2115"/>
  <c r="AE15" i="2115"/>
  <c r="AE20" i="2115"/>
  <c r="AE7" i="2115"/>
  <c r="AE9" i="2115"/>
  <c r="AE23" i="2115"/>
  <c r="AE6" i="2115"/>
  <c r="AE18" i="2115"/>
  <c r="AE22" i="2115"/>
  <c r="AE10" i="2115"/>
  <c r="AE13" i="2115"/>
  <c r="AE13" i="2114"/>
  <c r="AE18" i="2114"/>
  <c r="AE15" i="2114"/>
  <c r="AE22" i="2114"/>
  <c r="AE25" i="2114"/>
  <c r="AE17" i="2114"/>
  <c r="AE24" i="2114"/>
  <c r="AE21" i="2114"/>
  <c r="AE7" i="2114"/>
  <c r="AE20" i="2114"/>
  <c r="AE12" i="2114"/>
  <c r="AE26" i="2114"/>
  <c r="AE8" i="2114"/>
  <c r="AE23" i="2114"/>
  <c r="AE6" i="2114"/>
  <c r="AE19" i="2114"/>
  <c r="AE9" i="2114"/>
  <c r="AE11" i="2114"/>
  <c r="AE10" i="2114"/>
  <c r="AE27" i="2114"/>
  <c r="AE16" i="2114"/>
  <c r="AE14" i="2114"/>
</calcChain>
</file>

<file path=xl/sharedStrings.xml><?xml version="1.0" encoding="utf-8"?>
<sst xmlns="http://schemas.openxmlformats.org/spreadsheetml/2006/main" count="6467" uniqueCount="940">
  <si>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</si>
  <si>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</si>
  <si>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</si>
  <si>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</si>
  <si>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</si>
  <si>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</si>
  <si>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</si>
  <si>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</si>
  <si>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</si>
  <si>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</si>
  <si>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</si>
  <si>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</si>
  <si>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</si>
  <si>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</si>
  <si>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</si>
  <si>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</si>
  <si>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</si>
  <si>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</si>
  <si>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</si>
  <si>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</si>
  <si>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</si>
  <si>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</si>
  <si>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</si>
  <si>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</si>
  <si>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</si>
  <si>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</si>
  <si>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</si>
  <si>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</si>
  <si>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</si>
  <si>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</si>
  <si>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</si>
  <si>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</si>
  <si>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</si>
  <si>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</si>
  <si>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</si>
  <si>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</si>
  <si>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</si>
  <si>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</si>
  <si>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</si>
  <si>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</si>
  <si>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</si>
  <si>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</si>
  <si>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</si>
  <si>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</si>
  <si>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</si>
  <si>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</si>
  <si>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</si>
  <si>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</si>
  <si>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</si>
  <si>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</si>
  <si>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</si>
  <si>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</si>
  <si>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</si>
  <si>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</si>
  <si>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</si>
  <si>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</si>
  <si>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</si>
  <si>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</si>
  <si>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</si>
  <si>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</si>
  <si>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</si>
  <si>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</si>
  <si>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</si>
  <si>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</si>
  <si>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</si>
  <si>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</si>
  <si>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</si>
  <si>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</si>
  <si>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</si>
  <si>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</si>
  <si>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</si>
  <si>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</si>
  <si>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</si>
  <si>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</si>
  <si>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</si>
  <si>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</si>
  <si>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</si>
  <si>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</si>
  <si>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</si>
  <si>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</si>
  <si>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</si>
  <si>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</si>
  <si>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</si>
  <si>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</si>
  <si>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</si>
  <si>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</si>
  <si>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</si>
  <si>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</si>
  <si>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</si>
  <si>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</si>
  <si>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</si>
  <si>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</si>
  <si>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</si>
  <si>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</si>
  <si>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</si>
  <si>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</si>
  <si>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</si>
  <si>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</si>
  <si>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</si>
  <si>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</si>
  <si>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</si>
  <si>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</si>
  <si>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</si>
  <si>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</si>
  <si>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</si>
  <si>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</si>
  <si>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</si>
  <si>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</si>
  <si>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</si>
  <si>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</si>
  <si>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</si>
  <si>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</si>
  <si>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</si>
  <si>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</si>
  <si>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</si>
  <si>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</si>
  <si>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SST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</si>
  <si>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</si>
  <si>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</si>
  <si>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</si>
  <si>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품  명</t>
    <phoneticPr fontId="2" type="noConversion"/>
  </si>
  <si>
    <t>COVER</t>
    <phoneticPr fontId="2" type="noConversion"/>
  </si>
  <si>
    <t>SF2255</t>
    <phoneticPr fontId="2" type="noConversion"/>
  </si>
  <si>
    <t>SGF2030</t>
    <phoneticPr fontId="2" type="noConversion"/>
  </si>
  <si>
    <t>SGF2033 N/P</t>
    <phoneticPr fontId="2" type="noConversion"/>
  </si>
  <si>
    <t>K-AR3533-1A</t>
    <phoneticPr fontId="2" type="noConversion"/>
  </si>
  <si>
    <t>HICON</t>
    <phoneticPr fontId="2" type="noConversion"/>
  </si>
  <si>
    <t>SLIDER</t>
    <phoneticPr fontId="2" type="noConversion"/>
  </si>
  <si>
    <t>KR6463-GA180PLA</t>
  </si>
  <si>
    <t>EEEEEEEEEEEEEEEEEEEEEEEEE</t>
    <phoneticPr fontId="2" type="noConversion"/>
  </si>
  <si>
    <t>31호기</t>
    <phoneticPr fontId="2" type="noConversion"/>
  </si>
  <si>
    <t>32호기</t>
    <phoneticPr fontId="2" type="noConversion"/>
  </si>
  <si>
    <t>33호기</t>
    <phoneticPr fontId="2" type="noConversion"/>
  </si>
  <si>
    <t>34호기</t>
    <phoneticPr fontId="2" type="noConversion"/>
  </si>
  <si>
    <t>35호기</t>
    <phoneticPr fontId="2" type="noConversion"/>
  </si>
  <si>
    <t>36호기</t>
    <phoneticPr fontId="2" type="noConversion"/>
  </si>
  <si>
    <t>SGF2033</t>
    <phoneticPr fontId="2" type="noConversion"/>
  </si>
  <si>
    <t>SF2255 I/V</t>
    <phoneticPr fontId="2" type="noConversion"/>
  </si>
  <si>
    <t>ADAPTER</t>
    <phoneticPr fontId="2" type="noConversion"/>
  </si>
  <si>
    <t>8301</t>
    <phoneticPr fontId="2" type="noConversion"/>
  </si>
  <si>
    <t>1</t>
    <phoneticPr fontId="2" type="noConversion"/>
  </si>
  <si>
    <t>SGP2030R</t>
    <phoneticPr fontId="2" type="noConversion"/>
  </si>
  <si>
    <t>LEAD GUIDER</t>
    <phoneticPr fontId="2" type="noConversion"/>
  </si>
  <si>
    <t>AMB0172A-KAA-R3</t>
    <phoneticPr fontId="2" type="noConversion"/>
  </si>
  <si>
    <t>수리후양산</t>
    <phoneticPr fontId="2" type="noConversion"/>
  </si>
  <si>
    <t>4</t>
    <phoneticPr fontId="2" type="noConversion"/>
  </si>
  <si>
    <t>22P(4POST)</t>
    <phoneticPr fontId="2" type="noConversion"/>
  </si>
  <si>
    <t>AMB07AB3A-KAA-R1</t>
    <phoneticPr fontId="2" type="noConversion"/>
  </si>
  <si>
    <t>K-AR3545-1A</t>
    <phoneticPr fontId="2" type="noConversion"/>
  </si>
  <si>
    <t>K-AR3544-1A</t>
    <phoneticPr fontId="2" type="noConversion"/>
  </si>
  <si>
    <t>24P(4POST)</t>
    <phoneticPr fontId="2" type="noConversion"/>
  </si>
  <si>
    <t>K-AR3537-1A</t>
    <phoneticPr fontId="2" type="noConversion"/>
  </si>
  <si>
    <t>AMB0355A-KAA-R2</t>
    <phoneticPr fontId="2" type="noConversion"/>
  </si>
  <si>
    <t>SGF2050</t>
    <phoneticPr fontId="2" type="noConversion"/>
  </si>
  <si>
    <t>수정</t>
    <phoneticPr fontId="2" type="noConversion"/>
  </si>
  <si>
    <t>3</t>
    <phoneticPr fontId="2" type="noConversion"/>
  </si>
  <si>
    <t>코아파손수리</t>
    <phoneticPr fontId="2" type="noConversion"/>
  </si>
  <si>
    <t>STOPPER</t>
    <phoneticPr fontId="2" type="noConversion"/>
  </si>
  <si>
    <t>7301</t>
    <phoneticPr fontId="2" type="noConversion"/>
  </si>
  <si>
    <t>ACTUATOR</t>
    <phoneticPr fontId="2" type="noConversion"/>
  </si>
  <si>
    <t>HDBF05-M02B1</t>
    <phoneticPr fontId="2" type="noConversion"/>
  </si>
  <si>
    <t>AMB07Z2A-KAA-R1</t>
    <phoneticPr fontId="2" type="noConversion"/>
  </si>
  <si>
    <t>SGF2041 N/P</t>
    <phoneticPr fontId="2" type="noConversion"/>
  </si>
  <si>
    <t>OKINS</t>
    <phoneticPr fontId="2" type="noConversion"/>
  </si>
  <si>
    <t>13</t>
    <phoneticPr fontId="2" type="noConversion"/>
  </si>
  <si>
    <t>AMB0414A-KAA-R3</t>
    <phoneticPr fontId="2" type="noConversion"/>
  </si>
  <si>
    <t>288F84M-B157A</t>
    <phoneticPr fontId="2" type="noConversion"/>
  </si>
  <si>
    <t>288F84M-B158A</t>
    <phoneticPr fontId="2" type="noConversion"/>
  </si>
  <si>
    <t>G1300H</t>
    <phoneticPr fontId="2" type="noConversion"/>
  </si>
  <si>
    <t>수리후양산-&gt;코아파손정지</t>
    <phoneticPr fontId="2" type="noConversion"/>
  </si>
  <si>
    <t>TRAY</t>
    <phoneticPr fontId="2" type="noConversion"/>
  </si>
  <si>
    <t>RJR</t>
    <phoneticPr fontId="2" type="noConversion"/>
  </si>
  <si>
    <t>KR6422-B589CA</t>
    <phoneticPr fontId="2" type="noConversion"/>
  </si>
  <si>
    <t>AMB1901D-JAA-R2</t>
    <phoneticPr fontId="2" type="noConversion"/>
  </si>
  <si>
    <t>CR02</t>
    <phoneticPr fontId="2" type="noConversion"/>
  </si>
  <si>
    <t>KR6170BD740UB</t>
    <phoneticPr fontId="2" type="noConversion"/>
  </si>
  <si>
    <t>KR6170AF1440UA</t>
    <phoneticPr fontId="2" type="noConversion"/>
  </si>
  <si>
    <t>KR6422-A556YA</t>
    <phoneticPr fontId="2" type="noConversion"/>
  </si>
  <si>
    <t>AMB0252A-KAA-R1</t>
    <phoneticPr fontId="2" type="noConversion"/>
  </si>
  <si>
    <t>400H-ABG2622A-1</t>
    <phoneticPr fontId="2" type="noConversion"/>
  </si>
  <si>
    <t>15</t>
    <phoneticPr fontId="2" type="noConversion"/>
  </si>
  <si>
    <t>AMB0150A-KAA-R4</t>
    <phoneticPr fontId="2" type="noConversion"/>
  </si>
  <si>
    <r>
      <t>2021년 10월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</si>
  <si>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10월 호기별 가동현황</t>
    <phoneticPr fontId="2" type="noConversion"/>
  </si>
  <si>
    <t>긁힘수리</t>
    <phoneticPr fontId="2" type="noConversion"/>
  </si>
  <si>
    <t>뜯김수리</t>
    <phoneticPr fontId="2" type="noConversion"/>
  </si>
  <si>
    <t>AMB0150A-KAA-R4</t>
    <phoneticPr fontId="2" type="noConversion"/>
  </si>
  <si>
    <t>발주분양산</t>
    <phoneticPr fontId="2" type="noConversion"/>
  </si>
  <si>
    <t>3</t>
    <phoneticPr fontId="2" type="noConversion"/>
  </si>
  <si>
    <t>전일 ISSUE 사항(01일)</t>
    <phoneticPr fontId="2" type="noConversion"/>
  </si>
  <si>
    <t>당일 진행 사항(02일)</t>
    <phoneticPr fontId="2" type="noConversion"/>
  </si>
  <si>
    <t>HICON</t>
    <phoneticPr fontId="2" type="noConversion"/>
  </si>
  <si>
    <t>12</t>
    <phoneticPr fontId="2" type="noConversion"/>
  </si>
  <si>
    <t>PLATE</t>
    <phoneticPr fontId="2" type="noConversion"/>
  </si>
  <si>
    <t>HR032B-194A6</t>
    <phoneticPr fontId="2" type="noConversion"/>
  </si>
  <si>
    <t>SAMPLE 진행 사항(01일)</t>
    <phoneticPr fontId="2" type="noConversion"/>
  </si>
  <si>
    <t>262C83A-B150A</t>
    <phoneticPr fontId="2" type="noConversion"/>
  </si>
  <si>
    <t>KR6457-GA315PNA</t>
    <phoneticPr fontId="2" type="noConversion"/>
  </si>
  <si>
    <t>KR6457AB315PMA</t>
    <phoneticPr fontId="2" type="noConversion"/>
  </si>
  <si>
    <t>AMB2107A-KAA-R1</t>
    <phoneticPr fontId="2" type="noConversion"/>
  </si>
  <si>
    <t>SST</t>
    <phoneticPr fontId="2" type="noConversion"/>
  </si>
  <si>
    <t>MCS</t>
    <phoneticPr fontId="2" type="noConversion"/>
  </si>
  <si>
    <t>ADAPTER</t>
    <phoneticPr fontId="2" type="noConversion"/>
  </si>
  <si>
    <t>SF2255 I/V</t>
    <phoneticPr fontId="2" type="noConversion"/>
  </si>
  <si>
    <t>SF2250EPR N/P</t>
    <phoneticPr fontId="2" type="noConversion"/>
  </si>
  <si>
    <t>SF2250EPR</t>
    <phoneticPr fontId="2" type="noConversion"/>
  </si>
  <si>
    <t>SGF2030</t>
    <phoneticPr fontId="2" type="noConversion"/>
  </si>
  <si>
    <t>2</t>
    <phoneticPr fontId="2" type="noConversion"/>
  </si>
  <si>
    <t>치수NG2회진행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</si>
  <si>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</si>
  <si>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</si>
  <si>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2021년 10월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</si>
  <si>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PUSH PLATE</t>
    <phoneticPr fontId="2" type="noConversion"/>
  </si>
  <si>
    <t>SGF2030 N/P</t>
    <phoneticPr fontId="2" type="noConversion"/>
  </si>
  <si>
    <t>전일 ISSUE 사항(02일)</t>
    <phoneticPr fontId="2" type="noConversion"/>
  </si>
  <si>
    <t>수리후양산-&gt;코아파손2회정지</t>
    <phoneticPr fontId="2" type="noConversion"/>
  </si>
  <si>
    <t>당일 진행 사항(04일)</t>
    <phoneticPr fontId="2" type="noConversion"/>
  </si>
  <si>
    <t>AMB07Z2A-KAA-R1</t>
    <phoneticPr fontId="2" type="noConversion"/>
  </si>
  <si>
    <t>발주분양산</t>
    <phoneticPr fontId="2" type="noConversion"/>
  </si>
  <si>
    <t>MCS</t>
    <phoneticPr fontId="2" type="noConversion"/>
  </si>
  <si>
    <t>2</t>
    <phoneticPr fontId="2" type="noConversion"/>
  </si>
  <si>
    <t>ADAPTER</t>
    <phoneticPr fontId="2" type="noConversion"/>
  </si>
  <si>
    <t>KR6458BB456PMA</t>
    <phoneticPr fontId="2" type="noConversion"/>
  </si>
  <si>
    <t>7</t>
    <phoneticPr fontId="2" type="noConversion"/>
  </si>
  <si>
    <t>AMB1901D-JAA-R2</t>
    <phoneticPr fontId="2" type="noConversion"/>
  </si>
  <si>
    <t>14</t>
    <phoneticPr fontId="2" type="noConversion"/>
  </si>
  <si>
    <t>ACTUATOR</t>
    <phoneticPr fontId="2" type="noConversion"/>
  </si>
  <si>
    <t>SAMPLE 진행 사항(02일)</t>
    <phoneticPr fontId="2" type="noConversion"/>
  </si>
  <si>
    <t>KR6156-GBH153AA</t>
    <phoneticPr fontId="2" type="noConversion"/>
  </si>
  <si>
    <t>10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</si>
  <si>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</si>
  <si>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</si>
  <si>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2021년 10월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</si>
  <si>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KR6458BB456PMA</t>
    <phoneticPr fontId="2" type="noConversion"/>
  </si>
  <si>
    <t>AMB1942A-KAA-R1</t>
    <phoneticPr fontId="2" type="noConversion"/>
  </si>
  <si>
    <t>JD4901</t>
    <phoneticPr fontId="2" type="noConversion"/>
  </si>
  <si>
    <t>FLOATING</t>
    <phoneticPr fontId="2" type="noConversion"/>
  </si>
  <si>
    <t>HR032B-084A3</t>
    <phoneticPr fontId="2" type="noConversion"/>
  </si>
  <si>
    <t>전일 ISSUE 사항(04일)</t>
    <phoneticPr fontId="2" type="noConversion"/>
  </si>
  <si>
    <t>HR032B-084A1</t>
    <phoneticPr fontId="2" type="noConversion"/>
  </si>
  <si>
    <t>수리후양산-&gt;게이트파손정지</t>
    <phoneticPr fontId="2" type="noConversion"/>
  </si>
  <si>
    <t>AMB1942A-KAA-R1</t>
    <phoneticPr fontId="2" type="noConversion"/>
  </si>
  <si>
    <t>발주분양산-&gt;BURR수리</t>
    <phoneticPr fontId="2" type="noConversion"/>
  </si>
  <si>
    <t>MCS</t>
    <phoneticPr fontId="2" type="noConversion"/>
  </si>
  <si>
    <t>11</t>
    <phoneticPr fontId="2" type="noConversion"/>
  </si>
  <si>
    <t>ACTUATOR</t>
    <phoneticPr fontId="2" type="noConversion"/>
  </si>
  <si>
    <t>7</t>
    <phoneticPr fontId="2" type="noConversion"/>
  </si>
  <si>
    <t>AMB07Z2A-KAA-R1</t>
    <phoneticPr fontId="2" type="noConversion"/>
  </si>
  <si>
    <t>2</t>
    <phoneticPr fontId="2" type="noConversion"/>
  </si>
  <si>
    <t>ADAPTER</t>
    <phoneticPr fontId="2" type="noConversion"/>
  </si>
  <si>
    <t>당일 진행 사항(05일)</t>
    <phoneticPr fontId="2" type="noConversion"/>
  </si>
  <si>
    <t>AMB1901D-JAA-R2</t>
    <phoneticPr fontId="2" type="noConversion"/>
  </si>
  <si>
    <t>14</t>
    <phoneticPr fontId="2" type="noConversion"/>
  </si>
  <si>
    <t>AMB0443A-KAA-R2</t>
    <phoneticPr fontId="2" type="noConversion"/>
  </si>
  <si>
    <t>3</t>
    <phoneticPr fontId="2" type="noConversion"/>
  </si>
  <si>
    <t>LEAD GUIDE</t>
    <phoneticPr fontId="2" type="noConversion"/>
  </si>
  <si>
    <t>HL072-10M5</t>
    <phoneticPr fontId="2" type="noConversion"/>
  </si>
  <si>
    <t>KR6197-D475PA</t>
    <phoneticPr fontId="2" type="noConversion"/>
  </si>
  <si>
    <t>HICON</t>
    <phoneticPr fontId="2" type="noConversion"/>
  </si>
  <si>
    <t>6</t>
    <phoneticPr fontId="2" type="noConversion"/>
  </si>
  <si>
    <t>PLATE</t>
    <phoneticPr fontId="2" type="noConversion"/>
  </si>
  <si>
    <t>STOPPER</t>
    <phoneticPr fontId="2" type="noConversion"/>
  </si>
  <si>
    <t>4</t>
    <phoneticPr fontId="2" type="noConversion"/>
  </si>
  <si>
    <t>AMM0849A-KAA-R2</t>
    <phoneticPr fontId="2" type="noConversion"/>
  </si>
  <si>
    <t>9</t>
    <phoneticPr fontId="2" type="noConversion"/>
  </si>
  <si>
    <t>SAMPLE 진행 사항(04일)</t>
    <phoneticPr fontId="2" type="noConversion"/>
  </si>
  <si>
    <t>HS05B-BASE1</t>
    <phoneticPr fontId="2" type="noConversion"/>
  </si>
  <si>
    <t>SGF2041</t>
    <phoneticPr fontId="2" type="noConversion"/>
  </si>
  <si>
    <t>코아파손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</si>
  <si>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</si>
  <si>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</si>
  <si>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2021년 10월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</si>
  <si>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PUSHER</t>
    <phoneticPr fontId="2" type="noConversion"/>
  </si>
  <si>
    <t xml:space="preserve">SGF2041 </t>
    <phoneticPr fontId="2" type="noConversion"/>
  </si>
  <si>
    <t>전일 ISSUE 사항(05일)</t>
    <phoneticPr fontId="2" type="noConversion"/>
  </si>
  <si>
    <t>HICON</t>
    <phoneticPr fontId="2" type="noConversion"/>
  </si>
  <si>
    <t>6</t>
    <phoneticPr fontId="2" type="noConversion"/>
  </si>
  <si>
    <t>PUSHER</t>
    <phoneticPr fontId="2" type="noConversion"/>
  </si>
  <si>
    <t>HL072-10M5</t>
    <phoneticPr fontId="2" type="noConversion"/>
  </si>
  <si>
    <t>MCS</t>
    <phoneticPr fontId="2" type="noConversion"/>
  </si>
  <si>
    <t>3</t>
    <phoneticPr fontId="2" type="noConversion"/>
  </si>
  <si>
    <t>AMB0443A-KAA-R2</t>
    <phoneticPr fontId="2" type="noConversion"/>
  </si>
  <si>
    <t>당일 진행 사항(06일)</t>
    <phoneticPr fontId="2" type="noConversion"/>
  </si>
  <si>
    <t>HS05B-BASE1</t>
    <phoneticPr fontId="2" type="noConversion"/>
  </si>
  <si>
    <t>LID/plunger</t>
    <phoneticPr fontId="2" type="noConversion"/>
  </si>
  <si>
    <t>HL072-10M3/4</t>
    <phoneticPr fontId="2" type="noConversion"/>
  </si>
  <si>
    <t>5</t>
    <phoneticPr fontId="2" type="noConversion"/>
  </si>
  <si>
    <t>AMB0355A-KAA-R2</t>
    <phoneticPr fontId="2" type="noConversion"/>
  </si>
  <si>
    <t>BURR정지</t>
    <phoneticPr fontId="2" type="noConversion"/>
  </si>
  <si>
    <t>5</t>
    <phoneticPr fontId="2" type="noConversion"/>
  </si>
  <si>
    <t>COVER</t>
    <phoneticPr fontId="2" type="noConversion"/>
  </si>
  <si>
    <t>SAMPLE 진행 사항(05일)</t>
    <phoneticPr fontId="2" type="noConversion"/>
  </si>
  <si>
    <t>HDB08J-M02A1-A(78B)</t>
    <phoneticPr fontId="2" type="noConversion"/>
  </si>
  <si>
    <t>HDB08J-M02A1-B(96B)</t>
    <phoneticPr fontId="2" type="noConversion"/>
  </si>
  <si>
    <t>SLIDER</t>
    <phoneticPr fontId="2" type="noConversion"/>
  </si>
  <si>
    <t>SGF2030 N/P</t>
    <phoneticPr fontId="2" type="noConversion"/>
  </si>
  <si>
    <t>수정</t>
    <phoneticPr fontId="2" type="noConversion"/>
  </si>
  <si>
    <t>12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</si>
  <si>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</si>
  <si>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</si>
  <si>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2021년 10월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</si>
  <si>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BODY/LID</t>
    <phoneticPr fontId="2" type="noConversion"/>
  </si>
  <si>
    <t>2*1</t>
    <phoneticPr fontId="2" type="noConversion"/>
  </si>
  <si>
    <t>AMB0366A-KAA-R3</t>
    <phoneticPr fontId="2" type="noConversion"/>
  </si>
  <si>
    <t>12X12 TOP</t>
    <phoneticPr fontId="2" type="noConversion"/>
  </si>
  <si>
    <t>GN2330</t>
    <phoneticPr fontId="2" type="noConversion"/>
  </si>
  <si>
    <t>AMM0850A-KAA-R2</t>
    <phoneticPr fontId="2" type="noConversion"/>
  </si>
  <si>
    <t>BG255-001A2</t>
    <phoneticPr fontId="2" type="noConversion"/>
  </si>
  <si>
    <t>전일 ISSUE 사항(06일)</t>
    <phoneticPr fontId="2" type="noConversion"/>
  </si>
  <si>
    <t>승인후양산-&gt;가스2회정지</t>
    <phoneticPr fontId="2" type="noConversion"/>
  </si>
  <si>
    <t>수리후양산-&gt;코아파손4회정지</t>
    <phoneticPr fontId="2" type="noConversion"/>
  </si>
  <si>
    <t>LID/BODY</t>
    <phoneticPr fontId="2" type="noConversion"/>
  </si>
  <si>
    <t>AMB0366A-KAA-R3</t>
    <phoneticPr fontId="2" type="noConversion"/>
  </si>
  <si>
    <t>12X12 TOP</t>
    <phoneticPr fontId="2" type="noConversion"/>
  </si>
  <si>
    <t>수리후양산-&gt;BURR수리</t>
    <phoneticPr fontId="2" type="noConversion"/>
  </si>
  <si>
    <t>8</t>
    <phoneticPr fontId="2" type="noConversion"/>
  </si>
  <si>
    <t>AMM0849A-KAA-R2</t>
    <phoneticPr fontId="2" type="noConversion"/>
  </si>
  <si>
    <t>9</t>
    <phoneticPr fontId="2" type="noConversion"/>
  </si>
  <si>
    <t>AMM0850A-KAA-R2</t>
    <phoneticPr fontId="2" type="noConversion"/>
  </si>
  <si>
    <t>당일 진행 사항(07일)</t>
    <phoneticPr fontId="2" type="noConversion"/>
  </si>
  <si>
    <t>BOTTOM</t>
    <phoneticPr fontId="2" type="noConversion"/>
  </si>
  <si>
    <t>HR032B-194A2</t>
    <phoneticPr fontId="2" type="noConversion"/>
  </si>
  <si>
    <t>AMM08007A-KAA-R1</t>
    <phoneticPr fontId="2" type="noConversion"/>
  </si>
  <si>
    <t>KR6197-GS153PNB</t>
    <phoneticPr fontId="2" type="noConversion"/>
  </si>
  <si>
    <t>12</t>
    <phoneticPr fontId="2" type="noConversion"/>
  </si>
  <si>
    <t>ADAPTER</t>
    <phoneticPr fontId="2" type="noConversion"/>
  </si>
  <si>
    <t>SAMPLE 진행 사항(06일)</t>
    <phoneticPr fontId="2" type="noConversion"/>
  </si>
  <si>
    <t>BG255-001G1</t>
    <phoneticPr fontId="2" type="noConversion"/>
  </si>
  <si>
    <t>HICON</t>
    <phoneticPr fontId="2" type="noConversion"/>
  </si>
  <si>
    <t>BASE</t>
    <phoneticPr fontId="2" type="noConversion"/>
  </si>
  <si>
    <t>SGF2033</t>
    <phoneticPr fontId="2" type="noConversion"/>
  </si>
  <si>
    <t>수정</t>
    <phoneticPr fontId="2" type="noConversion"/>
  </si>
  <si>
    <t>15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</si>
  <si>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</si>
  <si>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</si>
  <si>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2021년 10월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</si>
  <si>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HSA08-M07A1</t>
    <phoneticPr fontId="2" type="noConversion"/>
  </si>
  <si>
    <t>KR6197-GS153PNA</t>
    <phoneticPr fontId="2" type="noConversion"/>
  </si>
  <si>
    <t>30P(4POST)</t>
    <phoneticPr fontId="2" type="noConversion"/>
  </si>
  <si>
    <t>전일 ISSUE 사항(07일)</t>
    <phoneticPr fontId="2" type="noConversion"/>
  </si>
  <si>
    <t>수리후양산-&gt;코아파손3회정지</t>
    <phoneticPr fontId="2" type="noConversion"/>
  </si>
  <si>
    <t>HR032B-194A2</t>
    <phoneticPr fontId="2" type="noConversion"/>
  </si>
  <si>
    <t>발주분양산-&gt;코아파손정지</t>
    <phoneticPr fontId="2" type="noConversion"/>
  </si>
  <si>
    <t>10</t>
    <phoneticPr fontId="2" type="noConversion"/>
  </si>
  <si>
    <t>ADAPTER</t>
    <phoneticPr fontId="2" type="noConversion"/>
  </si>
  <si>
    <t>HSA08-M07A1</t>
    <phoneticPr fontId="2" type="noConversion"/>
  </si>
  <si>
    <t>9</t>
    <phoneticPr fontId="2" type="noConversion"/>
  </si>
  <si>
    <t>BASE</t>
    <phoneticPr fontId="2" type="noConversion"/>
  </si>
  <si>
    <t>AMM08007A-KAA-R1</t>
    <phoneticPr fontId="2" type="noConversion"/>
  </si>
  <si>
    <t>발주분양산-&gt;미성형정지</t>
    <phoneticPr fontId="2" type="noConversion"/>
  </si>
  <si>
    <t>세척후양산</t>
    <phoneticPr fontId="2" type="noConversion"/>
  </si>
  <si>
    <t>당일 진행 사항(08일)</t>
    <phoneticPr fontId="2" type="noConversion"/>
  </si>
  <si>
    <t>6</t>
    <phoneticPr fontId="2" type="noConversion"/>
  </si>
  <si>
    <t>SHAFT</t>
    <phoneticPr fontId="2" type="noConversion"/>
  </si>
  <si>
    <t>KR6197-06KA</t>
    <phoneticPr fontId="2" type="noConversion"/>
  </si>
  <si>
    <t>400H-ABG2622A-1</t>
    <phoneticPr fontId="2" type="noConversion"/>
  </si>
  <si>
    <t>SAMPLE 진행 사항(07일)</t>
    <phoneticPr fontId="2" type="noConversion"/>
  </si>
  <si>
    <t>KR6432-C153TB</t>
    <phoneticPr fontId="2" type="noConversion"/>
  </si>
  <si>
    <t>신작</t>
    <phoneticPr fontId="2" type="noConversion"/>
  </si>
  <si>
    <t>262C83A-B150A</t>
    <phoneticPr fontId="2" type="noConversion"/>
  </si>
  <si>
    <t>OKINS</t>
    <phoneticPr fontId="2" type="noConversion"/>
  </si>
  <si>
    <t>SF2255 I/V</t>
    <phoneticPr fontId="2" type="noConversion"/>
  </si>
  <si>
    <t>수정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</si>
  <si>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</si>
  <si>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</si>
  <si>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2021년 10월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</si>
  <si>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400H-ABG2622A-1</t>
    <phoneticPr fontId="2" type="noConversion"/>
  </si>
  <si>
    <t>JCL3030</t>
    <phoneticPr fontId="2" type="noConversion"/>
  </si>
  <si>
    <t>HSA08-M03A1</t>
    <phoneticPr fontId="2" type="noConversion"/>
  </si>
  <si>
    <t>전일 ISSUE 사항(08일)</t>
    <phoneticPr fontId="2" type="noConversion"/>
  </si>
  <si>
    <t>가스2회수리후양산</t>
    <phoneticPr fontId="2" type="noConversion"/>
  </si>
  <si>
    <t>승인후 3CAV양산</t>
    <phoneticPr fontId="2" type="noConversion"/>
  </si>
  <si>
    <t>발주분양산-&gt;BURR수리후양산</t>
    <phoneticPr fontId="2" type="noConversion"/>
  </si>
  <si>
    <t>OKINS</t>
    <phoneticPr fontId="2" type="noConversion"/>
  </si>
  <si>
    <t>2</t>
    <phoneticPr fontId="2" type="noConversion"/>
  </si>
  <si>
    <t>ADAPTER</t>
    <phoneticPr fontId="2" type="noConversion"/>
  </si>
  <si>
    <t>AMB07AB3A-KAA-R1</t>
    <phoneticPr fontId="2" type="noConversion"/>
  </si>
  <si>
    <t>10</t>
    <phoneticPr fontId="2" type="noConversion"/>
  </si>
  <si>
    <t>BG255-001G1</t>
    <phoneticPr fontId="2" type="noConversion"/>
  </si>
  <si>
    <t>밀핀파손수리</t>
    <phoneticPr fontId="2" type="noConversion"/>
  </si>
  <si>
    <t>15</t>
    <phoneticPr fontId="2" type="noConversion"/>
  </si>
  <si>
    <t>당일 진행 사항(09일)</t>
    <phoneticPr fontId="2" type="noConversion"/>
  </si>
  <si>
    <t>AMC0821A-KAA-R1</t>
    <phoneticPr fontId="2" type="noConversion"/>
  </si>
  <si>
    <t>MCS</t>
    <phoneticPr fontId="2" type="noConversion"/>
  </si>
  <si>
    <t>3</t>
    <phoneticPr fontId="2" type="noConversion"/>
  </si>
  <si>
    <t>2C CONN</t>
    <phoneticPr fontId="2" type="noConversion"/>
  </si>
  <si>
    <t>SAMPLE 진행 사항(08일)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</si>
  <si>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</si>
  <si>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</si>
  <si>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2021년 10월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</si>
  <si>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전일 ISSUE 사항(09일)</t>
    <phoneticPr fontId="2" type="noConversion"/>
  </si>
  <si>
    <t>발주분양산</t>
  </si>
  <si>
    <t>수리후양산</t>
  </si>
  <si>
    <t>밀핀파손정지</t>
    <phoneticPr fontId="2" type="noConversion"/>
  </si>
  <si>
    <t>SAMPLE 진행 사항(09일)</t>
    <phoneticPr fontId="2" type="noConversion"/>
  </si>
  <si>
    <t>당일 진행 사항(10일)</t>
    <phoneticPr fontId="2" type="noConversion"/>
  </si>
  <si>
    <t>HDB08J-M02A1-A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</si>
  <si>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</si>
  <si>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</si>
  <si>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2021년 10월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</si>
  <si>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전일 ISSUE 사항(10일)</t>
    <phoneticPr fontId="2" type="noConversion"/>
  </si>
  <si>
    <t>수리후양산-&gt;코아파손수리</t>
    <phoneticPr fontId="2" type="noConversion"/>
  </si>
  <si>
    <t>당일 진행 사항(11일)</t>
    <phoneticPr fontId="2" type="noConversion"/>
  </si>
  <si>
    <t>New Pattern Cover-2</t>
    <phoneticPr fontId="2" type="noConversion"/>
  </si>
  <si>
    <t>라인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</si>
  <si>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</si>
  <si>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</si>
  <si>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</si>
  <si>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2021년 10월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</si>
  <si>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K-JR01933-G03AWA</t>
    <phoneticPr fontId="2" type="noConversion"/>
  </si>
  <si>
    <t>LCP ESD</t>
    <phoneticPr fontId="2" type="noConversion"/>
  </si>
  <si>
    <t>전일 ISSUE 사항(11일)</t>
    <phoneticPr fontId="2" type="noConversion"/>
  </si>
  <si>
    <t>수리후양산-&gt;코아파손3회수리</t>
    <phoneticPr fontId="2" type="noConversion"/>
  </si>
  <si>
    <t>코아파손수리-&gt;밀핀파손정지</t>
    <phoneticPr fontId="2" type="noConversion"/>
  </si>
  <si>
    <t>코아파손수리-&gt;오조립수리</t>
    <phoneticPr fontId="2" type="noConversion"/>
  </si>
  <si>
    <t>당일 진행 사항(12일)</t>
    <phoneticPr fontId="2" type="noConversion"/>
  </si>
  <si>
    <t>승인후양산</t>
    <phoneticPr fontId="2" type="noConversion"/>
  </si>
  <si>
    <t>K-JR01903-A180AWB</t>
    <phoneticPr fontId="2" type="noConversion"/>
  </si>
  <si>
    <t>16</t>
    <phoneticPr fontId="2" type="noConversion"/>
  </si>
  <si>
    <t>22P</t>
    <phoneticPr fontId="2" type="noConversion"/>
  </si>
  <si>
    <t>SAMPLE 진행 사항(11일)</t>
    <phoneticPr fontId="2" type="noConversion"/>
  </si>
  <si>
    <t>AMM08012A-KAA-R1</t>
    <phoneticPr fontId="2" type="noConversion"/>
  </si>
  <si>
    <t>2125G</t>
    <phoneticPr fontId="2" type="noConversion"/>
  </si>
  <si>
    <t>원재료</t>
    <phoneticPr fontId="2" type="noConversion"/>
  </si>
  <si>
    <t>코아파손3회정지</t>
    <phoneticPr fontId="2" type="noConversion"/>
  </si>
  <si>
    <t>요청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</si>
  <si>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</si>
  <si>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</si>
  <si>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2021년 10월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</si>
  <si>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K-JR01903-A180AWB</t>
    <phoneticPr fontId="2" type="noConversion"/>
  </si>
  <si>
    <t>수리후양산-&gt;런너막힘2회수리-&gt;코아파손수리-&gt;1BURR막음</t>
    <phoneticPr fontId="2" type="noConversion"/>
  </si>
  <si>
    <t>상측박힘4회수리-&gt;코아파손정지</t>
    <phoneticPr fontId="2" type="noConversion"/>
  </si>
  <si>
    <t>HDBF05-M02B1</t>
    <phoneticPr fontId="2" type="noConversion"/>
  </si>
  <si>
    <t>발주분양산-&gt;BURR정지</t>
    <phoneticPr fontId="2" type="noConversion"/>
  </si>
  <si>
    <t>10</t>
    <phoneticPr fontId="2" type="noConversion"/>
  </si>
  <si>
    <t>ADAPTER</t>
    <phoneticPr fontId="2" type="noConversion"/>
  </si>
  <si>
    <t>AMB07AB3A-KAA-R1</t>
    <phoneticPr fontId="2" type="noConversion"/>
  </si>
  <si>
    <t>세척후양산</t>
    <phoneticPr fontId="2" type="noConversion"/>
  </si>
  <si>
    <t>7</t>
    <phoneticPr fontId="2" type="noConversion"/>
  </si>
  <si>
    <t>BASE</t>
    <phoneticPr fontId="2" type="noConversion"/>
  </si>
  <si>
    <t>KR6458BB456PMA</t>
    <phoneticPr fontId="2" type="noConversion"/>
  </si>
  <si>
    <t>22P(4POST)</t>
    <phoneticPr fontId="2" type="noConversion"/>
  </si>
  <si>
    <t>DI</t>
    <phoneticPr fontId="2" type="noConversion"/>
  </si>
  <si>
    <t>16</t>
    <phoneticPr fontId="2" type="noConversion"/>
  </si>
  <si>
    <t>전일 ISSUE 사항(12일)</t>
    <phoneticPr fontId="2" type="noConversion"/>
  </si>
  <si>
    <t>당일 진행 사항(13일)</t>
    <phoneticPr fontId="2" type="noConversion"/>
  </si>
  <si>
    <t>288C84A-B142A</t>
    <phoneticPr fontId="2" type="noConversion"/>
  </si>
  <si>
    <t>발주분양산</t>
    <phoneticPr fontId="2" type="noConversion"/>
  </si>
  <si>
    <t>AMB1942A-KAA-R1</t>
    <phoneticPr fontId="2" type="noConversion"/>
  </si>
  <si>
    <t>HSA08-M02A1(PES)</t>
    <phoneticPr fontId="2" type="noConversion"/>
  </si>
  <si>
    <t>OKINS</t>
    <phoneticPr fontId="2" type="noConversion"/>
  </si>
  <si>
    <t>9</t>
    <phoneticPr fontId="2" type="noConversion"/>
  </si>
  <si>
    <t>ACTUATOR</t>
    <phoneticPr fontId="2" type="noConversion"/>
  </si>
  <si>
    <t>11</t>
    <phoneticPr fontId="2" type="noConversion"/>
  </si>
  <si>
    <t>HICON</t>
    <phoneticPr fontId="2" type="noConversion"/>
  </si>
  <si>
    <t>12</t>
    <phoneticPr fontId="2" type="noConversion"/>
  </si>
  <si>
    <t>SLIDER</t>
    <phoneticPr fontId="2" type="noConversion"/>
  </si>
  <si>
    <t>AMB0172A-KAA-R3</t>
    <phoneticPr fontId="2" type="noConversion"/>
  </si>
  <si>
    <t>15</t>
    <phoneticPr fontId="2" type="noConversion"/>
  </si>
  <si>
    <t>SAMPLE 진행 사항(12일)</t>
    <phoneticPr fontId="2" type="noConversion"/>
  </si>
  <si>
    <t>288F84M-B158A</t>
    <phoneticPr fontId="2" type="noConversion"/>
  </si>
  <si>
    <t>AMB0369A-KAA-R1</t>
    <phoneticPr fontId="2" type="noConversion"/>
  </si>
  <si>
    <t>AMB0368A-KAA-R1</t>
    <phoneticPr fontId="2" type="noConversion"/>
  </si>
  <si>
    <t>HDB08J-M02A1-B(96B)</t>
    <phoneticPr fontId="2" type="noConversion"/>
  </si>
  <si>
    <t>KR6156-GBH153AA</t>
    <phoneticPr fontId="2" type="noConversion"/>
  </si>
  <si>
    <t>KR6472-GA273PNA</t>
    <phoneticPr fontId="2" type="noConversion"/>
  </si>
  <si>
    <t>SST</t>
    <phoneticPr fontId="2" type="noConversion"/>
  </si>
  <si>
    <t>MCS</t>
    <phoneticPr fontId="2" type="noConversion"/>
  </si>
  <si>
    <t>KNOB</t>
    <phoneticPr fontId="2" type="noConversion"/>
  </si>
  <si>
    <t>COVER</t>
    <phoneticPr fontId="2" type="noConversion"/>
  </si>
  <si>
    <t>G1300H</t>
    <phoneticPr fontId="2" type="noConversion"/>
  </si>
  <si>
    <t>SF2250EPR</t>
    <phoneticPr fontId="2" type="noConversion"/>
  </si>
  <si>
    <t>5030G</t>
    <phoneticPr fontId="2" type="noConversion"/>
  </si>
  <si>
    <t>SF2250EPR N/P</t>
    <phoneticPr fontId="2" type="noConversion"/>
  </si>
  <si>
    <t>요청</t>
    <phoneticPr fontId="2" type="noConversion"/>
  </si>
  <si>
    <t>증작</t>
    <phoneticPr fontId="2" type="noConversion"/>
  </si>
  <si>
    <t>신작</t>
    <phoneticPr fontId="2" type="noConversion"/>
  </si>
  <si>
    <t>수정</t>
    <phoneticPr fontId="2" type="noConversion"/>
  </si>
  <si>
    <t>SGF2030 N/P</t>
    <phoneticPr fontId="2" type="noConversion"/>
  </si>
  <si>
    <t>3</t>
    <phoneticPr fontId="2" type="noConversion"/>
  </si>
  <si>
    <t>오조립2회진행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</si>
  <si>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</si>
  <si>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</si>
  <si>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2021년 10월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</si>
  <si>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288C84A-B142A</t>
    <phoneticPr fontId="2" type="noConversion"/>
  </si>
  <si>
    <t>HSA08-M02A1</t>
    <phoneticPr fontId="2" type="noConversion"/>
  </si>
  <si>
    <t>전일 ISSUE 사항(13일)</t>
    <phoneticPr fontId="2" type="noConversion"/>
  </si>
  <si>
    <t>11</t>
    <phoneticPr fontId="2" type="noConversion"/>
  </si>
  <si>
    <t>ACTUATOR</t>
    <phoneticPr fontId="2" type="noConversion"/>
  </si>
  <si>
    <t>AMB1942A-KAA-R1</t>
    <phoneticPr fontId="2" type="noConversion"/>
  </si>
  <si>
    <t>세척후양산-&gt;치수NG정지</t>
    <phoneticPr fontId="2" type="noConversion"/>
  </si>
  <si>
    <t>발주분양산-&gt;뜯김정지</t>
    <phoneticPr fontId="2" type="noConversion"/>
  </si>
  <si>
    <t>OKINS</t>
    <phoneticPr fontId="2" type="noConversion"/>
  </si>
  <si>
    <t>9</t>
    <phoneticPr fontId="2" type="noConversion"/>
  </si>
  <si>
    <t>BASE</t>
    <phoneticPr fontId="2" type="noConversion"/>
  </si>
  <si>
    <t>AMB0172A-KAA-R3</t>
    <phoneticPr fontId="2" type="noConversion"/>
  </si>
  <si>
    <t>발주분양산-&gt;찍힘수리-&gt;설비이상정지</t>
    <phoneticPr fontId="2" type="noConversion"/>
  </si>
  <si>
    <t>15</t>
    <phoneticPr fontId="2" type="noConversion"/>
  </si>
  <si>
    <t>당일 진행 사항(14일)</t>
    <phoneticPr fontId="2" type="noConversion"/>
  </si>
  <si>
    <t>ST/HO</t>
    <phoneticPr fontId="2" type="noConversion"/>
  </si>
  <si>
    <t>K-JR01860-D01AZB/H</t>
    <phoneticPr fontId="2" type="noConversion"/>
  </si>
  <si>
    <t>1</t>
    <phoneticPr fontId="2" type="noConversion"/>
  </si>
  <si>
    <t>HDBF05-M02B1</t>
    <phoneticPr fontId="2" type="noConversion"/>
  </si>
  <si>
    <t>수리후양산</t>
    <phoneticPr fontId="2" type="noConversion"/>
  </si>
  <si>
    <t>SAMPLE 진행 사항(13일)</t>
    <phoneticPr fontId="2" type="noConversion"/>
  </si>
  <si>
    <t>KR6472-B273UA</t>
    <phoneticPr fontId="2" type="noConversion"/>
  </si>
  <si>
    <t>슬라이드이상2회진행</t>
    <phoneticPr fontId="2" type="noConversion"/>
  </si>
  <si>
    <t>KR6472-C273TA</t>
    <phoneticPr fontId="2" type="noConversion"/>
  </si>
  <si>
    <t>COVER</t>
    <phoneticPr fontId="2" type="noConversion"/>
  </si>
  <si>
    <t>JD4901</t>
    <phoneticPr fontId="2" type="noConversion"/>
  </si>
  <si>
    <t>2829HQN05-28-B2</t>
    <phoneticPr fontId="2" type="noConversion"/>
  </si>
  <si>
    <t>HICON</t>
    <phoneticPr fontId="2" type="noConversion"/>
  </si>
  <si>
    <t>BOTTOM</t>
    <phoneticPr fontId="2" type="noConversion"/>
  </si>
  <si>
    <t>SGF2033</t>
    <phoneticPr fontId="2" type="noConversion"/>
  </si>
  <si>
    <t>옵션</t>
    <phoneticPr fontId="2" type="noConversion"/>
  </si>
  <si>
    <t>6</t>
    <phoneticPr fontId="2" type="noConversion"/>
  </si>
  <si>
    <t>KR6197-GW153PNA</t>
    <phoneticPr fontId="2" type="noConversion"/>
  </si>
  <si>
    <t>ADAPTER</t>
    <phoneticPr fontId="2" type="noConversion"/>
  </si>
  <si>
    <t>SF2250EPR N/P</t>
    <phoneticPr fontId="2" type="noConversion"/>
  </si>
  <si>
    <t>12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</si>
  <si>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</si>
  <si>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</si>
  <si>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2021년 10월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</si>
  <si>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K-JR01860-D/H01AZB</t>
    <phoneticPr fontId="2" type="noConversion"/>
  </si>
  <si>
    <t>SGP20202R</t>
    <phoneticPr fontId="2" type="noConversion"/>
  </si>
  <si>
    <t>2*1</t>
    <phoneticPr fontId="2" type="noConversion"/>
  </si>
  <si>
    <t>KR6454-C316TB</t>
    <phoneticPr fontId="2" type="noConversion"/>
  </si>
  <si>
    <t>AMB1936A-KAA-R1</t>
    <phoneticPr fontId="2" type="noConversion"/>
  </si>
  <si>
    <t>전일 ISSUE 사항(14일)</t>
    <phoneticPr fontId="2" type="noConversion"/>
  </si>
  <si>
    <t>K-JR01860-D/H</t>
    <phoneticPr fontId="2" type="noConversion"/>
  </si>
  <si>
    <t>발주분양산-&gt;뜯김수리</t>
    <phoneticPr fontId="2" type="noConversion"/>
  </si>
  <si>
    <t>발주분양산-&gt;BURR수리-&gt;단차정지</t>
    <phoneticPr fontId="2" type="noConversion"/>
  </si>
  <si>
    <t>AMB1901D-JAA-R2</t>
    <phoneticPr fontId="2" type="noConversion"/>
  </si>
  <si>
    <t>BURR수리</t>
    <phoneticPr fontId="2" type="noConversion"/>
  </si>
  <si>
    <t>14</t>
    <phoneticPr fontId="2" type="noConversion"/>
  </si>
  <si>
    <t>수리후양산-&gt;뜯김정지</t>
    <phoneticPr fontId="2" type="noConversion"/>
  </si>
  <si>
    <t>K-JR01903-A180AWB</t>
    <phoneticPr fontId="2" type="noConversion"/>
  </si>
  <si>
    <t>13</t>
    <phoneticPr fontId="2" type="noConversion"/>
  </si>
  <si>
    <t>SLIDER</t>
    <phoneticPr fontId="2" type="noConversion"/>
  </si>
  <si>
    <t>당일 진행 사항(15일)</t>
    <phoneticPr fontId="2" type="noConversion"/>
  </si>
  <si>
    <t>AMB0172A-KAA-R3</t>
    <phoneticPr fontId="2" type="noConversion"/>
  </si>
  <si>
    <t>15</t>
    <phoneticPr fontId="2" type="noConversion"/>
  </si>
  <si>
    <t>BASE</t>
    <phoneticPr fontId="2" type="noConversion"/>
  </si>
  <si>
    <t>SAMPLE 진행 사항(14일)</t>
    <phoneticPr fontId="2" type="noConversion"/>
  </si>
  <si>
    <t>2829HQN05-28-B1</t>
    <phoneticPr fontId="2" type="noConversion"/>
  </si>
  <si>
    <t>KR6472-F273PMA</t>
    <phoneticPr fontId="2" type="noConversion"/>
  </si>
  <si>
    <t>KR6472AKA002PNA/K001PMA</t>
    <phoneticPr fontId="2" type="noConversion"/>
  </si>
  <si>
    <t>KR6472-E01TA/EP01TA</t>
    <phoneticPr fontId="2" type="noConversion"/>
  </si>
  <si>
    <t>HICON</t>
    <phoneticPr fontId="2" type="noConversion"/>
  </si>
  <si>
    <t>SGF2033</t>
    <phoneticPr fontId="2" type="noConversion"/>
  </si>
  <si>
    <t>옵션</t>
    <phoneticPr fontId="2" type="noConversion"/>
  </si>
  <si>
    <t>3</t>
    <phoneticPr fontId="2" type="noConversion"/>
  </si>
  <si>
    <t>오조립수리</t>
    <phoneticPr fontId="2" type="noConversion"/>
  </si>
  <si>
    <t>SST</t>
    <phoneticPr fontId="2" type="noConversion"/>
  </si>
  <si>
    <t>LEAD GUIDE</t>
    <phoneticPr fontId="2" type="noConversion"/>
  </si>
  <si>
    <t>SF2250EPR</t>
    <phoneticPr fontId="2" type="noConversion"/>
  </si>
  <si>
    <t>신작</t>
    <phoneticPr fontId="2" type="noConversion"/>
  </si>
  <si>
    <t>SP1,SP2</t>
    <phoneticPr fontId="2" type="noConversion"/>
  </si>
  <si>
    <t>LATCH/PLATE</t>
    <phoneticPr fontId="2" type="noConversion"/>
  </si>
  <si>
    <t>JD4901</t>
    <phoneticPr fontId="2" type="noConversion"/>
  </si>
  <si>
    <t>6</t>
    <phoneticPr fontId="2" type="noConversion"/>
  </si>
  <si>
    <t>형상이상수리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</si>
  <si>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</si>
  <si>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</si>
  <si>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2021년 10월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</si>
  <si>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KR6454-B352PMA</t>
    <phoneticPr fontId="2" type="noConversion"/>
  </si>
  <si>
    <t>AMM0892A-KAA-R1</t>
    <phoneticPr fontId="2" type="noConversion"/>
  </si>
  <si>
    <t>KR6472-E01/EP01TA</t>
    <phoneticPr fontId="2" type="noConversion"/>
  </si>
  <si>
    <t>2*1</t>
    <phoneticPr fontId="2" type="noConversion"/>
  </si>
  <si>
    <t>KR6454-A352YA</t>
    <phoneticPr fontId="2" type="noConversion"/>
  </si>
  <si>
    <t>전일 ISSUE 사항(15일)</t>
    <phoneticPr fontId="2" type="noConversion"/>
  </si>
  <si>
    <t>찍힘정지</t>
    <phoneticPr fontId="2" type="noConversion"/>
  </si>
  <si>
    <t>수리후양산-&gt;1C파손막음</t>
    <phoneticPr fontId="2" type="noConversion"/>
  </si>
  <si>
    <t>KR6454-B352PMA</t>
    <phoneticPr fontId="2" type="noConversion"/>
  </si>
  <si>
    <t>발주분양산-&gt;슬라이드수리후양산</t>
    <phoneticPr fontId="2" type="noConversion"/>
  </si>
  <si>
    <t>7</t>
    <phoneticPr fontId="2" type="noConversion"/>
  </si>
  <si>
    <t>AMM0892A-KAA-R1</t>
    <phoneticPr fontId="2" type="noConversion"/>
  </si>
  <si>
    <t>발주분양산-&gt;박힘정지</t>
    <phoneticPr fontId="2" type="noConversion"/>
  </si>
  <si>
    <t>9</t>
    <phoneticPr fontId="2" type="noConversion"/>
  </si>
  <si>
    <t>KR6454-A352YA</t>
    <phoneticPr fontId="2" type="noConversion"/>
  </si>
  <si>
    <t>발주분양산</t>
    <phoneticPr fontId="2" type="noConversion"/>
  </si>
  <si>
    <t>13</t>
    <phoneticPr fontId="2" type="noConversion"/>
  </si>
  <si>
    <t>SLIDER</t>
    <phoneticPr fontId="2" type="noConversion"/>
  </si>
  <si>
    <t>KR6472-E01/EP01</t>
    <phoneticPr fontId="2" type="noConversion"/>
  </si>
  <si>
    <t>LATCH/PLATE</t>
    <phoneticPr fontId="2" type="noConversion"/>
  </si>
  <si>
    <t>수리후양산-&gt;1C가스막음</t>
    <phoneticPr fontId="2" type="noConversion"/>
  </si>
  <si>
    <t>당일 진행 사항(18일)</t>
    <phoneticPr fontId="2" type="noConversion"/>
  </si>
  <si>
    <t>KR6454-D352UA</t>
    <phoneticPr fontId="2" type="noConversion"/>
  </si>
  <si>
    <t>AMB0355A-KAA-R2</t>
    <phoneticPr fontId="2" type="noConversion"/>
  </si>
  <si>
    <t>5</t>
    <phoneticPr fontId="2" type="noConversion"/>
  </si>
  <si>
    <t>COVER</t>
    <phoneticPr fontId="2" type="noConversion"/>
  </si>
  <si>
    <t>SAMPLE 진행 사항(15일)</t>
    <phoneticPr fontId="2" type="noConversion"/>
  </si>
  <si>
    <t>2829HQN05-28-F3</t>
    <phoneticPr fontId="2" type="noConversion"/>
  </si>
  <si>
    <t>형상이상정지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</si>
  <si>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</si>
  <si>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</si>
  <si>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2021년 10월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</si>
  <si>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SPL/발주</t>
    <phoneticPr fontId="2" type="noConversion"/>
  </si>
  <si>
    <t>AMB1932A-KAA-R1</t>
    <phoneticPr fontId="2" type="noConversion"/>
  </si>
  <si>
    <t>AMB07AB3A-KAA-R2</t>
    <phoneticPr fontId="2" type="noConversion"/>
  </si>
  <si>
    <t>SEPARATOR</t>
    <phoneticPr fontId="2" type="noConversion"/>
  </si>
  <si>
    <t>KR6472-J034PRA</t>
    <phoneticPr fontId="2" type="noConversion"/>
  </si>
  <si>
    <t>MT401</t>
    <phoneticPr fontId="2" type="noConversion"/>
  </si>
  <si>
    <t>17호기</t>
    <phoneticPr fontId="2" type="noConversion"/>
  </si>
  <si>
    <t>18호기</t>
    <phoneticPr fontId="2" type="noConversion"/>
  </si>
  <si>
    <t>전일 ISSUE 사항(18일)</t>
    <phoneticPr fontId="2" type="noConversion"/>
  </si>
  <si>
    <t>런너막힘수리</t>
    <phoneticPr fontId="2" type="noConversion"/>
  </si>
  <si>
    <t>발주분양산-&gt;금형이상수리-&gt;코아파손2회수리</t>
    <phoneticPr fontId="2" type="noConversion"/>
  </si>
  <si>
    <t>당일 진행 사항(19일)</t>
    <phoneticPr fontId="2" type="noConversion"/>
  </si>
  <si>
    <t>F/A</t>
    <phoneticPr fontId="2" type="noConversion"/>
  </si>
  <si>
    <t>AMB07M4C-KAA-R1</t>
    <phoneticPr fontId="2" type="noConversion"/>
  </si>
  <si>
    <t>발주분양산-&gt;코아파손1C막음</t>
    <phoneticPr fontId="2" type="noConversion"/>
  </si>
  <si>
    <t>SAMPLE 진행 사항(18일)</t>
    <phoneticPr fontId="2" type="noConversion"/>
  </si>
  <si>
    <t>LID-8106</t>
    <phoneticPr fontId="2" type="noConversion"/>
  </si>
  <si>
    <t>S475 N/P</t>
    <phoneticPr fontId="2" type="noConversion"/>
  </si>
  <si>
    <t>18</t>
    <phoneticPr fontId="2" type="noConversion"/>
  </si>
  <si>
    <t>BURR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</si>
  <si>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</si>
  <si>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</si>
  <si>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2021년 10월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</si>
  <si>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KR6472-E/EP01TA</t>
    <phoneticPr fontId="2" type="noConversion"/>
  </si>
  <si>
    <t>2*1</t>
    <phoneticPr fontId="2" type="noConversion"/>
  </si>
  <si>
    <t>전일 ISSUE 사항(19일)</t>
    <phoneticPr fontId="2" type="noConversion"/>
  </si>
  <si>
    <t>치수확인후양산</t>
    <phoneticPr fontId="2" type="noConversion"/>
  </si>
  <si>
    <t>발주분양산-&gt;오조립수리</t>
    <phoneticPr fontId="2" type="noConversion"/>
  </si>
  <si>
    <t>수리후양산-&gt;게이트파손</t>
    <phoneticPr fontId="2" type="noConversion"/>
  </si>
  <si>
    <t>5</t>
    <phoneticPr fontId="2" type="noConversion"/>
  </si>
  <si>
    <t>AMB0355A-KAA-R2</t>
    <phoneticPr fontId="2" type="noConversion"/>
  </si>
  <si>
    <t>당일 진행 사항(20일)</t>
    <phoneticPr fontId="2" type="noConversion"/>
  </si>
  <si>
    <t>AMB2071B-KAA-R4</t>
    <phoneticPr fontId="2" type="noConversion"/>
  </si>
  <si>
    <t>AMB0187A-KAA-R2</t>
    <phoneticPr fontId="2" type="noConversion"/>
  </si>
  <si>
    <t>3</t>
    <phoneticPr fontId="2" type="noConversion"/>
  </si>
  <si>
    <t>BASE</t>
    <phoneticPr fontId="2" type="noConversion"/>
  </si>
  <si>
    <t>AMB07Y8A-KAA-R1</t>
    <phoneticPr fontId="2" type="noConversion"/>
  </si>
  <si>
    <t>12</t>
    <phoneticPr fontId="2" type="noConversion"/>
  </si>
  <si>
    <t>ADAPTER</t>
    <phoneticPr fontId="2" type="noConversion"/>
  </si>
  <si>
    <t>SAMPLE 진행 사항(19일)</t>
    <phoneticPr fontId="2" type="noConversion"/>
  </si>
  <si>
    <t>HDB08J-M02A1-B(96B)</t>
    <phoneticPr fontId="2" type="noConversion"/>
  </si>
  <si>
    <t>SGF2030 N/P</t>
    <phoneticPr fontId="2" type="noConversion"/>
  </si>
  <si>
    <t>1CAV</t>
    <phoneticPr fontId="2" type="noConversion"/>
  </si>
  <si>
    <t>S475</t>
    <phoneticPr fontId="2" type="noConversion"/>
  </si>
  <si>
    <t>288F84M-B159A</t>
    <phoneticPr fontId="2" type="noConversion"/>
  </si>
  <si>
    <t>288F84M-B160A</t>
    <phoneticPr fontId="2" type="noConversion"/>
  </si>
  <si>
    <t>OKINS</t>
    <phoneticPr fontId="2" type="noConversion"/>
  </si>
  <si>
    <t>G1300H</t>
    <phoneticPr fontId="2" type="noConversion"/>
  </si>
  <si>
    <t>옵션</t>
    <phoneticPr fontId="2" type="noConversion"/>
  </si>
  <si>
    <t>LATCH/PLATE</t>
    <phoneticPr fontId="2" type="noConversion"/>
  </si>
  <si>
    <t>JD4901</t>
    <phoneticPr fontId="2" type="noConversion"/>
  </si>
  <si>
    <t>수정</t>
    <phoneticPr fontId="2" type="noConversion"/>
  </si>
  <si>
    <t>COVER</t>
    <phoneticPr fontId="2" type="noConversion"/>
  </si>
  <si>
    <t>KR6472-GA273PNA</t>
    <phoneticPr fontId="2" type="noConversion"/>
  </si>
  <si>
    <t>SF2250EPR N/P</t>
    <phoneticPr fontId="2" type="noConversion"/>
  </si>
  <si>
    <t>2</t>
    <phoneticPr fontId="2" type="noConversion"/>
  </si>
  <si>
    <t>5,6게이트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</si>
  <si>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</si>
  <si>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</si>
  <si>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2021년 10월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</si>
  <si>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AMB0182A-KAA-R1</t>
    <phoneticPr fontId="2" type="noConversion"/>
  </si>
  <si>
    <t>전일 ISSUE 사항(20일)</t>
    <phoneticPr fontId="2" type="noConversion"/>
  </si>
  <si>
    <t>발주분양산-&gt;치수확인후양산</t>
    <phoneticPr fontId="2" type="noConversion"/>
  </si>
  <si>
    <t>14</t>
    <phoneticPr fontId="2" type="noConversion"/>
  </si>
  <si>
    <t>STOPPER</t>
    <phoneticPr fontId="2" type="noConversion"/>
  </si>
  <si>
    <t>당일 진행 사항(21일)</t>
    <phoneticPr fontId="2" type="noConversion"/>
  </si>
  <si>
    <t>AMB07U1A-KAA-R5</t>
    <phoneticPr fontId="2" type="noConversion"/>
  </si>
  <si>
    <t>HDBF05-M01B1</t>
    <phoneticPr fontId="2" type="noConversion"/>
  </si>
  <si>
    <t>8</t>
    <phoneticPr fontId="2" type="noConversion"/>
  </si>
  <si>
    <t>HL81 TOP/BOTTOM</t>
    <phoneticPr fontId="2" type="noConversion"/>
  </si>
  <si>
    <t>NP635-315-006#LB</t>
    <phoneticPr fontId="2" type="noConversion"/>
  </si>
  <si>
    <t>AYE</t>
    <phoneticPr fontId="2" type="noConversion"/>
  </si>
  <si>
    <t>12</t>
    <phoneticPr fontId="2" type="noConversion"/>
  </si>
  <si>
    <t>SAMPLE 진행 사항(20일)</t>
    <phoneticPr fontId="2" type="noConversion"/>
  </si>
  <si>
    <t>HDB08J-M02A1-A(96B)</t>
    <phoneticPr fontId="2" type="noConversion"/>
  </si>
  <si>
    <t>AMB0182A-KAA-R1</t>
    <phoneticPr fontId="2" type="noConversion"/>
  </si>
  <si>
    <t>MCS</t>
    <phoneticPr fontId="2" type="noConversion"/>
  </si>
  <si>
    <t>BASE</t>
    <phoneticPr fontId="2" type="noConversion"/>
  </si>
  <si>
    <t>SF2255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</si>
  <si>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</si>
  <si>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</si>
  <si>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2021년 10월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</si>
  <si>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HDBF05-M01B1</t>
    <phoneticPr fontId="2" type="noConversion"/>
  </si>
  <si>
    <t>TOP/BOTTOM</t>
    <phoneticPr fontId="2" type="noConversion"/>
  </si>
  <si>
    <t>HL81-1.0-16.0T1/B1</t>
    <phoneticPr fontId="2" type="noConversion"/>
  </si>
  <si>
    <t>2*1</t>
    <phoneticPr fontId="2" type="noConversion"/>
  </si>
  <si>
    <t>SGP2030R N/P</t>
    <phoneticPr fontId="2" type="noConversion"/>
  </si>
  <si>
    <t>전일 ISSUE 사항(21일)</t>
    <phoneticPr fontId="2" type="noConversion"/>
  </si>
  <si>
    <t>AMB07U1A-KAA-R5</t>
    <phoneticPr fontId="2" type="noConversion"/>
  </si>
  <si>
    <t>HL81-1.0-16.0-T1/B1</t>
    <phoneticPr fontId="2" type="noConversion"/>
  </si>
  <si>
    <t>8</t>
    <phoneticPr fontId="2" type="noConversion"/>
  </si>
  <si>
    <t>T/B</t>
    <phoneticPr fontId="2" type="noConversion"/>
  </si>
  <si>
    <t>NP635-315-006#LB</t>
    <phoneticPr fontId="2" type="noConversion"/>
  </si>
  <si>
    <t>AYE</t>
    <phoneticPr fontId="2" type="noConversion"/>
  </si>
  <si>
    <t>12</t>
    <phoneticPr fontId="2" type="noConversion"/>
  </si>
  <si>
    <t>KR6454-A352YA</t>
    <phoneticPr fontId="2" type="noConversion"/>
  </si>
  <si>
    <t>가스수리</t>
    <phoneticPr fontId="2" type="noConversion"/>
  </si>
  <si>
    <t>가스정지</t>
    <phoneticPr fontId="2" type="noConversion"/>
  </si>
  <si>
    <t>AMB1942A-KAA-R1</t>
    <phoneticPr fontId="2" type="noConversion"/>
  </si>
  <si>
    <t>SST</t>
    <phoneticPr fontId="2" type="noConversion"/>
  </si>
  <si>
    <t>13</t>
    <phoneticPr fontId="2" type="noConversion"/>
  </si>
  <si>
    <t>SLIDER</t>
    <phoneticPr fontId="2" type="noConversion"/>
  </si>
  <si>
    <t>ACTUATOR</t>
    <phoneticPr fontId="2" type="noConversion"/>
  </si>
  <si>
    <t>11</t>
    <phoneticPr fontId="2" type="noConversion"/>
  </si>
  <si>
    <t>당일 진행 사항(22일)</t>
    <phoneticPr fontId="2" type="noConversion"/>
  </si>
  <si>
    <t>HL563 TOP/BOTTOM</t>
    <phoneticPr fontId="2" type="noConversion"/>
  </si>
  <si>
    <t>수리후양산</t>
    <phoneticPr fontId="2" type="noConversion"/>
  </si>
  <si>
    <t>MCS</t>
    <phoneticPr fontId="2" type="noConversion"/>
  </si>
  <si>
    <t>SAMPLE 진행 사항(21일)</t>
    <phoneticPr fontId="2" type="noConversion"/>
  </si>
  <si>
    <t>AMB0182B-KAA-R1</t>
    <phoneticPr fontId="2" type="noConversion"/>
  </si>
  <si>
    <t>2829HQN05-28-F3</t>
    <phoneticPr fontId="2" type="noConversion"/>
  </si>
  <si>
    <t>AMM08010A-KAA-R1</t>
    <phoneticPr fontId="2" type="noConversion"/>
  </si>
  <si>
    <t>SF2255 I/V</t>
    <phoneticPr fontId="2" type="noConversion"/>
  </si>
  <si>
    <t>SP</t>
    <phoneticPr fontId="2" type="noConversion"/>
  </si>
  <si>
    <t>KR6472-J034PRA</t>
    <phoneticPr fontId="2" type="noConversion"/>
  </si>
  <si>
    <t>S475 B/K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</si>
  <si>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</si>
  <si>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</si>
  <si>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2021년 10월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</si>
  <si>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SP 1/2</t>
    <phoneticPr fontId="2" type="noConversion"/>
  </si>
  <si>
    <t>KR6472AKA002PNA/-K</t>
    <phoneticPr fontId="2" type="noConversion"/>
  </si>
  <si>
    <t>HL563-1.0-16.0T1/B1</t>
    <phoneticPr fontId="2" type="noConversion"/>
  </si>
  <si>
    <t>전일 ISSUE 사항(22일)</t>
    <phoneticPr fontId="2" type="noConversion"/>
  </si>
  <si>
    <t>SP1/2</t>
    <phoneticPr fontId="2" type="noConversion"/>
  </si>
  <si>
    <t>KR6472AKA002PNA/-K</t>
    <phoneticPr fontId="2" type="noConversion"/>
  </si>
  <si>
    <t>HL563-1.0-16.0-T1/B1</t>
    <phoneticPr fontId="2" type="noConversion"/>
  </si>
  <si>
    <t>발주분양산-&gt;긁힘정지</t>
    <phoneticPr fontId="2" type="noConversion"/>
  </si>
  <si>
    <t>당일 진행 사항(23일)</t>
    <phoneticPr fontId="2" type="noConversion"/>
  </si>
  <si>
    <t>288C64A-U148A</t>
    <phoneticPr fontId="2" type="noConversion"/>
  </si>
  <si>
    <t>발주분양산</t>
    <phoneticPr fontId="2" type="noConversion"/>
  </si>
  <si>
    <t>288C64A-B148A</t>
    <phoneticPr fontId="2" type="noConversion"/>
  </si>
  <si>
    <t>OKINS</t>
    <phoneticPr fontId="2" type="noConversion"/>
  </si>
  <si>
    <t>9</t>
    <phoneticPr fontId="2" type="noConversion"/>
  </si>
  <si>
    <t>UNDER</t>
    <phoneticPr fontId="2" type="noConversion"/>
  </si>
  <si>
    <t>KR6458BB456PMA(1C)</t>
    <phoneticPr fontId="2" type="noConversion"/>
  </si>
  <si>
    <t>SST</t>
    <phoneticPr fontId="2" type="noConversion"/>
  </si>
  <si>
    <t>7</t>
    <phoneticPr fontId="2" type="noConversion"/>
  </si>
  <si>
    <t>SAMPLE 진행 사항(22일)</t>
    <phoneticPr fontId="2" type="noConversion"/>
  </si>
  <si>
    <t>K-JR01911-D308AZA</t>
    <phoneticPr fontId="2" type="noConversion"/>
  </si>
  <si>
    <t>K-JR01911-A308BWA</t>
    <phoneticPr fontId="2" type="noConversion"/>
  </si>
  <si>
    <t>BP22-127A1(신형)</t>
    <phoneticPr fontId="2" type="noConversion"/>
  </si>
  <si>
    <t>K-JR01911-B308AWA</t>
    <phoneticPr fontId="2" type="noConversion"/>
  </si>
  <si>
    <t>HICON</t>
    <phoneticPr fontId="2" type="noConversion"/>
  </si>
  <si>
    <t>STOPPER</t>
    <phoneticPr fontId="2" type="noConversion"/>
  </si>
  <si>
    <t>SLIDER</t>
    <phoneticPr fontId="2" type="noConversion"/>
  </si>
  <si>
    <t>SP 1/2</t>
    <phoneticPr fontId="2" type="noConversion"/>
  </si>
  <si>
    <t>22P</t>
    <phoneticPr fontId="2" type="noConversion"/>
  </si>
  <si>
    <t>BASE</t>
    <phoneticPr fontId="2" type="noConversion"/>
  </si>
  <si>
    <t>SGP2020R</t>
    <phoneticPr fontId="2" type="noConversion"/>
  </si>
  <si>
    <t>SGF2030</t>
    <phoneticPr fontId="2" type="noConversion"/>
  </si>
  <si>
    <t>수축,금형노즐교환</t>
    <phoneticPr fontId="2" type="noConversion"/>
  </si>
  <si>
    <t>SF2250EPR</t>
    <phoneticPr fontId="2" type="noConversion"/>
  </si>
  <si>
    <t>신작</t>
    <phoneticPr fontId="2" type="noConversion"/>
  </si>
  <si>
    <t>밀핀수리</t>
    <phoneticPr fontId="2" type="noConversion"/>
  </si>
  <si>
    <t>SGF2033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</si>
  <si>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</si>
  <si>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</si>
  <si>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2021년 10월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</si>
  <si>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LATCH</t>
    <phoneticPr fontId="2" type="noConversion"/>
  </si>
  <si>
    <t>KR6472-E01TA</t>
    <phoneticPr fontId="2" type="noConversion"/>
  </si>
  <si>
    <t>HL72-10M3/4</t>
    <phoneticPr fontId="2" type="noConversion"/>
  </si>
  <si>
    <t>U BASE</t>
    <phoneticPr fontId="2" type="noConversion"/>
  </si>
  <si>
    <t>전일 ISSUE 사항(25일)</t>
    <phoneticPr fontId="2" type="noConversion"/>
  </si>
  <si>
    <t>코아파손수리-&gt;긁힘정지</t>
    <phoneticPr fontId="2" type="noConversion"/>
  </si>
  <si>
    <t>코아파손2회수리</t>
    <phoneticPr fontId="2" type="noConversion"/>
  </si>
  <si>
    <t>코아파손2회정지</t>
    <phoneticPr fontId="2" type="noConversion"/>
  </si>
  <si>
    <t>밀핀3회수리</t>
    <phoneticPr fontId="2" type="noConversion"/>
  </si>
  <si>
    <t>당일 진행 사항(26일)</t>
    <phoneticPr fontId="2" type="noConversion"/>
  </si>
  <si>
    <t>AMB1934A-KAA-R1</t>
    <phoneticPr fontId="2" type="noConversion"/>
  </si>
  <si>
    <t>HDBF05-M04B1</t>
    <phoneticPr fontId="2" type="noConversion"/>
  </si>
  <si>
    <t>AMB0243A-KAA-R1</t>
    <phoneticPr fontId="2" type="noConversion"/>
  </si>
  <si>
    <t>AMB0185A-KAA-R1</t>
    <phoneticPr fontId="2" type="noConversion"/>
  </si>
  <si>
    <t>SAMPLE 진행 사항(25일)</t>
    <phoneticPr fontId="2" type="noConversion"/>
  </si>
  <si>
    <t>AMB07Z1B-KAA-R1</t>
    <phoneticPr fontId="2" type="noConversion"/>
  </si>
  <si>
    <t>AMB2203A-KAA-R1</t>
    <phoneticPr fontId="2" type="noConversion"/>
  </si>
  <si>
    <t>PX13322 W/T</t>
    <phoneticPr fontId="2" type="noConversion"/>
  </si>
  <si>
    <t>LG35</t>
    <phoneticPr fontId="2" type="noConversion"/>
  </si>
  <si>
    <t xml:space="preserve">5030G 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</si>
  <si>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</si>
  <si>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</si>
  <si>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2021년 10월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</si>
  <si>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전일 ISSUE 사항(26일)</t>
    <phoneticPr fontId="2" type="noConversion"/>
  </si>
  <si>
    <t>발주분양산-&gt;코아파손3회정지</t>
    <phoneticPr fontId="2" type="noConversion"/>
  </si>
  <si>
    <t>코아파손정지</t>
    <phoneticPr fontId="2" type="noConversion"/>
  </si>
  <si>
    <t>코아파손1C막음</t>
    <phoneticPr fontId="2" type="noConversion"/>
  </si>
  <si>
    <t>당일 진행 사항(27일)</t>
    <phoneticPr fontId="2" type="noConversion"/>
  </si>
  <si>
    <t>AMB0358A-KAA-R1</t>
    <phoneticPr fontId="2" type="noConversion"/>
  </si>
  <si>
    <t>KR6458BB456PMA(1C)</t>
    <phoneticPr fontId="2" type="noConversion"/>
  </si>
  <si>
    <t>7</t>
    <phoneticPr fontId="2" type="noConversion"/>
  </si>
  <si>
    <t>NP413-77549#IN-B</t>
    <phoneticPr fontId="2" type="noConversion"/>
  </si>
  <si>
    <t>AYE</t>
    <phoneticPr fontId="2" type="noConversion"/>
  </si>
  <si>
    <t>13</t>
    <phoneticPr fontId="2" type="noConversion"/>
  </si>
  <si>
    <t>SAMPLE 진행 사항(26일)</t>
    <phoneticPr fontId="2" type="noConversion"/>
  </si>
  <si>
    <t>코아파손2회정지</t>
    <phoneticPr fontId="2" type="noConversion"/>
  </si>
  <si>
    <t>KR6472-B273UA</t>
    <phoneticPr fontId="2" type="noConversion"/>
  </si>
  <si>
    <t>SST</t>
    <phoneticPr fontId="2" type="noConversion"/>
  </si>
  <si>
    <t>KR6472-J034PRA</t>
    <phoneticPr fontId="2" type="noConversion"/>
  </si>
  <si>
    <t>SEPARATOR</t>
    <phoneticPr fontId="2" type="noConversion"/>
  </si>
  <si>
    <t>S475</t>
    <phoneticPr fontId="2" type="noConversion"/>
  </si>
  <si>
    <t>18</t>
    <phoneticPr fontId="2" type="noConversion"/>
  </si>
  <si>
    <t>BURR정지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</si>
  <si>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</si>
  <si>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</si>
  <si>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2021년 10월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</si>
  <si>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라인</t>
    <phoneticPr fontId="2" type="noConversion"/>
  </si>
  <si>
    <t>New Pattern Cover-2</t>
    <phoneticPr fontId="2" type="noConversion"/>
  </si>
  <si>
    <t>LCP ESD</t>
    <phoneticPr fontId="2" type="noConversion"/>
  </si>
  <si>
    <t>K-AR3550-1B</t>
    <phoneticPr fontId="2" type="noConversion"/>
  </si>
  <si>
    <t>K-AR3548-1B</t>
    <phoneticPr fontId="2" type="noConversion"/>
  </si>
  <si>
    <t>CAM</t>
    <phoneticPr fontId="2" type="noConversion"/>
  </si>
  <si>
    <t>K-R2770-1C</t>
    <phoneticPr fontId="2" type="noConversion"/>
  </si>
  <si>
    <t>HL563</t>
    <phoneticPr fontId="2" type="noConversion"/>
  </si>
  <si>
    <t>2*1</t>
    <phoneticPr fontId="2" type="noConversion"/>
  </si>
  <si>
    <t>HL480</t>
    <phoneticPr fontId="2" type="noConversion"/>
  </si>
  <si>
    <t>전일 ISSUE 사항(27일)</t>
    <phoneticPr fontId="2" type="noConversion"/>
  </si>
  <si>
    <t>BURR수리-&gt;긁힘수리후양산</t>
    <phoneticPr fontId="2" type="noConversion"/>
  </si>
  <si>
    <t>AYE</t>
    <phoneticPr fontId="2" type="noConversion"/>
  </si>
  <si>
    <t>13</t>
    <phoneticPr fontId="2" type="noConversion"/>
  </si>
  <si>
    <t>NP413-77549#IN-B</t>
    <phoneticPr fontId="2" type="noConversion"/>
  </si>
  <si>
    <t>HICON</t>
    <phoneticPr fontId="2" type="noConversion"/>
  </si>
  <si>
    <t>8</t>
    <phoneticPr fontId="2" type="noConversion"/>
  </si>
  <si>
    <t>TOP/BOTTOM</t>
    <phoneticPr fontId="2" type="noConversion"/>
  </si>
  <si>
    <t>HL563</t>
    <phoneticPr fontId="2" type="noConversion"/>
  </si>
  <si>
    <t>14</t>
    <phoneticPr fontId="2" type="noConversion"/>
  </si>
  <si>
    <t>STOPPER</t>
    <phoneticPr fontId="2" type="noConversion"/>
  </si>
  <si>
    <t>KR6454-D352UA</t>
    <phoneticPr fontId="2" type="noConversion"/>
  </si>
  <si>
    <t>코아파손2회정지</t>
    <phoneticPr fontId="2" type="noConversion"/>
  </si>
  <si>
    <t>당일 진행 사항(28일)</t>
    <phoneticPr fontId="2" type="noConversion"/>
  </si>
  <si>
    <t>K-JR01939-G01ABA</t>
    <phoneticPr fontId="2" type="noConversion"/>
  </si>
  <si>
    <t>2</t>
    <phoneticPr fontId="2" type="noConversion"/>
  </si>
  <si>
    <t>ADAPTER</t>
    <phoneticPr fontId="2" type="noConversion"/>
  </si>
  <si>
    <t>HSA08-M03A1(3C)</t>
    <phoneticPr fontId="2" type="noConversion"/>
  </si>
  <si>
    <t>SAMPLE 진행 사항(27일)</t>
    <phoneticPr fontId="2" type="noConversion"/>
  </si>
  <si>
    <t>런너막힘2회정지</t>
    <phoneticPr fontId="2" type="noConversion"/>
  </si>
  <si>
    <t>KR6472-GA273PNA</t>
    <phoneticPr fontId="2" type="noConversion"/>
  </si>
  <si>
    <t>SST</t>
    <phoneticPr fontId="2" type="noConversion"/>
  </si>
  <si>
    <t>AMB20G9A-KAA-R1</t>
    <phoneticPr fontId="2" type="noConversion"/>
  </si>
  <si>
    <t>F/A</t>
    <phoneticPr fontId="2" type="noConversion"/>
  </si>
  <si>
    <t>신작</t>
    <phoneticPr fontId="2" type="noConversion"/>
  </si>
  <si>
    <t>AMB0485A-KAA-R1</t>
    <phoneticPr fontId="2" type="noConversion"/>
  </si>
  <si>
    <t>LEAD GUIDE</t>
    <phoneticPr fontId="2" type="noConversion"/>
  </si>
  <si>
    <t>K-R2770-1C</t>
    <phoneticPr fontId="2" type="noConversion"/>
  </si>
  <si>
    <t>CAM</t>
    <phoneticPr fontId="2" type="noConversion"/>
  </si>
  <si>
    <t>JD4901</t>
    <phoneticPr fontId="2" type="noConversion"/>
  </si>
  <si>
    <t>이관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</si>
  <si>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</si>
  <si>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</si>
  <si>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2021년 10월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</si>
  <si>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PX13322W/T</t>
    <phoneticPr fontId="2" type="noConversion"/>
  </si>
  <si>
    <t>STOPPER L/R</t>
    <phoneticPr fontId="2" type="noConversion"/>
  </si>
  <si>
    <t>AAM1209A-KAA/B</t>
    <phoneticPr fontId="2" type="noConversion"/>
  </si>
  <si>
    <t>2*1</t>
    <phoneticPr fontId="2" type="noConversion"/>
  </si>
  <si>
    <t>전일 ISSUE 사항(28일)</t>
    <phoneticPr fontId="2" type="noConversion"/>
  </si>
  <si>
    <t>AAM1209A-KAA/B-R2</t>
    <phoneticPr fontId="2" type="noConversion"/>
  </si>
  <si>
    <t>6</t>
    <phoneticPr fontId="2" type="noConversion"/>
  </si>
  <si>
    <t>당일 진행 사항(29일)</t>
    <phoneticPr fontId="2" type="noConversion"/>
  </si>
  <si>
    <t>HSA08-M03A1(3C)</t>
    <phoneticPr fontId="2" type="noConversion"/>
  </si>
  <si>
    <t>HICON</t>
    <phoneticPr fontId="2" type="noConversion"/>
  </si>
  <si>
    <t>COVER</t>
    <phoneticPr fontId="2" type="noConversion"/>
  </si>
  <si>
    <t>SAMPLE 진행 사항(28일)</t>
    <phoneticPr fontId="2" type="noConversion"/>
  </si>
  <si>
    <t>AMB09K3A-KAA-R1</t>
    <phoneticPr fontId="2" type="noConversion"/>
  </si>
  <si>
    <t>AMB09K2A-KAA-R1</t>
    <phoneticPr fontId="2" type="noConversion"/>
  </si>
  <si>
    <t>AMB39R2A/B-KAA-R1</t>
    <phoneticPr fontId="2" type="noConversion"/>
  </si>
  <si>
    <t>AMB0368A-KAA-R1</t>
    <phoneticPr fontId="2" type="noConversion"/>
  </si>
  <si>
    <t>AMB0369A-KAA-R1</t>
    <phoneticPr fontId="2" type="noConversion"/>
  </si>
  <si>
    <t>AMB39R1A-KAA-R1(1C)</t>
    <phoneticPr fontId="2" type="noConversion"/>
  </si>
  <si>
    <t>LATCH PLATE</t>
    <phoneticPr fontId="2" type="noConversion"/>
  </si>
  <si>
    <t>LATCH</t>
    <phoneticPr fontId="2" type="noConversion"/>
  </si>
  <si>
    <t>SPACER L/R</t>
    <phoneticPr fontId="2" type="noConversion"/>
  </si>
  <si>
    <t>KNOB</t>
    <phoneticPr fontId="2" type="noConversion"/>
  </si>
  <si>
    <t>SEPARATOR</t>
    <phoneticPr fontId="2" type="noConversion"/>
  </si>
  <si>
    <t>JD4901</t>
    <phoneticPr fontId="2" type="noConversion"/>
  </si>
  <si>
    <t>E130i</t>
    <phoneticPr fontId="2" type="noConversion"/>
  </si>
  <si>
    <t>5030G</t>
    <phoneticPr fontId="2" type="noConversion"/>
  </si>
  <si>
    <t>MT401</t>
    <phoneticPr fontId="2" type="noConversion"/>
  </si>
  <si>
    <t>신작</t>
    <phoneticPr fontId="2" type="noConversion"/>
  </si>
  <si>
    <t>3</t>
    <phoneticPr fontId="2" type="noConversion"/>
  </si>
  <si>
    <t>9</t>
    <phoneticPr fontId="2" type="noConversion"/>
  </si>
  <si>
    <t>18</t>
    <phoneticPr fontId="2" type="noConversion"/>
  </si>
  <si>
    <t>1CAV</t>
    <phoneticPr fontId="2" type="noConversion"/>
  </si>
  <si>
    <t>미성형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</si>
  <si>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</si>
  <si>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</si>
  <si>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2021년 10월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</si>
  <si>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전일 ISSUE 사항(29일)</t>
    <phoneticPr fontId="2" type="noConversion"/>
  </si>
  <si>
    <t>미성형1C양산</t>
    <phoneticPr fontId="2" type="noConversion"/>
  </si>
  <si>
    <t>262C83A-B150A</t>
    <phoneticPr fontId="2" type="noConversion"/>
  </si>
  <si>
    <t>OKINS</t>
    <phoneticPr fontId="2" type="noConversion"/>
  </si>
  <si>
    <t>2</t>
    <phoneticPr fontId="2" type="noConversion"/>
  </si>
  <si>
    <t>BASE</t>
    <phoneticPr fontId="2" type="noConversion"/>
  </si>
  <si>
    <t>당일 진행 사항(01일)</t>
    <phoneticPr fontId="2" type="noConversion"/>
  </si>
  <si>
    <t>HDBF05-M01B1-1</t>
    <phoneticPr fontId="2" type="noConversion"/>
  </si>
  <si>
    <t>AM0143A-K</t>
    <phoneticPr fontId="2" type="noConversion"/>
  </si>
  <si>
    <t>AMB0248A-KAA-R1</t>
    <phoneticPr fontId="2" type="noConversion"/>
  </si>
  <si>
    <t>6</t>
    <phoneticPr fontId="2" type="noConversion"/>
  </si>
  <si>
    <t>4</t>
    <phoneticPr fontId="2" type="noConversion"/>
  </si>
  <si>
    <t>1</t>
    <phoneticPr fontId="2" type="noConversion"/>
  </si>
  <si>
    <t>HSA08-M02A1(PES)</t>
    <phoneticPr fontId="2" type="noConversion"/>
  </si>
  <si>
    <t>12</t>
    <phoneticPr fontId="2" type="noConversion"/>
  </si>
  <si>
    <t>AM0148B-K-R2</t>
    <phoneticPr fontId="2" type="noConversion"/>
  </si>
  <si>
    <t>13</t>
    <phoneticPr fontId="2" type="noConversion"/>
  </si>
  <si>
    <t>AMB1938A-KAA-R1</t>
    <phoneticPr fontId="2" type="noConversion"/>
  </si>
  <si>
    <t>AMB0172A-KAA-R3</t>
    <phoneticPr fontId="2" type="noConversion"/>
  </si>
  <si>
    <t>15</t>
    <phoneticPr fontId="2" type="noConversion"/>
  </si>
  <si>
    <t>코아파손정지</t>
    <phoneticPr fontId="2" type="noConversion"/>
  </si>
  <si>
    <t>발주분양산</t>
    <phoneticPr fontId="2" type="noConversion"/>
  </si>
  <si>
    <t>14</t>
    <phoneticPr fontId="2" type="noConversion"/>
  </si>
  <si>
    <t>40P</t>
    <phoneticPr fontId="2" type="noConversion"/>
  </si>
  <si>
    <t>16</t>
    <phoneticPr fontId="2" type="noConversion"/>
  </si>
  <si>
    <t>STOPPER</t>
    <phoneticPr fontId="2" type="noConversion"/>
  </si>
  <si>
    <t>SLIDER</t>
    <phoneticPr fontId="2" type="noConversion"/>
  </si>
  <si>
    <t>ACTUATOR</t>
    <phoneticPr fontId="2" type="noConversion"/>
  </si>
  <si>
    <t>HICON</t>
    <phoneticPr fontId="2" type="noConversion"/>
  </si>
  <si>
    <t>MCS</t>
    <phoneticPr fontId="2" type="noConversion"/>
  </si>
  <si>
    <t>DI</t>
    <phoneticPr fontId="2" type="noConversion"/>
  </si>
  <si>
    <t>SAMPLE 진행 사항(29일)</t>
    <phoneticPr fontId="2" type="noConversion"/>
  </si>
  <si>
    <t>KR6472-GA273PNA</t>
    <phoneticPr fontId="2" type="noConversion"/>
  </si>
  <si>
    <t>AMB20G9A-KAA-R1</t>
    <phoneticPr fontId="2" type="noConversion"/>
  </si>
  <si>
    <t>AMB2203A-KAA-R1</t>
    <phoneticPr fontId="2" type="noConversion"/>
  </si>
  <si>
    <t>New Pattern Cover-3</t>
    <phoneticPr fontId="2" type="noConversion"/>
  </si>
  <si>
    <t>New Pattern Cover-4</t>
    <phoneticPr fontId="2" type="noConversion"/>
  </si>
  <si>
    <t>BP22-127A1(신형)</t>
    <phoneticPr fontId="2" type="noConversion"/>
  </si>
  <si>
    <t>AMB39R1A-KAA-R1(4C)</t>
    <phoneticPr fontId="2" type="noConversion"/>
  </si>
  <si>
    <t>SST</t>
    <phoneticPr fontId="2" type="noConversion"/>
  </si>
  <si>
    <t>라인</t>
    <phoneticPr fontId="2" type="noConversion"/>
  </si>
  <si>
    <t>ADAPTER</t>
    <phoneticPr fontId="2" type="noConversion"/>
  </si>
  <si>
    <t>F/A</t>
    <phoneticPr fontId="2" type="noConversion"/>
  </si>
  <si>
    <t>BOTTOM</t>
    <phoneticPr fontId="2" type="noConversion"/>
  </si>
  <si>
    <t>22P</t>
    <phoneticPr fontId="2" type="noConversion"/>
  </si>
  <si>
    <t>SEPARATOR</t>
    <phoneticPr fontId="2" type="noConversion"/>
  </si>
  <si>
    <t>SGF2030</t>
    <phoneticPr fontId="2" type="noConversion"/>
  </si>
  <si>
    <t>LCP ESD</t>
    <phoneticPr fontId="2" type="noConversion"/>
  </si>
  <si>
    <t>MT401</t>
    <phoneticPr fontId="2" type="noConversion"/>
  </si>
  <si>
    <t>수정</t>
    <phoneticPr fontId="2" type="noConversion"/>
  </si>
  <si>
    <t>원재료</t>
    <phoneticPr fontId="2" type="noConversion"/>
  </si>
  <si>
    <t>신작</t>
    <phoneticPr fontId="2" type="noConversion"/>
  </si>
  <si>
    <t>증작</t>
    <phoneticPr fontId="2" type="noConversion"/>
  </si>
  <si>
    <t>3</t>
    <phoneticPr fontId="2" type="noConversion"/>
  </si>
  <si>
    <t>18</t>
    <phoneticPr fontId="2" type="noConversion"/>
  </si>
  <si>
    <t>치수확인용</t>
    <phoneticPr fontId="2" type="noConversion"/>
  </si>
  <si>
    <t>원재료변경</t>
    <phoneticPr fontId="2" type="noConversion"/>
  </si>
  <si>
    <t>금형 수리 내역(29일)</t>
    <phoneticPr fontId="2" type="noConversion"/>
  </si>
  <si>
    <t>설비 점검 내역(29일)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</si>
</sst>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17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8" borderId="20" xfId="8" applyFont="1" applyFill="1" applyBorder="1" applyAlignment="1">
      <alignment horizontal="center" vertical="center"/>
    </xf>
    <xf numFmtId="9" fontId="7" fillId="28" borderId="54" xfId="8" applyFont="1" applyFill="1" applyBorder="1" applyAlignment="1">
      <alignment horizontal="center" vertical="center"/>
    </xf>
    <xf numFmtId="9" fontId="7" fillId="28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8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8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8" borderId="8" xfId="2" applyFont="1" applyFill="1" applyBorder="1" applyAlignment="1">
      <alignment horizontal="center" vertical="center"/>
    </xf>
    <xf numFmtId="0" fontId="7" fillId="28" borderId="53" xfId="0" applyFont="1" applyFill="1" applyBorder="1" applyAlignment="1">
      <alignment horizontal="center" vertical="center"/>
    </xf>
    <xf numFmtId="9" fontId="7" fillId="28" borderId="38" xfId="8" applyFont="1" applyFill="1" applyBorder="1" applyAlignment="1">
      <alignment horizontal="center" vertical="center"/>
    </xf>
    <xf numFmtId="9" fontId="7" fillId="28" borderId="24" xfId="8" applyFont="1" applyFill="1" applyBorder="1" applyAlignment="1">
      <alignment horizontal="center" vertical="center"/>
    </xf>
    <xf numFmtId="9" fontId="7" fillId="28" borderId="33" xfId="8" applyFont="1" applyFill="1" applyBorder="1" applyAlignment="1">
      <alignment horizontal="center" vertical="center"/>
    </xf>
    <xf numFmtId="9" fontId="7" fillId="28" borderId="31" xfId="8" applyFont="1" applyFill="1" applyBorder="1" applyAlignment="1">
      <alignment horizontal="center" vertical="center"/>
    </xf>
    <xf numFmtId="9" fontId="7" fillId="28" borderId="5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41" fontId="8" fillId="0" borderId="7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42" fontId="15" fillId="0" borderId="22" xfId="7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5" xfId="2" applyNumberFormat="1" applyFont="1" applyBorder="1" applyAlignment="1">
      <alignment horizontal="left" vertical="center" shrinkToFit="1"/>
    </xf>
    <xf numFmtId="49" fontId="13" fillId="0" borderId="63" xfId="2" applyNumberFormat="1" applyFont="1" applyBorder="1" applyAlignment="1">
      <alignment horizontal="left" vertical="center" shrinkToFit="1"/>
    </xf>
    <xf numFmtId="49" fontId="13" fillId="0" borderId="64" xfId="2" applyNumberFormat="1" applyFont="1" applyBorder="1" applyAlignment="1">
      <alignment horizontal="left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29" xfId="2" applyFont="1" applyFill="1" applyBorder="1" applyAlignment="1">
      <alignment horizontal="center" vertical="center"/>
    </xf>
    <xf numFmtId="0" fontId="19" fillId="2" borderId="16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1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'01'!$L$6:$L$27</c:f>
              <c:numCache>
                <c:formatCode>_(* #,##0_);_(* \(#,##0\);_(* "-"_);_(@_)</c:formatCode>
                <c:ptCount val="22"/>
                <c:pt idx="0">
                  <c:v>10312</c:v>
                </c:pt>
                <c:pt idx="2">
                  <c:v>1000</c:v>
                </c:pt>
                <c:pt idx="3">
                  <c:v>5279</c:v>
                </c:pt>
                <c:pt idx="4">
                  <c:v>5658</c:v>
                </c:pt>
                <c:pt idx="5">
                  <c:v>11160</c:v>
                </c:pt>
                <c:pt idx="6">
                  <c:v>4725</c:v>
                </c:pt>
                <c:pt idx="7">
                  <c:v>5379</c:v>
                </c:pt>
                <c:pt idx="9">
                  <c:v>5209</c:v>
                </c:pt>
                <c:pt idx="10">
                  <c:v>5648</c:v>
                </c:pt>
                <c:pt idx="11">
                  <c:v>7758</c:v>
                </c:pt>
                <c:pt idx="12">
                  <c:v>2255</c:v>
                </c:pt>
                <c:pt idx="14">
                  <c:v>10178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3-4289-A8E9-70978405C5E9}"/>
            </c:ext>
          </c:extLst>
        </c:ser>
        <c:ser>
          <c:idx val="1"/>
          <c:order val="1"/>
          <c:tx>
            <c:v>계획</c:v>
          </c:tx>
          <c:cat>
            <c:strRef>
              <c:f>'01'!$D$6:$D$27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6110</c:v>
                </c:pt>
                <c:pt idx="2">
                  <c:v>1000</c:v>
                </c:pt>
                <c:pt idx="3">
                  <c:v>5279</c:v>
                </c:pt>
                <c:pt idx="4">
                  <c:v>5658</c:v>
                </c:pt>
                <c:pt idx="5">
                  <c:v>11160</c:v>
                </c:pt>
                <c:pt idx="6">
                  <c:v>4725</c:v>
                </c:pt>
                <c:pt idx="7">
                  <c:v>5379</c:v>
                </c:pt>
                <c:pt idx="8">
                  <c:v>712</c:v>
                </c:pt>
                <c:pt idx="9">
                  <c:v>5209</c:v>
                </c:pt>
                <c:pt idx="10">
                  <c:v>5648</c:v>
                </c:pt>
                <c:pt idx="11">
                  <c:v>7758</c:v>
                </c:pt>
                <c:pt idx="12">
                  <c:v>2255</c:v>
                </c:pt>
                <c:pt idx="13">
                  <c:v>5440</c:v>
                </c:pt>
                <c:pt idx="14">
                  <c:v>10178</c:v>
                </c:pt>
                <c:pt idx="15">
                  <c:v>30464</c:v>
                </c:pt>
                <c:pt idx="16">
                  <c:v>22300</c:v>
                </c:pt>
                <c:pt idx="17">
                  <c:v>0</c:v>
                </c:pt>
                <c:pt idx="18">
                  <c:v>22300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3-4289-A8E9-70978405C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'01'!$AD$6:$AD$27</c:f>
              <c:strCache>
                <c:ptCount val="22"/>
                <c:pt idx="0">
                  <c:v>92%</c:v>
                </c:pt>
                <c:pt idx="1">
                  <c:v>0%</c:v>
                </c:pt>
                <c:pt idx="2">
                  <c:v>54%</c:v>
                </c:pt>
                <c:pt idx="3">
                  <c:v>92%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79%</c:v>
                </c:pt>
                <c:pt idx="12">
                  <c:v>46%</c:v>
                </c:pt>
                <c:pt idx="13">
                  <c:v>0%</c:v>
                </c:pt>
                <c:pt idx="14">
                  <c:v>96%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'01'!$AD$6:$AD$27</c:f>
              <c:numCache>
                <c:formatCode>0%</c:formatCode>
                <c:ptCount val="22"/>
                <c:pt idx="0">
                  <c:v>0.91666666666666663</c:v>
                </c:pt>
                <c:pt idx="1">
                  <c:v>0</c:v>
                </c:pt>
                <c:pt idx="2">
                  <c:v>0.54166666666666663</c:v>
                </c:pt>
                <c:pt idx="3">
                  <c:v>0.91666666666666663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0.79166666666666663</c:v>
                </c:pt>
                <c:pt idx="12">
                  <c:v>0.45833333333333331</c:v>
                </c:pt>
                <c:pt idx="13">
                  <c:v>0</c:v>
                </c:pt>
                <c:pt idx="14">
                  <c:v>0.95833333333333337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A-45E6-BD7C-B9164FBB985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48A-45E6-BD7C-B9164FBB98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'01'!$AE$6:$AE$27</c:f>
              <c:numCache>
                <c:formatCode>0%</c:formatCode>
                <c:ptCount val="22"/>
                <c:pt idx="0">
                  <c:v>0.48106060606060608</c:v>
                </c:pt>
                <c:pt idx="1">
                  <c:v>0.48106060606060608</c:v>
                </c:pt>
                <c:pt idx="2">
                  <c:v>0.48106060606060608</c:v>
                </c:pt>
                <c:pt idx="3">
                  <c:v>0.48106060606060608</c:v>
                </c:pt>
                <c:pt idx="4">
                  <c:v>0.48106060606060608</c:v>
                </c:pt>
                <c:pt idx="5">
                  <c:v>0.48106060606060608</c:v>
                </c:pt>
                <c:pt idx="6">
                  <c:v>0.48106060606060608</c:v>
                </c:pt>
                <c:pt idx="7">
                  <c:v>0.48106060606060608</c:v>
                </c:pt>
                <c:pt idx="8">
                  <c:v>0.48106060606060608</c:v>
                </c:pt>
                <c:pt idx="9">
                  <c:v>0.48106060606060608</c:v>
                </c:pt>
                <c:pt idx="10">
                  <c:v>0.48106060606060608</c:v>
                </c:pt>
                <c:pt idx="11">
                  <c:v>0.48106060606060608</c:v>
                </c:pt>
                <c:pt idx="12">
                  <c:v>0.48106060606060608</c:v>
                </c:pt>
                <c:pt idx="13">
                  <c:v>0.48106060606060608</c:v>
                </c:pt>
                <c:pt idx="14">
                  <c:v>0.48106060606060608</c:v>
                </c:pt>
                <c:pt idx="15">
                  <c:v>0.48106060606060608</c:v>
                </c:pt>
                <c:pt idx="16">
                  <c:v>0.48106060606060608</c:v>
                </c:pt>
                <c:pt idx="17">
                  <c:v>0.48106060606060608</c:v>
                </c:pt>
                <c:pt idx="18">
                  <c:v>0.48106060606060608</c:v>
                </c:pt>
                <c:pt idx="19">
                  <c:v>0.48106060606060608</c:v>
                </c:pt>
                <c:pt idx="20">
                  <c:v>0.48106060606060608</c:v>
                </c:pt>
                <c:pt idx="21">
                  <c:v>0.48106060606060608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8A-45E6-BD7C-B9164FBB9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'01'!$L$6:$L$27</c:f>
              <c:numCache>
                <c:formatCode>_(* #,##0_);_(* \(#,##0\);_(* "-"_);_(@_)</c:formatCode>
                <c:ptCount val="22"/>
                <c:pt idx="0">
                  <c:v>10312</c:v>
                </c:pt>
                <c:pt idx="2">
                  <c:v>1000</c:v>
                </c:pt>
                <c:pt idx="3">
                  <c:v>5279</c:v>
                </c:pt>
                <c:pt idx="4">
                  <c:v>5658</c:v>
                </c:pt>
                <c:pt idx="5">
                  <c:v>11160</c:v>
                </c:pt>
                <c:pt idx="6">
                  <c:v>4725</c:v>
                </c:pt>
                <c:pt idx="7">
                  <c:v>5379</c:v>
                </c:pt>
                <c:pt idx="9">
                  <c:v>5209</c:v>
                </c:pt>
                <c:pt idx="10">
                  <c:v>5648</c:v>
                </c:pt>
                <c:pt idx="11">
                  <c:v>7758</c:v>
                </c:pt>
                <c:pt idx="12">
                  <c:v>2255</c:v>
                </c:pt>
                <c:pt idx="14">
                  <c:v>10178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E-4EC0-8A13-36683D5A320B}"/>
            </c:ext>
          </c:extLst>
        </c:ser>
        <c:ser>
          <c:idx val="1"/>
          <c:order val="1"/>
          <c:tx>
            <c:v>계획</c:v>
          </c:tx>
          <c:cat>
            <c:strRef>
              <c:f>'01'!$D$6:$D$27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6110</c:v>
                </c:pt>
                <c:pt idx="2">
                  <c:v>1000</c:v>
                </c:pt>
                <c:pt idx="3">
                  <c:v>5279</c:v>
                </c:pt>
                <c:pt idx="4">
                  <c:v>5658</c:v>
                </c:pt>
                <c:pt idx="5">
                  <c:v>11160</c:v>
                </c:pt>
                <c:pt idx="6">
                  <c:v>4725</c:v>
                </c:pt>
                <c:pt idx="7">
                  <c:v>5379</c:v>
                </c:pt>
                <c:pt idx="8">
                  <c:v>712</c:v>
                </c:pt>
                <c:pt idx="9">
                  <c:v>5209</c:v>
                </c:pt>
                <c:pt idx="10">
                  <c:v>5648</c:v>
                </c:pt>
                <c:pt idx="11">
                  <c:v>7758</c:v>
                </c:pt>
                <c:pt idx="12">
                  <c:v>2255</c:v>
                </c:pt>
                <c:pt idx="13">
                  <c:v>5440</c:v>
                </c:pt>
                <c:pt idx="14">
                  <c:v>10178</c:v>
                </c:pt>
                <c:pt idx="15">
                  <c:v>30464</c:v>
                </c:pt>
                <c:pt idx="16">
                  <c:v>22300</c:v>
                </c:pt>
                <c:pt idx="17">
                  <c:v>0</c:v>
                </c:pt>
                <c:pt idx="18">
                  <c:v>22300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E-4EC0-8A13-36683D5A3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'01'!$AD$6:$AD$27</c:f>
              <c:strCache>
                <c:ptCount val="22"/>
                <c:pt idx="0">
                  <c:v>92%</c:v>
                </c:pt>
                <c:pt idx="1">
                  <c:v>0%</c:v>
                </c:pt>
                <c:pt idx="2">
                  <c:v>54%</c:v>
                </c:pt>
                <c:pt idx="3">
                  <c:v>92%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79%</c:v>
                </c:pt>
                <c:pt idx="12">
                  <c:v>46%</c:v>
                </c:pt>
                <c:pt idx="13">
                  <c:v>0%</c:v>
                </c:pt>
                <c:pt idx="14">
                  <c:v>96%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'01'!$AD$6:$AD$27</c:f>
              <c:numCache>
                <c:formatCode>0%</c:formatCode>
                <c:ptCount val="22"/>
                <c:pt idx="0">
                  <c:v>0.91666666666666663</c:v>
                </c:pt>
                <c:pt idx="1">
                  <c:v>0</c:v>
                </c:pt>
                <c:pt idx="2">
                  <c:v>0.54166666666666663</c:v>
                </c:pt>
                <c:pt idx="3">
                  <c:v>0.91666666666666663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0.79166666666666663</c:v>
                </c:pt>
                <c:pt idx="12">
                  <c:v>0.45833333333333331</c:v>
                </c:pt>
                <c:pt idx="13">
                  <c:v>0</c:v>
                </c:pt>
                <c:pt idx="14">
                  <c:v>0.95833333333333337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54-4370-9C38-4C29920F331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54-4370-9C38-4C29920F331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'01'!$AE$6:$AE$27</c:f>
              <c:numCache>
                <c:formatCode>0%</c:formatCode>
                <c:ptCount val="22"/>
                <c:pt idx="0">
                  <c:v>0.48106060606060608</c:v>
                </c:pt>
                <c:pt idx="1">
                  <c:v>0.48106060606060608</c:v>
                </c:pt>
                <c:pt idx="2">
                  <c:v>0.48106060606060608</c:v>
                </c:pt>
                <c:pt idx="3">
                  <c:v>0.48106060606060608</c:v>
                </c:pt>
                <c:pt idx="4">
                  <c:v>0.48106060606060608</c:v>
                </c:pt>
                <c:pt idx="5">
                  <c:v>0.48106060606060608</c:v>
                </c:pt>
                <c:pt idx="6">
                  <c:v>0.48106060606060608</c:v>
                </c:pt>
                <c:pt idx="7">
                  <c:v>0.48106060606060608</c:v>
                </c:pt>
                <c:pt idx="8">
                  <c:v>0.48106060606060608</c:v>
                </c:pt>
                <c:pt idx="9">
                  <c:v>0.48106060606060608</c:v>
                </c:pt>
                <c:pt idx="10">
                  <c:v>0.48106060606060608</c:v>
                </c:pt>
                <c:pt idx="11">
                  <c:v>0.48106060606060608</c:v>
                </c:pt>
                <c:pt idx="12">
                  <c:v>0.48106060606060608</c:v>
                </c:pt>
                <c:pt idx="13">
                  <c:v>0.48106060606060608</c:v>
                </c:pt>
                <c:pt idx="14">
                  <c:v>0.48106060606060608</c:v>
                </c:pt>
                <c:pt idx="15">
                  <c:v>0.48106060606060608</c:v>
                </c:pt>
                <c:pt idx="16">
                  <c:v>0.48106060606060608</c:v>
                </c:pt>
                <c:pt idx="17">
                  <c:v>0.48106060606060608</c:v>
                </c:pt>
                <c:pt idx="18">
                  <c:v>0.48106060606060608</c:v>
                </c:pt>
                <c:pt idx="19">
                  <c:v>0.48106060606060608</c:v>
                </c:pt>
                <c:pt idx="20">
                  <c:v>0.48106060606060608</c:v>
                </c:pt>
                <c:pt idx="21">
                  <c:v>0.48106060606060608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54-4370-9C38-4C29920F3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5B5-4963-9667-D1FF96BCB4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B5-4963-9667-D1FF96BCB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5B5-4963-9667-D1FF96BCB41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B5-4963-9667-D1FF96BCB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PUSH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'02'!$L$6:$L$27</c:f>
              <c:numCache>
                <c:formatCode>_(* #,##0_);_(* \(#,##0\);_(* "-"_);_(@_)</c:formatCode>
                <c:ptCount val="22"/>
                <c:pt idx="2">
                  <c:v>234</c:v>
                </c:pt>
                <c:pt idx="3">
                  <c:v>4529</c:v>
                </c:pt>
                <c:pt idx="5">
                  <c:v>8914</c:v>
                </c:pt>
                <c:pt idx="11">
                  <c:v>9842</c:v>
                </c:pt>
                <c:pt idx="12">
                  <c:v>3128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E8-4C4F-97A9-FA9770E89D42}"/>
            </c:ext>
          </c:extLst>
        </c:ser>
        <c:ser>
          <c:idx val="1"/>
          <c:order val="1"/>
          <c:tx>
            <c:v>계획</c:v>
          </c:tx>
          <c:cat>
            <c:strRef>
              <c:f>'02'!$D$6:$D$27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PUSH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6110</c:v>
                </c:pt>
                <c:pt idx="2">
                  <c:v>234</c:v>
                </c:pt>
                <c:pt idx="3">
                  <c:v>4529</c:v>
                </c:pt>
                <c:pt idx="4">
                  <c:v>5658</c:v>
                </c:pt>
                <c:pt idx="5">
                  <c:v>8914</c:v>
                </c:pt>
                <c:pt idx="6">
                  <c:v>4725</c:v>
                </c:pt>
                <c:pt idx="7">
                  <c:v>5379</c:v>
                </c:pt>
                <c:pt idx="8">
                  <c:v>712</c:v>
                </c:pt>
                <c:pt idx="9">
                  <c:v>5209</c:v>
                </c:pt>
                <c:pt idx="10">
                  <c:v>5648</c:v>
                </c:pt>
                <c:pt idx="11">
                  <c:v>9842</c:v>
                </c:pt>
                <c:pt idx="12">
                  <c:v>3128</c:v>
                </c:pt>
                <c:pt idx="13">
                  <c:v>5440</c:v>
                </c:pt>
                <c:pt idx="14">
                  <c:v>10178</c:v>
                </c:pt>
                <c:pt idx="15">
                  <c:v>30464</c:v>
                </c:pt>
                <c:pt idx="16">
                  <c:v>22300</c:v>
                </c:pt>
                <c:pt idx="17">
                  <c:v>0</c:v>
                </c:pt>
                <c:pt idx="18">
                  <c:v>22300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E8-4C4F-97A9-FA9770E89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83%</c:v>
                </c:pt>
                <c:pt idx="4">
                  <c:v>0%</c:v>
                </c:pt>
                <c:pt idx="5">
                  <c:v>88%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88%</c:v>
                </c:pt>
                <c:pt idx="12">
                  <c:v>75%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PUSH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0.83333333333333337</c:v>
                </c:pt>
                <c:pt idx="4">
                  <c:v>0</c:v>
                </c:pt>
                <c:pt idx="5">
                  <c:v>0.875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0.875</c:v>
                </c:pt>
                <c:pt idx="12">
                  <c:v>0.75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1-4F40-A547-A1353F0FEDF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41-4F40-A547-A1353F0FEDF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PUSH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'02'!$AE$6:$AE$27</c:f>
              <c:numCache>
                <c:formatCode>0%</c:formatCode>
                <c:ptCount val="22"/>
                <c:pt idx="0">
                  <c:v>0.15909090909090909</c:v>
                </c:pt>
                <c:pt idx="1">
                  <c:v>0.15909090909090909</c:v>
                </c:pt>
                <c:pt idx="2">
                  <c:v>0.15909090909090909</c:v>
                </c:pt>
                <c:pt idx="3">
                  <c:v>0.15909090909090909</c:v>
                </c:pt>
                <c:pt idx="4">
                  <c:v>0.15909090909090909</c:v>
                </c:pt>
                <c:pt idx="5">
                  <c:v>0.15909090909090909</c:v>
                </c:pt>
                <c:pt idx="6">
                  <c:v>0.15909090909090909</c:v>
                </c:pt>
                <c:pt idx="7">
                  <c:v>0.15909090909090909</c:v>
                </c:pt>
                <c:pt idx="8">
                  <c:v>0.15909090909090909</c:v>
                </c:pt>
                <c:pt idx="9">
                  <c:v>0.15909090909090909</c:v>
                </c:pt>
                <c:pt idx="10">
                  <c:v>0.15909090909090909</c:v>
                </c:pt>
                <c:pt idx="11">
                  <c:v>0.15909090909090909</c:v>
                </c:pt>
                <c:pt idx="12">
                  <c:v>0.15909090909090909</c:v>
                </c:pt>
                <c:pt idx="13">
                  <c:v>0.15909090909090909</c:v>
                </c:pt>
                <c:pt idx="14">
                  <c:v>0.15909090909090909</c:v>
                </c:pt>
                <c:pt idx="15">
                  <c:v>0.15909090909090909</c:v>
                </c:pt>
                <c:pt idx="16">
                  <c:v>0.15909090909090909</c:v>
                </c:pt>
                <c:pt idx="17">
                  <c:v>0.15909090909090909</c:v>
                </c:pt>
                <c:pt idx="18">
                  <c:v>0.15909090909090909</c:v>
                </c:pt>
                <c:pt idx="19">
                  <c:v>0.15909090909090909</c:v>
                </c:pt>
                <c:pt idx="20">
                  <c:v>0.15909090909090909</c:v>
                </c:pt>
                <c:pt idx="21">
                  <c:v>0.15909090909090909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41-4F40-A547-A1353F0FE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PUSH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'02'!$L$6:$L$27</c:f>
              <c:numCache>
                <c:formatCode>_(* #,##0_);_(* \(#,##0\);_(* "-"_);_(@_)</c:formatCode>
                <c:ptCount val="22"/>
                <c:pt idx="2">
                  <c:v>234</c:v>
                </c:pt>
                <c:pt idx="3">
                  <c:v>4529</c:v>
                </c:pt>
                <c:pt idx="5">
                  <c:v>8914</c:v>
                </c:pt>
                <c:pt idx="11">
                  <c:v>9842</c:v>
                </c:pt>
                <c:pt idx="12">
                  <c:v>3128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4-4747-B9E7-E073209617A0}"/>
            </c:ext>
          </c:extLst>
        </c:ser>
        <c:ser>
          <c:idx val="1"/>
          <c:order val="1"/>
          <c:tx>
            <c:v>계획</c:v>
          </c:tx>
          <c:cat>
            <c:strRef>
              <c:f>'02'!$D$6:$D$27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PUSH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6110</c:v>
                </c:pt>
                <c:pt idx="2">
                  <c:v>234</c:v>
                </c:pt>
                <c:pt idx="3">
                  <c:v>4529</c:v>
                </c:pt>
                <c:pt idx="4">
                  <c:v>5658</c:v>
                </c:pt>
                <c:pt idx="5">
                  <c:v>8914</c:v>
                </c:pt>
                <c:pt idx="6">
                  <c:v>4725</c:v>
                </c:pt>
                <c:pt idx="7">
                  <c:v>5379</c:v>
                </c:pt>
                <c:pt idx="8">
                  <c:v>712</c:v>
                </c:pt>
                <c:pt idx="9">
                  <c:v>5209</c:v>
                </c:pt>
                <c:pt idx="10">
                  <c:v>5648</c:v>
                </c:pt>
                <c:pt idx="11">
                  <c:v>9842</c:v>
                </c:pt>
                <c:pt idx="12">
                  <c:v>3128</c:v>
                </c:pt>
                <c:pt idx="13">
                  <c:v>5440</c:v>
                </c:pt>
                <c:pt idx="14">
                  <c:v>10178</c:v>
                </c:pt>
                <c:pt idx="15">
                  <c:v>30464</c:v>
                </c:pt>
                <c:pt idx="16">
                  <c:v>22300</c:v>
                </c:pt>
                <c:pt idx="17">
                  <c:v>0</c:v>
                </c:pt>
                <c:pt idx="18">
                  <c:v>22300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4-4747-B9E7-E07320961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83%</c:v>
                </c:pt>
                <c:pt idx="4">
                  <c:v>0%</c:v>
                </c:pt>
                <c:pt idx="5">
                  <c:v>88%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88%</c:v>
                </c:pt>
                <c:pt idx="12">
                  <c:v>75%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PUSH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0.83333333333333337</c:v>
                </c:pt>
                <c:pt idx="4">
                  <c:v>0</c:v>
                </c:pt>
                <c:pt idx="5">
                  <c:v>0.875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0.875</c:v>
                </c:pt>
                <c:pt idx="12">
                  <c:v>0.75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79-4574-9C65-B4543BA3C7B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79-4574-9C65-B4543BA3C7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LEAD GUIDER</c:v>
                </c:pt>
                <c:pt idx="7">
                  <c:v>LEAD GUIDER</c:v>
                </c:pt>
                <c:pt idx="9">
                  <c:v>ADAPTER</c:v>
                </c:pt>
                <c:pt idx="10">
                  <c:v>SLIDER</c:v>
                </c:pt>
                <c:pt idx="11">
                  <c:v>PUSH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'02'!$AE$6:$AE$27</c:f>
              <c:numCache>
                <c:formatCode>0%</c:formatCode>
                <c:ptCount val="22"/>
                <c:pt idx="0">
                  <c:v>0.15909090909090909</c:v>
                </c:pt>
                <c:pt idx="1">
                  <c:v>0.15909090909090909</c:v>
                </c:pt>
                <c:pt idx="2">
                  <c:v>0.15909090909090909</c:v>
                </c:pt>
                <c:pt idx="3">
                  <c:v>0.15909090909090909</c:v>
                </c:pt>
                <c:pt idx="4">
                  <c:v>0.15909090909090909</c:v>
                </c:pt>
                <c:pt idx="5">
                  <c:v>0.15909090909090909</c:v>
                </c:pt>
                <c:pt idx="6">
                  <c:v>0.15909090909090909</c:v>
                </c:pt>
                <c:pt idx="7">
                  <c:v>0.15909090909090909</c:v>
                </c:pt>
                <c:pt idx="8">
                  <c:v>0.15909090909090909</c:v>
                </c:pt>
                <c:pt idx="9">
                  <c:v>0.15909090909090909</c:v>
                </c:pt>
                <c:pt idx="10">
                  <c:v>0.15909090909090909</c:v>
                </c:pt>
                <c:pt idx="11">
                  <c:v>0.15909090909090909</c:v>
                </c:pt>
                <c:pt idx="12">
                  <c:v>0.15909090909090909</c:v>
                </c:pt>
                <c:pt idx="13">
                  <c:v>0.15909090909090909</c:v>
                </c:pt>
                <c:pt idx="14">
                  <c:v>0.15909090909090909</c:v>
                </c:pt>
                <c:pt idx="15">
                  <c:v>0.15909090909090909</c:v>
                </c:pt>
                <c:pt idx="16">
                  <c:v>0.15909090909090909</c:v>
                </c:pt>
                <c:pt idx="17">
                  <c:v>0.15909090909090909</c:v>
                </c:pt>
                <c:pt idx="18">
                  <c:v>0.15909090909090909</c:v>
                </c:pt>
                <c:pt idx="19">
                  <c:v>0.15909090909090909</c:v>
                </c:pt>
                <c:pt idx="20">
                  <c:v>0.15909090909090909</c:v>
                </c:pt>
                <c:pt idx="21">
                  <c:v>0.15909090909090909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79-4574-9C65-B4543BA3C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4FC-4B1C-A884-2FAE9AF1A8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FC-4B1C-A884-2FAE9AF1A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4FC-4B1C-A884-2FAE9AF1A8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FC-4B1C-A884-2FAE9AF1A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'04'!$L$6:$L$27</c:f>
              <c:numCache>
                <c:formatCode>_(* #,##0_);_(* \(#,##0\);_(* "-"_);_(@_)</c:formatCode>
                <c:ptCount val="22"/>
                <c:pt idx="1">
                  <c:v>5789</c:v>
                </c:pt>
                <c:pt idx="3">
                  <c:v>5180</c:v>
                </c:pt>
                <c:pt idx="4">
                  <c:v>5217</c:v>
                </c:pt>
                <c:pt idx="5">
                  <c:v>9666</c:v>
                </c:pt>
                <c:pt idx="6">
                  <c:v>3264</c:v>
                </c:pt>
                <c:pt idx="7">
                  <c:v>6118</c:v>
                </c:pt>
                <c:pt idx="10">
                  <c:v>5720</c:v>
                </c:pt>
                <c:pt idx="11">
                  <c:v>3627</c:v>
                </c:pt>
                <c:pt idx="12">
                  <c:v>450</c:v>
                </c:pt>
                <c:pt idx="13">
                  <c:v>5251</c:v>
                </c:pt>
                <c:pt idx="14">
                  <c:v>8242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B6-4C21-99E1-1B1DCBBA54A9}"/>
            </c:ext>
          </c:extLst>
        </c:ser>
        <c:ser>
          <c:idx val="1"/>
          <c:order val="1"/>
          <c:tx>
            <c:v>계획</c:v>
          </c:tx>
          <c:cat>
            <c:strRef>
              <c:f>'04'!$D$6:$D$27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6110</c:v>
                </c:pt>
                <c:pt idx="2">
                  <c:v>234</c:v>
                </c:pt>
                <c:pt idx="3">
                  <c:v>5180</c:v>
                </c:pt>
                <c:pt idx="4">
                  <c:v>5217</c:v>
                </c:pt>
                <c:pt idx="5">
                  <c:v>9666</c:v>
                </c:pt>
                <c:pt idx="6">
                  <c:v>3264</c:v>
                </c:pt>
                <c:pt idx="7">
                  <c:v>6118</c:v>
                </c:pt>
                <c:pt idx="8">
                  <c:v>712</c:v>
                </c:pt>
                <c:pt idx="9">
                  <c:v>5209</c:v>
                </c:pt>
                <c:pt idx="10">
                  <c:v>5720</c:v>
                </c:pt>
                <c:pt idx="11">
                  <c:v>3627</c:v>
                </c:pt>
                <c:pt idx="12">
                  <c:v>450</c:v>
                </c:pt>
                <c:pt idx="13">
                  <c:v>5251</c:v>
                </c:pt>
                <c:pt idx="14">
                  <c:v>8242</c:v>
                </c:pt>
                <c:pt idx="15">
                  <c:v>30464</c:v>
                </c:pt>
                <c:pt idx="16">
                  <c:v>22300</c:v>
                </c:pt>
                <c:pt idx="17">
                  <c:v>0</c:v>
                </c:pt>
                <c:pt idx="18">
                  <c:v>22300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6-4C21-99E1-1B1DCBBA5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'04'!$AD$6:$AD$27</c:f>
              <c:strCache>
                <c:ptCount val="22"/>
                <c:pt idx="0">
                  <c:v>0%</c:v>
                </c:pt>
                <c:pt idx="1">
                  <c:v>95%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75%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54%</c:v>
                </c:pt>
                <c:pt idx="11">
                  <c:v>83%</c:v>
                </c:pt>
                <c:pt idx="12">
                  <c:v>17%</c:v>
                </c:pt>
                <c:pt idx="13">
                  <c:v>100%</c:v>
                </c:pt>
                <c:pt idx="14">
                  <c:v>83%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'04'!$AD$6:$AD$27</c:f>
              <c:numCache>
                <c:formatCode>0%</c:formatCode>
                <c:ptCount val="22"/>
                <c:pt idx="0">
                  <c:v>0</c:v>
                </c:pt>
                <c:pt idx="1">
                  <c:v>0.94746317512274958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0.54166666666666663</c:v>
                </c:pt>
                <c:pt idx="11">
                  <c:v>0.83333333333333337</c:v>
                </c:pt>
                <c:pt idx="12">
                  <c:v>0.16666666666666666</c:v>
                </c:pt>
                <c:pt idx="13">
                  <c:v>1</c:v>
                </c:pt>
                <c:pt idx="14">
                  <c:v>0.83333333333333337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C-4FD4-951B-D619FC608E1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6C-4FD4-951B-D619FC608E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'04'!$AE$6:$AE$27</c:f>
              <c:numCache>
                <c:formatCode>0%</c:formatCode>
                <c:ptCount val="22"/>
                <c:pt idx="0">
                  <c:v>0.41238468977830683</c:v>
                </c:pt>
                <c:pt idx="1">
                  <c:v>0.41238468977830683</c:v>
                </c:pt>
                <c:pt idx="2">
                  <c:v>0.41238468977830683</c:v>
                </c:pt>
                <c:pt idx="3">
                  <c:v>0.41238468977830683</c:v>
                </c:pt>
                <c:pt idx="4">
                  <c:v>0.41238468977830683</c:v>
                </c:pt>
                <c:pt idx="5">
                  <c:v>0.41238468977830683</c:v>
                </c:pt>
                <c:pt idx="6">
                  <c:v>0.41238468977830683</c:v>
                </c:pt>
                <c:pt idx="7">
                  <c:v>0.41238468977830683</c:v>
                </c:pt>
                <c:pt idx="8">
                  <c:v>0.41238468977830683</c:v>
                </c:pt>
                <c:pt idx="9">
                  <c:v>0.41238468977830683</c:v>
                </c:pt>
                <c:pt idx="10">
                  <c:v>0.41238468977830683</c:v>
                </c:pt>
                <c:pt idx="11">
                  <c:v>0.41238468977830683</c:v>
                </c:pt>
                <c:pt idx="12">
                  <c:v>0.41238468977830683</c:v>
                </c:pt>
                <c:pt idx="13">
                  <c:v>0.41238468977830683</c:v>
                </c:pt>
                <c:pt idx="14">
                  <c:v>0.41238468977830683</c:v>
                </c:pt>
                <c:pt idx="15">
                  <c:v>0.41238468977830683</c:v>
                </c:pt>
                <c:pt idx="16">
                  <c:v>0.41238468977830683</c:v>
                </c:pt>
                <c:pt idx="17">
                  <c:v>0.41238468977830683</c:v>
                </c:pt>
                <c:pt idx="18">
                  <c:v>0.41238468977830683</c:v>
                </c:pt>
                <c:pt idx="19">
                  <c:v>0.41238468977830683</c:v>
                </c:pt>
                <c:pt idx="20">
                  <c:v>0.41238468977830683</c:v>
                </c:pt>
                <c:pt idx="21">
                  <c:v>0.41238468977830683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6C-4FD4-951B-D619FC608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'04'!$L$6:$L$27</c:f>
              <c:numCache>
                <c:formatCode>_(* #,##0_);_(* \(#,##0\);_(* "-"_);_(@_)</c:formatCode>
                <c:ptCount val="22"/>
                <c:pt idx="1">
                  <c:v>5789</c:v>
                </c:pt>
                <c:pt idx="3">
                  <c:v>5180</c:v>
                </c:pt>
                <c:pt idx="4">
                  <c:v>5217</c:v>
                </c:pt>
                <c:pt idx="5">
                  <c:v>9666</c:v>
                </c:pt>
                <c:pt idx="6">
                  <c:v>3264</c:v>
                </c:pt>
                <c:pt idx="7">
                  <c:v>6118</c:v>
                </c:pt>
                <c:pt idx="10">
                  <c:v>5720</c:v>
                </c:pt>
                <c:pt idx="11">
                  <c:v>3627</c:v>
                </c:pt>
                <c:pt idx="12">
                  <c:v>450</c:v>
                </c:pt>
                <c:pt idx="13">
                  <c:v>5251</c:v>
                </c:pt>
                <c:pt idx="14">
                  <c:v>8242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3-42FF-9E98-43396850357E}"/>
            </c:ext>
          </c:extLst>
        </c:ser>
        <c:ser>
          <c:idx val="1"/>
          <c:order val="1"/>
          <c:tx>
            <c:v>계획</c:v>
          </c:tx>
          <c:cat>
            <c:strRef>
              <c:f>'04'!$D$6:$D$27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6110</c:v>
                </c:pt>
                <c:pt idx="2">
                  <c:v>234</c:v>
                </c:pt>
                <c:pt idx="3">
                  <c:v>5180</c:v>
                </c:pt>
                <c:pt idx="4">
                  <c:v>5217</c:v>
                </c:pt>
                <c:pt idx="5">
                  <c:v>9666</c:v>
                </c:pt>
                <c:pt idx="6">
                  <c:v>3264</c:v>
                </c:pt>
                <c:pt idx="7">
                  <c:v>6118</c:v>
                </c:pt>
                <c:pt idx="8">
                  <c:v>712</c:v>
                </c:pt>
                <c:pt idx="9">
                  <c:v>5209</c:v>
                </c:pt>
                <c:pt idx="10">
                  <c:v>5720</c:v>
                </c:pt>
                <c:pt idx="11">
                  <c:v>3627</c:v>
                </c:pt>
                <c:pt idx="12">
                  <c:v>450</c:v>
                </c:pt>
                <c:pt idx="13">
                  <c:v>5251</c:v>
                </c:pt>
                <c:pt idx="14">
                  <c:v>8242</c:v>
                </c:pt>
                <c:pt idx="15">
                  <c:v>30464</c:v>
                </c:pt>
                <c:pt idx="16">
                  <c:v>22300</c:v>
                </c:pt>
                <c:pt idx="17">
                  <c:v>0</c:v>
                </c:pt>
                <c:pt idx="18">
                  <c:v>22300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B3-42FF-9E98-433968503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'04'!$AD$6:$AD$27</c:f>
              <c:strCache>
                <c:ptCount val="22"/>
                <c:pt idx="0">
                  <c:v>0%</c:v>
                </c:pt>
                <c:pt idx="1">
                  <c:v>95%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75%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54%</c:v>
                </c:pt>
                <c:pt idx="11">
                  <c:v>83%</c:v>
                </c:pt>
                <c:pt idx="12">
                  <c:v>17%</c:v>
                </c:pt>
                <c:pt idx="13">
                  <c:v>100%</c:v>
                </c:pt>
                <c:pt idx="14">
                  <c:v>83%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'04'!$AD$6:$AD$27</c:f>
              <c:numCache>
                <c:formatCode>0%</c:formatCode>
                <c:ptCount val="22"/>
                <c:pt idx="0">
                  <c:v>0</c:v>
                </c:pt>
                <c:pt idx="1">
                  <c:v>0.94746317512274958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0.54166666666666663</c:v>
                </c:pt>
                <c:pt idx="11">
                  <c:v>0.83333333333333337</c:v>
                </c:pt>
                <c:pt idx="12">
                  <c:v>0.16666666666666666</c:v>
                </c:pt>
                <c:pt idx="13">
                  <c:v>1</c:v>
                </c:pt>
                <c:pt idx="14">
                  <c:v>0.83333333333333337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6A-475A-B899-565CE443123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6A-475A-B899-565CE443123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STOPPER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'04'!$AE$6:$AE$27</c:f>
              <c:numCache>
                <c:formatCode>0%</c:formatCode>
                <c:ptCount val="22"/>
                <c:pt idx="0">
                  <c:v>0.41238468977830683</c:v>
                </c:pt>
                <c:pt idx="1">
                  <c:v>0.41238468977830683</c:v>
                </c:pt>
                <c:pt idx="2">
                  <c:v>0.41238468977830683</c:v>
                </c:pt>
                <c:pt idx="3">
                  <c:v>0.41238468977830683</c:v>
                </c:pt>
                <c:pt idx="4">
                  <c:v>0.41238468977830683</c:v>
                </c:pt>
                <c:pt idx="5">
                  <c:v>0.41238468977830683</c:v>
                </c:pt>
                <c:pt idx="6">
                  <c:v>0.41238468977830683</c:v>
                </c:pt>
                <c:pt idx="7">
                  <c:v>0.41238468977830683</c:v>
                </c:pt>
                <c:pt idx="8">
                  <c:v>0.41238468977830683</c:v>
                </c:pt>
                <c:pt idx="9">
                  <c:v>0.41238468977830683</c:v>
                </c:pt>
                <c:pt idx="10">
                  <c:v>0.41238468977830683</c:v>
                </c:pt>
                <c:pt idx="11">
                  <c:v>0.41238468977830683</c:v>
                </c:pt>
                <c:pt idx="12">
                  <c:v>0.41238468977830683</c:v>
                </c:pt>
                <c:pt idx="13">
                  <c:v>0.41238468977830683</c:v>
                </c:pt>
                <c:pt idx="14">
                  <c:v>0.41238468977830683</c:v>
                </c:pt>
                <c:pt idx="15">
                  <c:v>0.41238468977830683</c:v>
                </c:pt>
                <c:pt idx="16">
                  <c:v>0.41238468977830683</c:v>
                </c:pt>
                <c:pt idx="17">
                  <c:v>0.41238468977830683</c:v>
                </c:pt>
                <c:pt idx="18">
                  <c:v>0.41238468977830683</c:v>
                </c:pt>
                <c:pt idx="19">
                  <c:v>0.41238468977830683</c:v>
                </c:pt>
                <c:pt idx="20">
                  <c:v>0.41238468977830683</c:v>
                </c:pt>
                <c:pt idx="21">
                  <c:v>0.41238468977830683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6A-475A-B899-565CE4431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CB1-4E19-B066-8E39301A4C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B1-4E19-B066-8E39301A4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CB1-4E19-B066-8E39301A4C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B1-4E19-B066-8E39301A4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LEAD GUIDER</c:v>
                </c:pt>
                <c:pt idx="3">
                  <c:v>STOPPER</c:v>
                </c:pt>
                <c:pt idx="4">
                  <c:v>COVER</c:v>
                </c:pt>
                <c:pt idx="5">
                  <c:v>PUSHER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'05'!$L$6:$L$27</c:f>
              <c:numCache>
                <c:formatCode>_(* #,##0_);_(* \(#,##0\);_(* "-"_);_(@_)</c:formatCode>
                <c:ptCount val="22"/>
                <c:pt idx="1">
                  <c:v>6131</c:v>
                </c:pt>
                <c:pt idx="2">
                  <c:v>3161</c:v>
                </c:pt>
                <c:pt idx="3">
                  <c:v>5224</c:v>
                </c:pt>
                <c:pt idx="4">
                  <c:v>2430</c:v>
                </c:pt>
                <c:pt idx="5">
                  <c:v>4545</c:v>
                </c:pt>
                <c:pt idx="6">
                  <c:v>4993</c:v>
                </c:pt>
                <c:pt idx="7">
                  <c:v>6378</c:v>
                </c:pt>
                <c:pt idx="10">
                  <c:v>10986</c:v>
                </c:pt>
                <c:pt idx="12">
                  <c:v>1534</c:v>
                </c:pt>
                <c:pt idx="13">
                  <c:v>5627</c:v>
                </c:pt>
                <c:pt idx="14">
                  <c:v>2638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A6-4354-86AE-4389BE6B6D21}"/>
            </c:ext>
          </c:extLst>
        </c:ser>
        <c:ser>
          <c:idx val="1"/>
          <c:order val="1"/>
          <c:tx>
            <c:v>계획</c:v>
          </c:tx>
          <c:cat>
            <c:strRef>
              <c:f>'05'!$D$6:$D$27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LEAD GUIDER</c:v>
                </c:pt>
                <c:pt idx="3">
                  <c:v>STOPPER</c:v>
                </c:pt>
                <c:pt idx="4">
                  <c:v>COVER</c:v>
                </c:pt>
                <c:pt idx="5">
                  <c:v>PUSHER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6131</c:v>
                </c:pt>
                <c:pt idx="2">
                  <c:v>3161</c:v>
                </c:pt>
                <c:pt idx="3">
                  <c:v>5224</c:v>
                </c:pt>
                <c:pt idx="4">
                  <c:v>2430</c:v>
                </c:pt>
                <c:pt idx="5">
                  <c:v>4545</c:v>
                </c:pt>
                <c:pt idx="6">
                  <c:v>4993</c:v>
                </c:pt>
                <c:pt idx="7">
                  <c:v>6378</c:v>
                </c:pt>
                <c:pt idx="8">
                  <c:v>712</c:v>
                </c:pt>
                <c:pt idx="9">
                  <c:v>5209</c:v>
                </c:pt>
                <c:pt idx="10">
                  <c:v>10986</c:v>
                </c:pt>
                <c:pt idx="11">
                  <c:v>3627</c:v>
                </c:pt>
                <c:pt idx="12">
                  <c:v>1534</c:v>
                </c:pt>
                <c:pt idx="13">
                  <c:v>5627</c:v>
                </c:pt>
                <c:pt idx="14">
                  <c:v>2638</c:v>
                </c:pt>
                <c:pt idx="15">
                  <c:v>30464</c:v>
                </c:pt>
                <c:pt idx="16">
                  <c:v>22300</c:v>
                </c:pt>
                <c:pt idx="17">
                  <c:v>0</c:v>
                </c:pt>
                <c:pt idx="18">
                  <c:v>22300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A6-4354-86AE-4389BE6B6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83%</c:v>
                </c:pt>
                <c:pt idx="3">
                  <c:v>100%</c:v>
                </c:pt>
                <c:pt idx="4">
                  <c:v>46%</c:v>
                </c:pt>
                <c:pt idx="5">
                  <c:v>92%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25%</c:v>
                </c:pt>
                <c:pt idx="13">
                  <c:v>100%</c:v>
                </c:pt>
                <c:pt idx="14">
                  <c:v>25%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LEAD GUIDER</c:v>
                </c:pt>
                <c:pt idx="3">
                  <c:v>STOPPER</c:v>
                </c:pt>
                <c:pt idx="4">
                  <c:v>COVER</c:v>
                </c:pt>
                <c:pt idx="5">
                  <c:v>PUSHER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0.83333333333333337</c:v>
                </c:pt>
                <c:pt idx="3">
                  <c:v>1</c:v>
                </c:pt>
                <c:pt idx="4">
                  <c:v>0.45833333333333331</c:v>
                </c:pt>
                <c:pt idx="5">
                  <c:v>0.91666666666666663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0.25</c:v>
                </c:pt>
                <c:pt idx="13">
                  <c:v>1</c:v>
                </c:pt>
                <c:pt idx="14">
                  <c:v>0.25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A-48BA-A4CD-007ACFBF27D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1A-48BA-A4CD-007ACFBF27D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LEAD GUIDER</c:v>
                </c:pt>
                <c:pt idx="3">
                  <c:v>STOPPER</c:v>
                </c:pt>
                <c:pt idx="4">
                  <c:v>COVER</c:v>
                </c:pt>
                <c:pt idx="5">
                  <c:v>PUSHER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'05'!$AE$6:$AE$27</c:f>
              <c:numCache>
                <c:formatCode>0%</c:formatCode>
                <c:ptCount val="22"/>
                <c:pt idx="0">
                  <c:v>0.39583333333333337</c:v>
                </c:pt>
                <c:pt idx="1">
                  <c:v>0.39583333333333337</c:v>
                </c:pt>
                <c:pt idx="2">
                  <c:v>0.39583333333333337</c:v>
                </c:pt>
                <c:pt idx="3">
                  <c:v>0.39583333333333337</c:v>
                </c:pt>
                <c:pt idx="4">
                  <c:v>0.39583333333333337</c:v>
                </c:pt>
                <c:pt idx="5">
                  <c:v>0.39583333333333337</c:v>
                </c:pt>
                <c:pt idx="6">
                  <c:v>0.39583333333333337</c:v>
                </c:pt>
                <c:pt idx="7">
                  <c:v>0.39583333333333337</c:v>
                </c:pt>
                <c:pt idx="8">
                  <c:v>0.39583333333333337</c:v>
                </c:pt>
                <c:pt idx="9">
                  <c:v>0.39583333333333337</c:v>
                </c:pt>
                <c:pt idx="10">
                  <c:v>0.39583333333333337</c:v>
                </c:pt>
                <c:pt idx="11">
                  <c:v>0.39583333333333337</c:v>
                </c:pt>
                <c:pt idx="12">
                  <c:v>0.39583333333333337</c:v>
                </c:pt>
                <c:pt idx="13">
                  <c:v>0.39583333333333337</c:v>
                </c:pt>
                <c:pt idx="14">
                  <c:v>0.39583333333333337</c:v>
                </c:pt>
                <c:pt idx="15">
                  <c:v>0.39583333333333337</c:v>
                </c:pt>
                <c:pt idx="16">
                  <c:v>0.39583333333333337</c:v>
                </c:pt>
                <c:pt idx="17">
                  <c:v>0.39583333333333337</c:v>
                </c:pt>
                <c:pt idx="18">
                  <c:v>0.39583333333333337</c:v>
                </c:pt>
                <c:pt idx="19">
                  <c:v>0.39583333333333337</c:v>
                </c:pt>
                <c:pt idx="20">
                  <c:v>0.39583333333333337</c:v>
                </c:pt>
                <c:pt idx="21">
                  <c:v>0.39583333333333337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1A-48BA-A4CD-007ACFBF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LEAD GUIDER</c:v>
                </c:pt>
                <c:pt idx="3">
                  <c:v>STOPPER</c:v>
                </c:pt>
                <c:pt idx="4">
                  <c:v>COVER</c:v>
                </c:pt>
                <c:pt idx="5">
                  <c:v>PUSHER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'05'!$L$6:$L$27</c:f>
              <c:numCache>
                <c:formatCode>_(* #,##0_);_(* \(#,##0\);_(* "-"_);_(@_)</c:formatCode>
                <c:ptCount val="22"/>
                <c:pt idx="1">
                  <c:v>6131</c:v>
                </c:pt>
                <c:pt idx="2">
                  <c:v>3161</c:v>
                </c:pt>
                <c:pt idx="3">
                  <c:v>5224</c:v>
                </c:pt>
                <c:pt idx="4">
                  <c:v>2430</c:v>
                </c:pt>
                <c:pt idx="5">
                  <c:v>4545</c:v>
                </c:pt>
                <c:pt idx="6">
                  <c:v>4993</c:v>
                </c:pt>
                <c:pt idx="7">
                  <c:v>6378</c:v>
                </c:pt>
                <c:pt idx="10">
                  <c:v>10986</c:v>
                </c:pt>
                <c:pt idx="12">
                  <c:v>1534</c:v>
                </c:pt>
                <c:pt idx="13">
                  <c:v>5627</c:v>
                </c:pt>
                <c:pt idx="14">
                  <c:v>2638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DA-4F08-A238-E21420623C48}"/>
            </c:ext>
          </c:extLst>
        </c:ser>
        <c:ser>
          <c:idx val="1"/>
          <c:order val="1"/>
          <c:tx>
            <c:v>계획</c:v>
          </c:tx>
          <c:cat>
            <c:strRef>
              <c:f>'05'!$D$6:$D$27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LEAD GUIDER</c:v>
                </c:pt>
                <c:pt idx="3">
                  <c:v>STOPPER</c:v>
                </c:pt>
                <c:pt idx="4">
                  <c:v>COVER</c:v>
                </c:pt>
                <c:pt idx="5">
                  <c:v>PUSHER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6131</c:v>
                </c:pt>
                <c:pt idx="2">
                  <c:v>3161</c:v>
                </c:pt>
                <c:pt idx="3">
                  <c:v>5224</c:v>
                </c:pt>
                <c:pt idx="4">
                  <c:v>2430</c:v>
                </c:pt>
                <c:pt idx="5">
                  <c:v>4545</c:v>
                </c:pt>
                <c:pt idx="6">
                  <c:v>4993</c:v>
                </c:pt>
                <c:pt idx="7">
                  <c:v>6378</c:v>
                </c:pt>
                <c:pt idx="8">
                  <c:v>712</c:v>
                </c:pt>
                <c:pt idx="9">
                  <c:v>5209</c:v>
                </c:pt>
                <c:pt idx="10">
                  <c:v>10986</c:v>
                </c:pt>
                <c:pt idx="11">
                  <c:v>3627</c:v>
                </c:pt>
                <c:pt idx="12">
                  <c:v>1534</c:v>
                </c:pt>
                <c:pt idx="13">
                  <c:v>5627</c:v>
                </c:pt>
                <c:pt idx="14">
                  <c:v>2638</c:v>
                </c:pt>
                <c:pt idx="15">
                  <c:v>30464</c:v>
                </c:pt>
                <c:pt idx="16">
                  <c:v>22300</c:v>
                </c:pt>
                <c:pt idx="17">
                  <c:v>0</c:v>
                </c:pt>
                <c:pt idx="18">
                  <c:v>22300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DA-4F08-A238-E2142062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83%</c:v>
                </c:pt>
                <c:pt idx="3">
                  <c:v>100%</c:v>
                </c:pt>
                <c:pt idx="4">
                  <c:v>46%</c:v>
                </c:pt>
                <c:pt idx="5">
                  <c:v>92%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25%</c:v>
                </c:pt>
                <c:pt idx="13">
                  <c:v>100%</c:v>
                </c:pt>
                <c:pt idx="14">
                  <c:v>25%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LEAD GUIDER</c:v>
                </c:pt>
                <c:pt idx="3">
                  <c:v>STOPPER</c:v>
                </c:pt>
                <c:pt idx="4">
                  <c:v>COVER</c:v>
                </c:pt>
                <c:pt idx="5">
                  <c:v>PUSHER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0.83333333333333337</c:v>
                </c:pt>
                <c:pt idx="3">
                  <c:v>1</c:v>
                </c:pt>
                <c:pt idx="4">
                  <c:v>0.45833333333333331</c:v>
                </c:pt>
                <c:pt idx="5">
                  <c:v>0.91666666666666663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0.25</c:v>
                </c:pt>
                <c:pt idx="13">
                  <c:v>1</c:v>
                </c:pt>
                <c:pt idx="14">
                  <c:v>0.25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1-4A04-AC35-6D347F2C2A8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F1-4A04-AC35-6D347F2C2A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LEAD GUIDER</c:v>
                </c:pt>
                <c:pt idx="3">
                  <c:v>STOPPER</c:v>
                </c:pt>
                <c:pt idx="4">
                  <c:v>COVER</c:v>
                </c:pt>
                <c:pt idx="5">
                  <c:v>PUSHER</c:v>
                </c:pt>
                <c:pt idx="6">
                  <c:v>BASE</c:v>
                </c:pt>
                <c:pt idx="7">
                  <c:v>LEAD GUIDER</c:v>
                </c:pt>
                <c:pt idx="9">
                  <c:v>ADAPTER</c:v>
                </c:pt>
                <c:pt idx="10">
                  <c:v>ACTUATOR</c:v>
                </c:pt>
                <c:pt idx="11">
                  <c:v>FLOATING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'05'!$AE$6:$AE$27</c:f>
              <c:numCache>
                <c:formatCode>0%</c:formatCode>
                <c:ptCount val="22"/>
                <c:pt idx="0">
                  <c:v>0.39583333333333337</c:v>
                </c:pt>
                <c:pt idx="1">
                  <c:v>0.39583333333333337</c:v>
                </c:pt>
                <c:pt idx="2">
                  <c:v>0.39583333333333337</c:v>
                </c:pt>
                <c:pt idx="3">
                  <c:v>0.39583333333333337</c:v>
                </c:pt>
                <c:pt idx="4">
                  <c:v>0.39583333333333337</c:v>
                </c:pt>
                <c:pt idx="5">
                  <c:v>0.39583333333333337</c:v>
                </c:pt>
                <c:pt idx="6">
                  <c:v>0.39583333333333337</c:v>
                </c:pt>
                <c:pt idx="7">
                  <c:v>0.39583333333333337</c:v>
                </c:pt>
                <c:pt idx="8">
                  <c:v>0.39583333333333337</c:v>
                </c:pt>
                <c:pt idx="9">
                  <c:v>0.39583333333333337</c:v>
                </c:pt>
                <c:pt idx="10">
                  <c:v>0.39583333333333337</c:v>
                </c:pt>
                <c:pt idx="11">
                  <c:v>0.39583333333333337</c:v>
                </c:pt>
                <c:pt idx="12">
                  <c:v>0.39583333333333337</c:v>
                </c:pt>
                <c:pt idx="13">
                  <c:v>0.39583333333333337</c:v>
                </c:pt>
                <c:pt idx="14">
                  <c:v>0.39583333333333337</c:v>
                </c:pt>
                <c:pt idx="15">
                  <c:v>0.39583333333333337</c:v>
                </c:pt>
                <c:pt idx="16">
                  <c:v>0.39583333333333337</c:v>
                </c:pt>
                <c:pt idx="17">
                  <c:v>0.39583333333333337</c:v>
                </c:pt>
                <c:pt idx="18">
                  <c:v>0.39583333333333337</c:v>
                </c:pt>
                <c:pt idx="19">
                  <c:v>0.39583333333333337</c:v>
                </c:pt>
                <c:pt idx="20">
                  <c:v>0.39583333333333337</c:v>
                </c:pt>
                <c:pt idx="21">
                  <c:v>0.39583333333333337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F1-4A04-AC35-6D347F2C2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EA9-4FE8-B220-BE9C086E32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A9-4FE8-B220-BE9C086E3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EA9-4FE8-B220-BE9C086E327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A9-4FE8-B220-BE9C086E3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BODY/LID</c:v>
                </c:pt>
                <c:pt idx="6">
                  <c:v>COVER</c:v>
                </c:pt>
                <c:pt idx="7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'06'!$L$6:$L$29</c:f>
              <c:numCache>
                <c:formatCode>_(* #,##0_);_(* \(#,##0\);_(* "-"_);_(@_)</c:formatCode>
                <c:ptCount val="24"/>
                <c:pt idx="1">
                  <c:v>6023</c:v>
                </c:pt>
                <c:pt idx="2">
                  <c:v>2482</c:v>
                </c:pt>
                <c:pt idx="3">
                  <c:v>5754</c:v>
                </c:pt>
                <c:pt idx="4">
                  <c:v>1897</c:v>
                </c:pt>
                <c:pt idx="5">
                  <c:v>1822</c:v>
                </c:pt>
                <c:pt idx="6">
                  <c:v>5648</c:v>
                </c:pt>
                <c:pt idx="7">
                  <c:v>5028</c:v>
                </c:pt>
                <c:pt idx="8">
                  <c:v>3619</c:v>
                </c:pt>
                <c:pt idx="9">
                  <c:v>646</c:v>
                </c:pt>
                <c:pt idx="10">
                  <c:v>686</c:v>
                </c:pt>
                <c:pt idx="12">
                  <c:v>10898</c:v>
                </c:pt>
                <c:pt idx="14">
                  <c:v>2337</c:v>
                </c:pt>
                <c:pt idx="15">
                  <c:v>5544</c:v>
                </c:pt>
                <c:pt idx="16">
                  <c:v>3526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7-47F0-A673-936B12BD048C}"/>
            </c:ext>
          </c:extLst>
        </c:ser>
        <c:ser>
          <c:idx val="1"/>
          <c:order val="1"/>
          <c:tx>
            <c:v>계획</c:v>
          </c:tx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BODY/LID</c:v>
                </c:pt>
                <c:pt idx="6">
                  <c:v>COVER</c:v>
                </c:pt>
                <c:pt idx="7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'06'!$J$6:$J$29</c:f>
              <c:numCache>
                <c:formatCode>_(* #,##0_);_(* \(#,##0\);_(* "-"_);_(@_)</c:formatCode>
                <c:ptCount val="24"/>
                <c:pt idx="0">
                  <c:v>10312</c:v>
                </c:pt>
                <c:pt idx="1">
                  <c:v>6023</c:v>
                </c:pt>
                <c:pt idx="2">
                  <c:v>2482</c:v>
                </c:pt>
                <c:pt idx="3">
                  <c:v>5754</c:v>
                </c:pt>
                <c:pt idx="4">
                  <c:v>1897</c:v>
                </c:pt>
                <c:pt idx="5">
                  <c:v>1822</c:v>
                </c:pt>
                <c:pt idx="6">
                  <c:v>5648</c:v>
                </c:pt>
                <c:pt idx="7">
                  <c:v>5028</c:v>
                </c:pt>
                <c:pt idx="8">
                  <c:v>3619</c:v>
                </c:pt>
                <c:pt idx="9">
                  <c:v>646</c:v>
                </c:pt>
                <c:pt idx="10">
                  <c:v>686</c:v>
                </c:pt>
                <c:pt idx="11">
                  <c:v>5209</c:v>
                </c:pt>
                <c:pt idx="12">
                  <c:v>10898</c:v>
                </c:pt>
                <c:pt idx="13">
                  <c:v>3627</c:v>
                </c:pt>
                <c:pt idx="14">
                  <c:v>2337</c:v>
                </c:pt>
                <c:pt idx="15">
                  <c:v>5544</c:v>
                </c:pt>
                <c:pt idx="16">
                  <c:v>3526</c:v>
                </c:pt>
                <c:pt idx="17">
                  <c:v>30464</c:v>
                </c:pt>
                <c:pt idx="18">
                  <c:v>22300</c:v>
                </c:pt>
                <c:pt idx="19">
                  <c:v>0</c:v>
                </c:pt>
                <c:pt idx="20">
                  <c:v>22300</c:v>
                </c:pt>
                <c:pt idx="21">
                  <c:v>26548</c:v>
                </c:pt>
                <c:pt idx="22">
                  <c:v>26944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7-47F0-A673-936B12BD0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'06'!$AD$6:$AD$29</c:f>
              <c:strCache>
                <c:ptCount val="24"/>
                <c:pt idx="0">
                  <c:v>0%</c:v>
                </c:pt>
                <c:pt idx="1">
                  <c:v>100%</c:v>
                </c:pt>
                <c:pt idx="2">
                  <c:v>54%</c:v>
                </c:pt>
                <c:pt idx="3">
                  <c:v>100%</c:v>
                </c:pt>
                <c:pt idx="4">
                  <c:v>42%</c:v>
                </c:pt>
                <c:pt idx="5">
                  <c:v>38%</c:v>
                </c:pt>
                <c:pt idx="6">
                  <c:v>54%</c:v>
                </c:pt>
                <c:pt idx="7">
                  <c:v>100%</c:v>
                </c:pt>
                <c:pt idx="8">
                  <c:v>79%</c:v>
                </c:pt>
                <c:pt idx="9">
                  <c:v>42%</c:v>
                </c:pt>
                <c:pt idx="10">
                  <c:v>42%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50%</c:v>
                </c:pt>
                <c:pt idx="15">
                  <c:v>100%</c:v>
                </c:pt>
                <c:pt idx="16">
                  <c:v>71%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BODY/LID</c:v>
                </c:pt>
                <c:pt idx="6">
                  <c:v>COVER</c:v>
                </c:pt>
                <c:pt idx="7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'06'!$AD$6:$AD$29</c:f>
              <c:numCache>
                <c:formatCode>0%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0.54166666666666663</c:v>
                </c:pt>
                <c:pt idx="3">
                  <c:v>1</c:v>
                </c:pt>
                <c:pt idx="4">
                  <c:v>0.41666666666666669</c:v>
                </c:pt>
                <c:pt idx="5">
                  <c:v>0.375</c:v>
                </c:pt>
                <c:pt idx="6">
                  <c:v>0.54166666666666663</c:v>
                </c:pt>
                <c:pt idx="7">
                  <c:v>1</c:v>
                </c:pt>
                <c:pt idx="8">
                  <c:v>0.79166666666666663</c:v>
                </c:pt>
                <c:pt idx="9">
                  <c:v>0.41666666666666669</c:v>
                </c:pt>
                <c:pt idx="10">
                  <c:v>0.41666666666666669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0.70833333333333337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DB-496D-9050-423E7702947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2DB-496D-9050-423E770294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BODY/LID</c:v>
                </c:pt>
                <c:pt idx="6">
                  <c:v>COVER</c:v>
                </c:pt>
                <c:pt idx="7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'06'!$AE$6:$AE$29</c:f>
              <c:numCache>
                <c:formatCode>0%</c:formatCode>
                <c:ptCount val="24"/>
                <c:pt idx="0">
                  <c:v>0.4045138888888889</c:v>
                </c:pt>
                <c:pt idx="1">
                  <c:v>0.4045138888888889</c:v>
                </c:pt>
                <c:pt idx="2">
                  <c:v>0.4045138888888889</c:v>
                </c:pt>
                <c:pt idx="3">
                  <c:v>0.4045138888888889</c:v>
                </c:pt>
                <c:pt idx="4">
                  <c:v>0.4045138888888889</c:v>
                </c:pt>
                <c:pt idx="5">
                  <c:v>0.4045138888888889</c:v>
                </c:pt>
                <c:pt idx="6">
                  <c:v>0.4045138888888889</c:v>
                </c:pt>
                <c:pt idx="7">
                  <c:v>0.4045138888888889</c:v>
                </c:pt>
                <c:pt idx="8">
                  <c:v>0.4045138888888889</c:v>
                </c:pt>
                <c:pt idx="9">
                  <c:v>0.4045138888888889</c:v>
                </c:pt>
                <c:pt idx="10">
                  <c:v>0.4045138888888889</c:v>
                </c:pt>
                <c:pt idx="11">
                  <c:v>0.4045138888888889</c:v>
                </c:pt>
                <c:pt idx="12">
                  <c:v>0.4045138888888889</c:v>
                </c:pt>
                <c:pt idx="13">
                  <c:v>0.4045138888888889</c:v>
                </c:pt>
                <c:pt idx="14">
                  <c:v>0.4045138888888889</c:v>
                </c:pt>
                <c:pt idx="15">
                  <c:v>0.4045138888888889</c:v>
                </c:pt>
                <c:pt idx="16">
                  <c:v>0.4045138888888889</c:v>
                </c:pt>
                <c:pt idx="17">
                  <c:v>0.4045138888888889</c:v>
                </c:pt>
                <c:pt idx="18">
                  <c:v>0.4045138888888889</c:v>
                </c:pt>
                <c:pt idx="19">
                  <c:v>0.4045138888888889</c:v>
                </c:pt>
                <c:pt idx="20">
                  <c:v>0.4045138888888889</c:v>
                </c:pt>
                <c:pt idx="21">
                  <c:v>0.4045138888888889</c:v>
                </c:pt>
                <c:pt idx="22">
                  <c:v>0.4045138888888889</c:v>
                </c:pt>
                <c:pt idx="23">
                  <c:v>0.4045138888888889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DB-496D-9050-423E77029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BODY/LID</c:v>
                </c:pt>
                <c:pt idx="6">
                  <c:v>COVER</c:v>
                </c:pt>
                <c:pt idx="7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'06'!$L$6:$L$29</c:f>
              <c:numCache>
                <c:formatCode>_(* #,##0_);_(* \(#,##0\);_(* "-"_);_(@_)</c:formatCode>
                <c:ptCount val="24"/>
                <c:pt idx="1">
                  <c:v>6023</c:v>
                </c:pt>
                <c:pt idx="2">
                  <c:v>2482</c:v>
                </c:pt>
                <c:pt idx="3">
                  <c:v>5754</c:v>
                </c:pt>
                <c:pt idx="4">
                  <c:v>1897</c:v>
                </c:pt>
                <c:pt idx="5">
                  <c:v>1822</c:v>
                </c:pt>
                <c:pt idx="6">
                  <c:v>5648</c:v>
                </c:pt>
                <c:pt idx="7">
                  <c:v>5028</c:v>
                </c:pt>
                <c:pt idx="8">
                  <c:v>3619</c:v>
                </c:pt>
                <c:pt idx="9">
                  <c:v>646</c:v>
                </c:pt>
                <c:pt idx="10">
                  <c:v>686</c:v>
                </c:pt>
                <c:pt idx="12">
                  <c:v>10898</c:v>
                </c:pt>
                <c:pt idx="14">
                  <c:v>2337</c:v>
                </c:pt>
                <c:pt idx="15">
                  <c:v>5544</c:v>
                </c:pt>
                <c:pt idx="16">
                  <c:v>3526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44-4BC8-9A5F-D0E163E3EA09}"/>
            </c:ext>
          </c:extLst>
        </c:ser>
        <c:ser>
          <c:idx val="1"/>
          <c:order val="1"/>
          <c:tx>
            <c:v>계획</c:v>
          </c:tx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BODY/LID</c:v>
                </c:pt>
                <c:pt idx="6">
                  <c:v>COVER</c:v>
                </c:pt>
                <c:pt idx="7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'06'!$J$6:$J$29</c:f>
              <c:numCache>
                <c:formatCode>_(* #,##0_);_(* \(#,##0\);_(* "-"_);_(@_)</c:formatCode>
                <c:ptCount val="24"/>
                <c:pt idx="0">
                  <c:v>10312</c:v>
                </c:pt>
                <c:pt idx="1">
                  <c:v>6023</c:v>
                </c:pt>
                <c:pt idx="2">
                  <c:v>2482</c:v>
                </c:pt>
                <c:pt idx="3">
                  <c:v>5754</c:v>
                </c:pt>
                <c:pt idx="4">
                  <c:v>1897</c:v>
                </c:pt>
                <c:pt idx="5">
                  <c:v>1822</c:v>
                </c:pt>
                <c:pt idx="6">
                  <c:v>5648</c:v>
                </c:pt>
                <c:pt idx="7">
                  <c:v>5028</c:v>
                </c:pt>
                <c:pt idx="8">
                  <c:v>3619</c:v>
                </c:pt>
                <c:pt idx="9">
                  <c:v>646</c:v>
                </c:pt>
                <c:pt idx="10">
                  <c:v>686</c:v>
                </c:pt>
                <c:pt idx="11">
                  <c:v>5209</c:v>
                </c:pt>
                <c:pt idx="12">
                  <c:v>10898</c:v>
                </c:pt>
                <c:pt idx="13">
                  <c:v>3627</c:v>
                </c:pt>
                <c:pt idx="14">
                  <c:v>2337</c:v>
                </c:pt>
                <c:pt idx="15">
                  <c:v>5544</c:v>
                </c:pt>
                <c:pt idx="16">
                  <c:v>3526</c:v>
                </c:pt>
                <c:pt idx="17">
                  <c:v>30464</c:v>
                </c:pt>
                <c:pt idx="18">
                  <c:v>22300</c:v>
                </c:pt>
                <c:pt idx="19">
                  <c:v>0</c:v>
                </c:pt>
                <c:pt idx="20">
                  <c:v>22300</c:v>
                </c:pt>
                <c:pt idx="21">
                  <c:v>26548</c:v>
                </c:pt>
                <c:pt idx="22">
                  <c:v>26944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44-4BC8-9A5F-D0E163E3E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'06'!$AD$6:$AD$29</c:f>
              <c:strCache>
                <c:ptCount val="24"/>
                <c:pt idx="0">
                  <c:v>0%</c:v>
                </c:pt>
                <c:pt idx="1">
                  <c:v>100%</c:v>
                </c:pt>
                <c:pt idx="2">
                  <c:v>54%</c:v>
                </c:pt>
                <c:pt idx="3">
                  <c:v>100%</c:v>
                </c:pt>
                <c:pt idx="4">
                  <c:v>42%</c:v>
                </c:pt>
                <c:pt idx="5">
                  <c:v>38%</c:v>
                </c:pt>
                <c:pt idx="6">
                  <c:v>54%</c:v>
                </c:pt>
                <c:pt idx="7">
                  <c:v>100%</c:v>
                </c:pt>
                <c:pt idx="8">
                  <c:v>79%</c:v>
                </c:pt>
                <c:pt idx="9">
                  <c:v>42%</c:v>
                </c:pt>
                <c:pt idx="10">
                  <c:v>42%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50%</c:v>
                </c:pt>
                <c:pt idx="15">
                  <c:v>100%</c:v>
                </c:pt>
                <c:pt idx="16">
                  <c:v>71%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BODY/LID</c:v>
                </c:pt>
                <c:pt idx="6">
                  <c:v>COVER</c:v>
                </c:pt>
                <c:pt idx="7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'06'!$AD$6:$AD$29</c:f>
              <c:numCache>
                <c:formatCode>0%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0.54166666666666663</c:v>
                </c:pt>
                <c:pt idx="3">
                  <c:v>1</c:v>
                </c:pt>
                <c:pt idx="4">
                  <c:v>0.41666666666666669</c:v>
                </c:pt>
                <c:pt idx="5">
                  <c:v>0.375</c:v>
                </c:pt>
                <c:pt idx="6">
                  <c:v>0.54166666666666663</c:v>
                </c:pt>
                <c:pt idx="7">
                  <c:v>1</c:v>
                </c:pt>
                <c:pt idx="8">
                  <c:v>0.79166666666666663</c:v>
                </c:pt>
                <c:pt idx="9">
                  <c:v>0.41666666666666669</c:v>
                </c:pt>
                <c:pt idx="10">
                  <c:v>0.41666666666666669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0.70833333333333337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3-4579-B32A-757DD1492A7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4A3-4579-B32A-757DD1492A7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BODY/LID</c:v>
                </c:pt>
                <c:pt idx="6">
                  <c:v>COVER</c:v>
                </c:pt>
                <c:pt idx="7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FLOATING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'06'!$AE$6:$AE$29</c:f>
              <c:numCache>
                <c:formatCode>0%</c:formatCode>
                <c:ptCount val="24"/>
                <c:pt idx="0">
                  <c:v>0.4045138888888889</c:v>
                </c:pt>
                <c:pt idx="1">
                  <c:v>0.4045138888888889</c:v>
                </c:pt>
                <c:pt idx="2">
                  <c:v>0.4045138888888889</c:v>
                </c:pt>
                <c:pt idx="3">
                  <c:v>0.4045138888888889</c:v>
                </c:pt>
                <c:pt idx="4">
                  <c:v>0.4045138888888889</c:v>
                </c:pt>
                <c:pt idx="5">
                  <c:v>0.4045138888888889</c:v>
                </c:pt>
                <c:pt idx="6">
                  <c:v>0.4045138888888889</c:v>
                </c:pt>
                <c:pt idx="7">
                  <c:v>0.4045138888888889</c:v>
                </c:pt>
                <c:pt idx="8">
                  <c:v>0.4045138888888889</c:v>
                </c:pt>
                <c:pt idx="9">
                  <c:v>0.4045138888888889</c:v>
                </c:pt>
                <c:pt idx="10">
                  <c:v>0.4045138888888889</c:v>
                </c:pt>
                <c:pt idx="11">
                  <c:v>0.4045138888888889</c:v>
                </c:pt>
                <c:pt idx="12">
                  <c:v>0.4045138888888889</c:v>
                </c:pt>
                <c:pt idx="13">
                  <c:v>0.4045138888888889</c:v>
                </c:pt>
                <c:pt idx="14">
                  <c:v>0.4045138888888889</c:v>
                </c:pt>
                <c:pt idx="15">
                  <c:v>0.4045138888888889</c:v>
                </c:pt>
                <c:pt idx="16">
                  <c:v>0.4045138888888889</c:v>
                </c:pt>
                <c:pt idx="17">
                  <c:v>0.4045138888888889</c:v>
                </c:pt>
                <c:pt idx="18">
                  <c:v>0.4045138888888889</c:v>
                </c:pt>
                <c:pt idx="19">
                  <c:v>0.4045138888888889</c:v>
                </c:pt>
                <c:pt idx="20">
                  <c:v>0.4045138888888889</c:v>
                </c:pt>
                <c:pt idx="21">
                  <c:v>0.4045138888888889</c:v>
                </c:pt>
                <c:pt idx="22">
                  <c:v>0.4045138888888889</c:v>
                </c:pt>
                <c:pt idx="23">
                  <c:v>0.4045138888888889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A3-4579-B32A-757DD1492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2E4-4E01-B12B-791FD3377E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E4-4E01-B12B-791FD3377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2E4-4E01-B12B-791FD3377E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E4-4E01-B12B-791FD3377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BOTTOM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'07'!$L$6:$L$27</c:f>
              <c:numCache>
                <c:formatCode>_(* #,##0_);_(* \(#,##0\);_(* "-"_);_(@_)</c:formatCode>
                <c:ptCount val="22"/>
                <c:pt idx="1">
                  <c:v>5772</c:v>
                </c:pt>
                <c:pt idx="2">
                  <c:v>2164</c:v>
                </c:pt>
                <c:pt idx="3">
                  <c:v>5666</c:v>
                </c:pt>
                <c:pt idx="4">
                  <c:v>5596</c:v>
                </c:pt>
                <c:pt idx="5">
                  <c:v>3351</c:v>
                </c:pt>
                <c:pt idx="6">
                  <c:v>1566</c:v>
                </c:pt>
                <c:pt idx="7">
                  <c:v>4592</c:v>
                </c:pt>
                <c:pt idx="8">
                  <c:v>1901</c:v>
                </c:pt>
                <c:pt idx="9">
                  <c:v>3245</c:v>
                </c:pt>
                <c:pt idx="10">
                  <c:v>10508</c:v>
                </c:pt>
                <c:pt idx="11">
                  <c:v>1225</c:v>
                </c:pt>
                <c:pt idx="12">
                  <c:v>1600</c:v>
                </c:pt>
                <c:pt idx="13">
                  <c:v>3270</c:v>
                </c:pt>
                <c:pt idx="14">
                  <c:v>5480</c:v>
                </c:pt>
                <c:pt idx="15">
                  <c:v>28566</c:v>
                </c:pt>
                <c:pt idx="18">
                  <c:v>22125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66-4BFA-8C15-24C41763042D}"/>
            </c:ext>
          </c:extLst>
        </c:ser>
        <c:ser>
          <c:idx val="1"/>
          <c:order val="1"/>
          <c:tx>
            <c:v>계획</c:v>
          </c:tx>
          <c:cat>
            <c:strRef>
              <c:f>'07'!$D$6:$D$27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BOTTOM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5772</c:v>
                </c:pt>
                <c:pt idx="2">
                  <c:v>2164</c:v>
                </c:pt>
                <c:pt idx="3">
                  <c:v>5666</c:v>
                </c:pt>
                <c:pt idx="4">
                  <c:v>5596</c:v>
                </c:pt>
                <c:pt idx="5">
                  <c:v>3351</c:v>
                </c:pt>
                <c:pt idx="6">
                  <c:v>1566</c:v>
                </c:pt>
                <c:pt idx="7">
                  <c:v>4592</c:v>
                </c:pt>
                <c:pt idx="8">
                  <c:v>1901</c:v>
                </c:pt>
                <c:pt idx="9">
                  <c:v>3245</c:v>
                </c:pt>
                <c:pt idx="10">
                  <c:v>10508</c:v>
                </c:pt>
                <c:pt idx="11">
                  <c:v>1225</c:v>
                </c:pt>
                <c:pt idx="12">
                  <c:v>1600</c:v>
                </c:pt>
                <c:pt idx="13">
                  <c:v>3270</c:v>
                </c:pt>
                <c:pt idx="14">
                  <c:v>5480</c:v>
                </c:pt>
                <c:pt idx="15">
                  <c:v>28566</c:v>
                </c:pt>
                <c:pt idx="16">
                  <c:v>22300</c:v>
                </c:pt>
                <c:pt idx="17">
                  <c:v>0</c:v>
                </c:pt>
                <c:pt idx="18">
                  <c:v>22125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66-4BFA-8C15-24C417630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50%</c:v>
                </c:pt>
                <c:pt idx="3">
                  <c:v>100%</c:v>
                </c:pt>
                <c:pt idx="4">
                  <c:v>100%</c:v>
                </c:pt>
                <c:pt idx="5">
                  <c:v>83%</c:v>
                </c:pt>
                <c:pt idx="6">
                  <c:v>25%</c:v>
                </c:pt>
                <c:pt idx="7">
                  <c:v>100%</c:v>
                </c:pt>
                <c:pt idx="8">
                  <c:v>88%</c:v>
                </c:pt>
                <c:pt idx="9">
                  <c:v>75%</c:v>
                </c:pt>
                <c:pt idx="10">
                  <c:v>100%</c:v>
                </c:pt>
                <c:pt idx="11">
                  <c:v>29%</c:v>
                </c:pt>
                <c:pt idx="12">
                  <c:v>33%</c:v>
                </c:pt>
                <c:pt idx="13">
                  <c:v>63%</c:v>
                </c:pt>
                <c:pt idx="14">
                  <c:v>100%</c:v>
                </c:pt>
                <c:pt idx="15">
                  <c:v>67%</c:v>
                </c:pt>
                <c:pt idx="16">
                  <c:v>0%</c:v>
                </c:pt>
                <c:pt idx="17">
                  <c:v>0%</c:v>
                </c:pt>
                <c:pt idx="18">
                  <c:v>96%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BOTTOM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0.83333333333333337</c:v>
                </c:pt>
                <c:pt idx="6">
                  <c:v>0.25</c:v>
                </c:pt>
                <c:pt idx="7">
                  <c:v>1</c:v>
                </c:pt>
                <c:pt idx="8">
                  <c:v>0.875</c:v>
                </c:pt>
                <c:pt idx="9">
                  <c:v>0.75</c:v>
                </c:pt>
                <c:pt idx="10">
                  <c:v>1</c:v>
                </c:pt>
                <c:pt idx="11">
                  <c:v>0.29166666666666669</c:v>
                </c:pt>
                <c:pt idx="12">
                  <c:v>0.33333333333333331</c:v>
                </c:pt>
                <c:pt idx="13">
                  <c:v>0.625</c:v>
                </c:pt>
                <c:pt idx="14">
                  <c:v>1</c:v>
                </c:pt>
                <c:pt idx="15">
                  <c:v>0.66666666666666663</c:v>
                </c:pt>
                <c:pt idx="16">
                  <c:v>0</c:v>
                </c:pt>
                <c:pt idx="17">
                  <c:v>0</c:v>
                </c:pt>
                <c:pt idx="18">
                  <c:v>0.95833333333333337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C-466A-9BAF-5F6D3E1ECA9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9C-466A-9BAF-5F6D3E1ECA9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BOTTOM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'07'!$AE$6:$AE$27</c:f>
              <c:numCache>
                <c:formatCode>0%</c:formatCode>
                <c:ptCount val="22"/>
                <c:pt idx="0">
                  <c:v>0.5492424242424242</c:v>
                </c:pt>
                <c:pt idx="1">
                  <c:v>0.5492424242424242</c:v>
                </c:pt>
                <c:pt idx="2">
                  <c:v>0.5492424242424242</c:v>
                </c:pt>
                <c:pt idx="3">
                  <c:v>0.5492424242424242</c:v>
                </c:pt>
                <c:pt idx="4">
                  <c:v>0.5492424242424242</c:v>
                </c:pt>
                <c:pt idx="5">
                  <c:v>0.5492424242424242</c:v>
                </c:pt>
                <c:pt idx="6">
                  <c:v>0.5492424242424242</c:v>
                </c:pt>
                <c:pt idx="7">
                  <c:v>0.5492424242424242</c:v>
                </c:pt>
                <c:pt idx="8">
                  <c:v>0.5492424242424242</c:v>
                </c:pt>
                <c:pt idx="9">
                  <c:v>0.5492424242424242</c:v>
                </c:pt>
                <c:pt idx="10">
                  <c:v>0.5492424242424242</c:v>
                </c:pt>
                <c:pt idx="11">
                  <c:v>0.5492424242424242</c:v>
                </c:pt>
                <c:pt idx="12">
                  <c:v>0.5492424242424242</c:v>
                </c:pt>
                <c:pt idx="13">
                  <c:v>0.5492424242424242</c:v>
                </c:pt>
                <c:pt idx="14">
                  <c:v>0.5492424242424242</c:v>
                </c:pt>
                <c:pt idx="15">
                  <c:v>0.5492424242424242</c:v>
                </c:pt>
                <c:pt idx="16">
                  <c:v>0.5492424242424242</c:v>
                </c:pt>
                <c:pt idx="17">
                  <c:v>0.5492424242424242</c:v>
                </c:pt>
                <c:pt idx="18">
                  <c:v>0.5492424242424242</c:v>
                </c:pt>
                <c:pt idx="19">
                  <c:v>0.5492424242424242</c:v>
                </c:pt>
                <c:pt idx="20">
                  <c:v>0.5492424242424242</c:v>
                </c:pt>
                <c:pt idx="21">
                  <c:v>0.5492424242424242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9C-466A-9BAF-5F6D3E1EC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BOTTOM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'07'!$L$6:$L$27</c:f>
              <c:numCache>
                <c:formatCode>_(* #,##0_);_(* \(#,##0\);_(* "-"_);_(@_)</c:formatCode>
                <c:ptCount val="22"/>
                <c:pt idx="1">
                  <c:v>5772</c:v>
                </c:pt>
                <c:pt idx="2">
                  <c:v>2164</c:v>
                </c:pt>
                <c:pt idx="3">
                  <c:v>5666</c:v>
                </c:pt>
                <c:pt idx="4">
                  <c:v>5596</c:v>
                </c:pt>
                <c:pt idx="5">
                  <c:v>3351</c:v>
                </c:pt>
                <c:pt idx="6">
                  <c:v>1566</c:v>
                </c:pt>
                <c:pt idx="7">
                  <c:v>4592</c:v>
                </c:pt>
                <c:pt idx="8">
                  <c:v>1901</c:v>
                </c:pt>
                <c:pt idx="9">
                  <c:v>3245</c:v>
                </c:pt>
                <c:pt idx="10">
                  <c:v>10508</c:v>
                </c:pt>
                <c:pt idx="11">
                  <c:v>1225</c:v>
                </c:pt>
                <c:pt idx="12">
                  <c:v>1600</c:v>
                </c:pt>
                <c:pt idx="13">
                  <c:v>3270</c:v>
                </c:pt>
                <c:pt idx="14">
                  <c:v>5480</c:v>
                </c:pt>
                <c:pt idx="15">
                  <c:v>28566</c:v>
                </c:pt>
                <c:pt idx="18">
                  <c:v>22125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D-4FE8-AEC2-8FAE3F8FF9C9}"/>
            </c:ext>
          </c:extLst>
        </c:ser>
        <c:ser>
          <c:idx val="1"/>
          <c:order val="1"/>
          <c:tx>
            <c:v>계획</c:v>
          </c:tx>
          <c:cat>
            <c:strRef>
              <c:f>'07'!$D$6:$D$27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BOTTOM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5772</c:v>
                </c:pt>
                <c:pt idx="2">
                  <c:v>2164</c:v>
                </c:pt>
                <c:pt idx="3">
                  <c:v>5666</c:v>
                </c:pt>
                <c:pt idx="4">
                  <c:v>5596</c:v>
                </c:pt>
                <c:pt idx="5">
                  <c:v>3351</c:v>
                </c:pt>
                <c:pt idx="6">
                  <c:v>1566</c:v>
                </c:pt>
                <c:pt idx="7">
                  <c:v>4592</c:v>
                </c:pt>
                <c:pt idx="8">
                  <c:v>1901</c:v>
                </c:pt>
                <c:pt idx="9">
                  <c:v>3245</c:v>
                </c:pt>
                <c:pt idx="10">
                  <c:v>10508</c:v>
                </c:pt>
                <c:pt idx="11">
                  <c:v>1225</c:v>
                </c:pt>
                <c:pt idx="12">
                  <c:v>1600</c:v>
                </c:pt>
                <c:pt idx="13">
                  <c:v>3270</c:v>
                </c:pt>
                <c:pt idx="14">
                  <c:v>5480</c:v>
                </c:pt>
                <c:pt idx="15">
                  <c:v>28566</c:v>
                </c:pt>
                <c:pt idx="16">
                  <c:v>22300</c:v>
                </c:pt>
                <c:pt idx="17">
                  <c:v>0</c:v>
                </c:pt>
                <c:pt idx="18">
                  <c:v>22125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D-4FE8-AEC2-8FAE3F8FF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50%</c:v>
                </c:pt>
                <c:pt idx="3">
                  <c:v>100%</c:v>
                </c:pt>
                <c:pt idx="4">
                  <c:v>100%</c:v>
                </c:pt>
                <c:pt idx="5">
                  <c:v>83%</c:v>
                </c:pt>
                <c:pt idx="6">
                  <c:v>25%</c:v>
                </c:pt>
                <c:pt idx="7">
                  <c:v>100%</c:v>
                </c:pt>
                <c:pt idx="8">
                  <c:v>88%</c:v>
                </c:pt>
                <c:pt idx="9">
                  <c:v>75%</c:v>
                </c:pt>
                <c:pt idx="10">
                  <c:v>100%</c:v>
                </c:pt>
                <c:pt idx="11">
                  <c:v>29%</c:v>
                </c:pt>
                <c:pt idx="12">
                  <c:v>33%</c:v>
                </c:pt>
                <c:pt idx="13">
                  <c:v>63%</c:v>
                </c:pt>
                <c:pt idx="14">
                  <c:v>100%</c:v>
                </c:pt>
                <c:pt idx="15">
                  <c:v>67%</c:v>
                </c:pt>
                <c:pt idx="16">
                  <c:v>0%</c:v>
                </c:pt>
                <c:pt idx="17">
                  <c:v>0%</c:v>
                </c:pt>
                <c:pt idx="18">
                  <c:v>96%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BOTTOM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0.83333333333333337</c:v>
                </c:pt>
                <c:pt idx="6">
                  <c:v>0.25</c:v>
                </c:pt>
                <c:pt idx="7">
                  <c:v>1</c:v>
                </c:pt>
                <c:pt idx="8">
                  <c:v>0.875</c:v>
                </c:pt>
                <c:pt idx="9">
                  <c:v>0.75</c:v>
                </c:pt>
                <c:pt idx="10">
                  <c:v>1</c:v>
                </c:pt>
                <c:pt idx="11">
                  <c:v>0.29166666666666669</c:v>
                </c:pt>
                <c:pt idx="12">
                  <c:v>0.33333333333333331</c:v>
                </c:pt>
                <c:pt idx="13">
                  <c:v>0.625</c:v>
                </c:pt>
                <c:pt idx="14">
                  <c:v>1</c:v>
                </c:pt>
                <c:pt idx="15">
                  <c:v>0.66666666666666663</c:v>
                </c:pt>
                <c:pt idx="16">
                  <c:v>0</c:v>
                </c:pt>
                <c:pt idx="17">
                  <c:v>0</c:v>
                </c:pt>
                <c:pt idx="18">
                  <c:v>0.95833333333333337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3E-4FDD-B72F-DD8207817D4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3E-4FDD-B72F-DD8207817D4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BOTTOM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'07'!$AE$6:$AE$27</c:f>
              <c:numCache>
                <c:formatCode>0%</c:formatCode>
                <c:ptCount val="22"/>
                <c:pt idx="0">
                  <c:v>0.5492424242424242</c:v>
                </c:pt>
                <c:pt idx="1">
                  <c:v>0.5492424242424242</c:v>
                </c:pt>
                <c:pt idx="2">
                  <c:v>0.5492424242424242</c:v>
                </c:pt>
                <c:pt idx="3">
                  <c:v>0.5492424242424242</c:v>
                </c:pt>
                <c:pt idx="4">
                  <c:v>0.5492424242424242</c:v>
                </c:pt>
                <c:pt idx="5">
                  <c:v>0.5492424242424242</c:v>
                </c:pt>
                <c:pt idx="6">
                  <c:v>0.5492424242424242</c:v>
                </c:pt>
                <c:pt idx="7">
                  <c:v>0.5492424242424242</c:v>
                </c:pt>
                <c:pt idx="8">
                  <c:v>0.5492424242424242</c:v>
                </c:pt>
                <c:pt idx="9">
                  <c:v>0.5492424242424242</c:v>
                </c:pt>
                <c:pt idx="10">
                  <c:v>0.5492424242424242</c:v>
                </c:pt>
                <c:pt idx="11">
                  <c:v>0.5492424242424242</c:v>
                </c:pt>
                <c:pt idx="12">
                  <c:v>0.5492424242424242</c:v>
                </c:pt>
                <c:pt idx="13">
                  <c:v>0.5492424242424242</c:v>
                </c:pt>
                <c:pt idx="14">
                  <c:v>0.5492424242424242</c:v>
                </c:pt>
                <c:pt idx="15">
                  <c:v>0.5492424242424242</c:v>
                </c:pt>
                <c:pt idx="16">
                  <c:v>0.5492424242424242</c:v>
                </c:pt>
                <c:pt idx="17">
                  <c:v>0.5492424242424242</c:v>
                </c:pt>
                <c:pt idx="18">
                  <c:v>0.5492424242424242</c:v>
                </c:pt>
                <c:pt idx="19">
                  <c:v>0.5492424242424242</c:v>
                </c:pt>
                <c:pt idx="20">
                  <c:v>0.5492424242424242</c:v>
                </c:pt>
                <c:pt idx="21">
                  <c:v>0.5492424242424242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3E-4FDD-B72F-DD8207817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C8D-4F29-A06F-C0B264E168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8D-4F29-A06F-C0B264E1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C8D-4F29-A06F-C0B264E168E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8D-4F29-A06F-C0B264E1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'08'!$L$6:$L$27</c:f>
              <c:numCache>
                <c:formatCode>_(* #,##0_);_(* \(#,##0\);_(* "-"_);_(@_)</c:formatCode>
                <c:ptCount val="22"/>
                <c:pt idx="1">
                  <c:v>3491</c:v>
                </c:pt>
                <c:pt idx="2">
                  <c:v>4115</c:v>
                </c:pt>
                <c:pt idx="3">
                  <c:v>3727</c:v>
                </c:pt>
                <c:pt idx="4">
                  <c:v>5715</c:v>
                </c:pt>
                <c:pt idx="5">
                  <c:v>143380</c:v>
                </c:pt>
                <c:pt idx="6">
                  <c:v>7911</c:v>
                </c:pt>
                <c:pt idx="7">
                  <c:v>2342</c:v>
                </c:pt>
                <c:pt idx="8">
                  <c:v>1172</c:v>
                </c:pt>
                <c:pt idx="9">
                  <c:v>11556</c:v>
                </c:pt>
                <c:pt idx="10">
                  <c:v>10758</c:v>
                </c:pt>
                <c:pt idx="12">
                  <c:v>1171</c:v>
                </c:pt>
                <c:pt idx="13">
                  <c:v>2848</c:v>
                </c:pt>
                <c:pt idx="14">
                  <c:v>5271</c:v>
                </c:pt>
                <c:pt idx="15">
                  <c:v>48777</c:v>
                </c:pt>
                <c:pt idx="18">
                  <c:v>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4-485F-8093-02949586D434}"/>
            </c:ext>
          </c:extLst>
        </c:ser>
        <c:ser>
          <c:idx val="1"/>
          <c:order val="1"/>
          <c:tx>
            <c:v>계획</c:v>
          </c:tx>
          <c:cat>
            <c:strRef>
              <c:f>'08'!$D$6:$D$27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3491</c:v>
                </c:pt>
                <c:pt idx="2">
                  <c:v>4115</c:v>
                </c:pt>
                <c:pt idx="3">
                  <c:v>3727</c:v>
                </c:pt>
                <c:pt idx="4">
                  <c:v>5715</c:v>
                </c:pt>
                <c:pt idx="5">
                  <c:v>143380</c:v>
                </c:pt>
                <c:pt idx="6">
                  <c:v>7911</c:v>
                </c:pt>
                <c:pt idx="7">
                  <c:v>2342</c:v>
                </c:pt>
                <c:pt idx="8">
                  <c:v>1172</c:v>
                </c:pt>
                <c:pt idx="9">
                  <c:v>11556</c:v>
                </c:pt>
                <c:pt idx="10">
                  <c:v>10758</c:v>
                </c:pt>
                <c:pt idx="11">
                  <c:v>1225</c:v>
                </c:pt>
                <c:pt idx="12">
                  <c:v>1171</c:v>
                </c:pt>
                <c:pt idx="13">
                  <c:v>2848</c:v>
                </c:pt>
                <c:pt idx="14">
                  <c:v>5271</c:v>
                </c:pt>
                <c:pt idx="15">
                  <c:v>48777</c:v>
                </c:pt>
                <c:pt idx="16">
                  <c:v>22300</c:v>
                </c:pt>
                <c:pt idx="17">
                  <c:v>0</c:v>
                </c:pt>
                <c:pt idx="18">
                  <c:v>9744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E4-485F-8093-02949586D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'08'!$AD$6:$AD$27</c:f>
              <c:strCache>
                <c:ptCount val="22"/>
                <c:pt idx="0">
                  <c:v>0%</c:v>
                </c:pt>
                <c:pt idx="1">
                  <c:v>71%</c:v>
                </c:pt>
                <c:pt idx="2">
                  <c:v>88%</c:v>
                </c:pt>
                <c:pt idx="3">
                  <c:v>63%</c:v>
                </c:pt>
                <c:pt idx="4">
                  <c:v>100%</c:v>
                </c:pt>
                <c:pt idx="5">
                  <c:v>88%</c:v>
                </c:pt>
                <c:pt idx="6">
                  <c:v>67%</c:v>
                </c:pt>
                <c:pt idx="7">
                  <c:v>50%</c:v>
                </c:pt>
                <c:pt idx="8">
                  <c:v>50%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21%</c:v>
                </c:pt>
                <c:pt idx="13">
                  <c:v>50%</c:v>
                </c:pt>
                <c:pt idx="14">
                  <c:v>92%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50%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'08'!$AD$6:$AD$27</c:f>
              <c:numCache>
                <c:formatCode>0%</c:formatCode>
                <c:ptCount val="22"/>
                <c:pt idx="0">
                  <c:v>0</c:v>
                </c:pt>
                <c:pt idx="1">
                  <c:v>0.70833333333333337</c:v>
                </c:pt>
                <c:pt idx="2">
                  <c:v>0.875</c:v>
                </c:pt>
                <c:pt idx="3">
                  <c:v>0.625</c:v>
                </c:pt>
                <c:pt idx="4">
                  <c:v>1</c:v>
                </c:pt>
                <c:pt idx="5">
                  <c:v>0.875</c:v>
                </c:pt>
                <c:pt idx="6">
                  <c:v>0.66666666666666663</c:v>
                </c:pt>
                <c:pt idx="7">
                  <c:v>0.5</c:v>
                </c:pt>
                <c:pt idx="8">
                  <c:v>0.5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0.5</c:v>
                </c:pt>
                <c:pt idx="14">
                  <c:v>0.91666666666666663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0.5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C-46EF-BB2D-2CFD238CEF6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8C-46EF-BB2D-2CFD238CEF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'08'!$AE$6:$AE$27</c:f>
              <c:numCache>
                <c:formatCode>0%</c:formatCode>
                <c:ptCount val="22"/>
                <c:pt idx="0">
                  <c:v>0.49431818181818182</c:v>
                </c:pt>
                <c:pt idx="1">
                  <c:v>0.49431818181818182</c:v>
                </c:pt>
                <c:pt idx="2">
                  <c:v>0.49431818181818182</c:v>
                </c:pt>
                <c:pt idx="3">
                  <c:v>0.49431818181818182</c:v>
                </c:pt>
                <c:pt idx="4">
                  <c:v>0.49431818181818182</c:v>
                </c:pt>
                <c:pt idx="5">
                  <c:v>0.49431818181818182</c:v>
                </c:pt>
                <c:pt idx="6">
                  <c:v>0.49431818181818182</c:v>
                </c:pt>
                <c:pt idx="7">
                  <c:v>0.49431818181818182</c:v>
                </c:pt>
                <c:pt idx="8">
                  <c:v>0.49431818181818182</c:v>
                </c:pt>
                <c:pt idx="9">
                  <c:v>0.49431818181818182</c:v>
                </c:pt>
                <c:pt idx="10">
                  <c:v>0.49431818181818182</c:v>
                </c:pt>
                <c:pt idx="11">
                  <c:v>0.49431818181818182</c:v>
                </c:pt>
                <c:pt idx="12">
                  <c:v>0.49431818181818182</c:v>
                </c:pt>
                <c:pt idx="13">
                  <c:v>0.49431818181818182</c:v>
                </c:pt>
                <c:pt idx="14">
                  <c:v>0.49431818181818182</c:v>
                </c:pt>
                <c:pt idx="15">
                  <c:v>0.49431818181818182</c:v>
                </c:pt>
                <c:pt idx="16">
                  <c:v>0.49431818181818182</c:v>
                </c:pt>
                <c:pt idx="17">
                  <c:v>0.49431818181818182</c:v>
                </c:pt>
                <c:pt idx="18">
                  <c:v>0.49431818181818182</c:v>
                </c:pt>
                <c:pt idx="19">
                  <c:v>0.49431818181818182</c:v>
                </c:pt>
                <c:pt idx="20">
                  <c:v>0.49431818181818182</c:v>
                </c:pt>
                <c:pt idx="21">
                  <c:v>0.49431818181818182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8C-46EF-BB2D-2CFD238CE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'08'!$L$6:$L$27</c:f>
              <c:numCache>
                <c:formatCode>_(* #,##0_);_(* \(#,##0\);_(* "-"_);_(@_)</c:formatCode>
                <c:ptCount val="22"/>
                <c:pt idx="1">
                  <c:v>3491</c:v>
                </c:pt>
                <c:pt idx="2">
                  <c:v>4115</c:v>
                </c:pt>
                <c:pt idx="3">
                  <c:v>3727</c:v>
                </c:pt>
                <c:pt idx="4">
                  <c:v>5715</c:v>
                </c:pt>
                <c:pt idx="5">
                  <c:v>143380</c:v>
                </c:pt>
                <c:pt idx="6">
                  <c:v>7911</c:v>
                </c:pt>
                <c:pt idx="7">
                  <c:v>2342</c:v>
                </c:pt>
                <c:pt idx="8">
                  <c:v>1172</c:v>
                </c:pt>
                <c:pt idx="9">
                  <c:v>11556</c:v>
                </c:pt>
                <c:pt idx="10">
                  <c:v>10758</c:v>
                </c:pt>
                <c:pt idx="12">
                  <c:v>1171</c:v>
                </c:pt>
                <c:pt idx="13">
                  <c:v>2848</c:v>
                </c:pt>
                <c:pt idx="14">
                  <c:v>5271</c:v>
                </c:pt>
                <c:pt idx="15">
                  <c:v>48777</c:v>
                </c:pt>
                <c:pt idx="18">
                  <c:v>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03-4DA3-B528-0D1651BD63D5}"/>
            </c:ext>
          </c:extLst>
        </c:ser>
        <c:ser>
          <c:idx val="1"/>
          <c:order val="1"/>
          <c:tx>
            <c:v>계획</c:v>
          </c:tx>
          <c:cat>
            <c:strRef>
              <c:f>'08'!$D$6:$D$27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3491</c:v>
                </c:pt>
                <c:pt idx="2">
                  <c:v>4115</c:v>
                </c:pt>
                <c:pt idx="3">
                  <c:v>3727</c:v>
                </c:pt>
                <c:pt idx="4">
                  <c:v>5715</c:v>
                </c:pt>
                <c:pt idx="5">
                  <c:v>143380</c:v>
                </c:pt>
                <c:pt idx="6">
                  <c:v>7911</c:v>
                </c:pt>
                <c:pt idx="7">
                  <c:v>2342</c:v>
                </c:pt>
                <c:pt idx="8">
                  <c:v>1172</c:v>
                </c:pt>
                <c:pt idx="9">
                  <c:v>11556</c:v>
                </c:pt>
                <c:pt idx="10">
                  <c:v>10758</c:v>
                </c:pt>
                <c:pt idx="11">
                  <c:v>1225</c:v>
                </c:pt>
                <c:pt idx="12">
                  <c:v>1171</c:v>
                </c:pt>
                <c:pt idx="13">
                  <c:v>2848</c:v>
                </c:pt>
                <c:pt idx="14">
                  <c:v>5271</c:v>
                </c:pt>
                <c:pt idx="15">
                  <c:v>48777</c:v>
                </c:pt>
                <c:pt idx="16">
                  <c:v>22300</c:v>
                </c:pt>
                <c:pt idx="17">
                  <c:v>0</c:v>
                </c:pt>
                <c:pt idx="18">
                  <c:v>9744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03-4DA3-B528-0D1651BD6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'08'!$AD$6:$AD$27</c:f>
              <c:strCache>
                <c:ptCount val="22"/>
                <c:pt idx="0">
                  <c:v>0%</c:v>
                </c:pt>
                <c:pt idx="1">
                  <c:v>71%</c:v>
                </c:pt>
                <c:pt idx="2">
                  <c:v>88%</c:v>
                </c:pt>
                <c:pt idx="3">
                  <c:v>63%</c:v>
                </c:pt>
                <c:pt idx="4">
                  <c:v>100%</c:v>
                </c:pt>
                <c:pt idx="5">
                  <c:v>88%</c:v>
                </c:pt>
                <c:pt idx="6">
                  <c:v>67%</c:v>
                </c:pt>
                <c:pt idx="7">
                  <c:v>50%</c:v>
                </c:pt>
                <c:pt idx="8">
                  <c:v>50%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21%</c:v>
                </c:pt>
                <c:pt idx="13">
                  <c:v>50%</c:v>
                </c:pt>
                <c:pt idx="14">
                  <c:v>92%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50%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'08'!$AD$6:$AD$27</c:f>
              <c:numCache>
                <c:formatCode>0%</c:formatCode>
                <c:ptCount val="22"/>
                <c:pt idx="0">
                  <c:v>0</c:v>
                </c:pt>
                <c:pt idx="1">
                  <c:v>0.70833333333333337</c:v>
                </c:pt>
                <c:pt idx="2">
                  <c:v>0.875</c:v>
                </c:pt>
                <c:pt idx="3">
                  <c:v>0.625</c:v>
                </c:pt>
                <c:pt idx="4">
                  <c:v>1</c:v>
                </c:pt>
                <c:pt idx="5">
                  <c:v>0.875</c:v>
                </c:pt>
                <c:pt idx="6">
                  <c:v>0.66666666666666663</c:v>
                </c:pt>
                <c:pt idx="7">
                  <c:v>0.5</c:v>
                </c:pt>
                <c:pt idx="8">
                  <c:v>0.5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0.5</c:v>
                </c:pt>
                <c:pt idx="14">
                  <c:v>0.91666666666666663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0.5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9-4540-A97E-82FD7206BAE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29-4540-A97E-82FD7206BAE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'08'!$AE$6:$AE$27</c:f>
              <c:numCache>
                <c:formatCode>0%</c:formatCode>
                <c:ptCount val="22"/>
                <c:pt idx="0">
                  <c:v>0.49431818181818182</c:v>
                </c:pt>
                <c:pt idx="1">
                  <c:v>0.49431818181818182</c:v>
                </c:pt>
                <c:pt idx="2">
                  <c:v>0.49431818181818182</c:v>
                </c:pt>
                <c:pt idx="3">
                  <c:v>0.49431818181818182</c:v>
                </c:pt>
                <c:pt idx="4">
                  <c:v>0.49431818181818182</c:v>
                </c:pt>
                <c:pt idx="5">
                  <c:v>0.49431818181818182</c:v>
                </c:pt>
                <c:pt idx="6">
                  <c:v>0.49431818181818182</c:v>
                </c:pt>
                <c:pt idx="7">
                  <c:v>0.49431818181818182</c:v>
                </c:pt>
                <c:pt idx="8">
                  <c:v>0.49431818181818182</c:v>
                </c:pt>
                <c:pt idx="9">
                  <c:v>0.49431818181818182</c:v>
                </c:pt>
                <c:pt idx="10">
                  <c:v>0.49431818181818182</c:v>
                </c:pt>
                <c:pt idx="11">
                  <c:v>0.49431818181818182</c:v>
                </c:pt>
                <c:pt idx="12">
                  <c:v>0.49431818181818182</c:v>
                </c:pt>
                <c:pt idx="13">
                  <c:v>0.49431818181818182</c:v>
                </c:pt>
                <c:pt idx="14">
                  <c:v>0.49431818181818182</c:v>
                </c:pt>
                <c:pt idx="15">
                  <c:v>0.49431818181818182</c:v>
                </c:pt>
                <c:pt idx="16">
                  <c:v>0.49431818181818182</c:v>
                </c:pt>
                <c:pt idx="17">
                  <c:v>0.49431818181818182</c:v>
                </c:pt>
                <c:pt idx="18">
                  <c:v>0.49431818181818182</c:v>
                </c:pt>
                <c:pt idx="19">
                  <c:v>0.49431818181818182</c:v>
                </c:pt>
                <c:pt idx="20">
                  <c:v>0.49431818181818182</c:v>
                </c:pt>
                <c:pt idx="21">
                  <c:v>0.49431818181818182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9-4540-A97E-82FD7206B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5A8-4014-9080-44EC383248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A8-4014-9080-44EC38324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5A8-4014-9080-44EC383248D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A8-4014-9080-44EC38324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'09'!$L$6:$L$27</c:f>
              <c:numCache>
                <c:formatCode>_(* #,##0_);_(* \(#,##0\);_(* "-"_);_(@_)</c:formatCode>
                <c:ptCount val="22"/>
                <c:pt idx="1">
                  <c:v>6360</c:v>
                </c:pt>
                <c:pt idx="2">
                  <c:v>1559</c:v>
                </c:pt>
                <c:pt idx="4">
                  <c:v>3707</c:v>
                </c:pt>
                <c:pt idx="5">
                  <c:v>147660</c:v>
                </c:pt>
                <c:pt idx="6">
                  <c:v>15024</c:v>
                </c:pt>
                <c:pt idx="9">
                  <c:v>1152</c:v>
                </c:pt>
                <c:pt idx="10">
                  <c:v>9100</c:v>
                </c:pt>
                <c:pt idx="12">
                  <c:v>1004</c:v>
                </c:pt>
                <c:pt idx="14">
                  <c:v>5293</c:v>
                </c:pt>
                <c:pt idx="15">
                  <c:v>51264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1-464B-9BE1-ECEB47D84B6F}"/>
            </c:ext>
          </c:extLst>
        </c:ser>
        <c:ser>
          <c:idx val="1"/>
          <c:order val="1"/>
          <c:tx>
            <c:v>계획</c:v>
          </c:tx>
          <c:cat>
            <c:strRef>
              <c:f>'09'!$D$6:$D$27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6360</c:v>
                </c:pt>
                <c:pt idx="2">
                  <c:v>1559</c:v>
                </c:pt>
                <c:pt idx="3">
                  <c:v>3727</c:v>
                </c:pt>
                <c:pt idx="4">
                  <c:v>3707</c:v>
                </c:pt>
                <c:pt idx="5">
                  <c:v>147660</c:v>
                </c:pt>
                <c:pt idx="6">
                  <c:v>15024</c:v>
                </c:pt>
                <c:pt idx="7">
                  <c:v>2342</c:v>
                </c:pt>
                <c:pt idx="8">
                  <c:v>1172</c:v>
                </c:pt>
                <c:pt idx="9">
                  <c:v>1152</c:v>
                </c:pt>
                <c:pt idx="10">
                  <c:v>9100</c:v>
                </c:pt>
                <c:pt idx="11">
                  <c:v>1225</c:v>
                </c:pt>
                <c:pt idx="12">
                  <c:v>1004</c:v>
                </c:pt>
                <c:pt idx="13">
                  <c:v>2848</c:v>
                </c:pt>
                <c:pt idx="14">
                  <c:v>5293</c:v>
                </c:pt>
                <c:pt idx="15">
                  <c:v>51264</c:v>
                </c:pt>
                <c:pt idx="16">
                  <c:v>22300</c:v>
                </c:pt>
                <c:pt idx="17">
                  <c:v>0</c:v>
                </c:pt>
                <c:pt idx="18">
                  <c:v>9744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81-464B-9BE1-ECEB47D84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63%</c:v>
                </c:pt>
                <c:pt idx="3">
                  <c:v>0%</c:v>
                </c:pt>
                <c:pt idx="4">
                  <c:v>79%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13%</c:v>
                </c:pt>
                <c:pt idx="10">
                  <c:v>100%</c:v>
                </c:pt>
                <c:pt idx="11">
                  <c:v>0%</c:v>
                </c:pt>
                <c:pt idx="12">
                  <c:v>21%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0.625</c:v>
                </c:pt>
                <c:pt idx="3">
                  <c:v>0</c:v>
                </c:pt>
                <c:pt idx="4">
                  <c:v>0.79166666666666663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0.125</c:v>
                </c:pt>
                <c:pt idx="10">
                  <c:v>1</c:v>
                </c:pt>
                <c:pt idx="11">
                  <c:v>0</c:v>
                </c:pt>
                <c:pt idx="12">
                  <c:v>0.20833333333333334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A-4D9A-B489-31A129F25FF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2A-4D9A-B489-31A129F25F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'09'!$AE$6:$AE$27</c:f>
              <c:numCache>
                <c:formatCode>0%</c:formatCode>
                <c:ptCount val="22"/>
                <c:pt idx="0">
                  <c:v>0.35227272727272724</c:v>
                </c:pt>
                <c:pt idx="1">
                  <c:v>0.35227272727272724</c:v>
                </c:pt>
                <c:pt idx="2">
                  <c:v>0.35227272727272724</c:v>
                </c:pt>
                <c:pt idx="3">
                  <c:v>0.35227272727272724</c:v>
                </c:pt>
                <c:pt idx="4">
                  <c:v>0.35227272727272724</c:v>
                </c:pt>
                <c:pt idx="5">
                  <c:v>0.35227272727272724</c:v>
                </c:pt>
                <c:pt idx="6">
                  <c:v>0.35227272727272724</c:v>
                </c:pt>
                <c:pt idx="7">
                  <c:v>0.35227272727272724</c:v>
                </c:pt>
                <c:pt idx="8">
                  <c:v>0.35227272727272724</c:v>
                </c:pt>
                <c:pt idx="9">
                  <c:v>0.35227272727272724</c:v>
                </c:pt>
                <c:pt idx="10">
                  <c:v>0.35227272727272724</c:v>
                </c:pt>
                <c:pt idx="11">
                  <c:v>0.35227272727272724</c:v>
                </c:pt>
                <c:pt idx="12">
                  <c:v>0.35227272727272724</c:v>
                </c:pt>
                <c:pt idx="13">
                  <c:v>0.35227272727272724</c:v>
                </c:pt>
                <c:pt idx="14">
                  <c:v>0.35227272727272724</c:v>
                </c:pt>
                <c:pt idx="15">
                  <c:v>0.35227272727272724</c:v>
                </c:pt>
                <c:pt idx="16">
                  <c:v>0.35227272727272724</c:v>
                </c:pt>
                <c:pt idx="17">
                  <c:v>0.35227272727272724</c:v>
                </c:pt>
                <c:pt idx="18">
                  <c:v>0.35227272727272724</c:v>
                </c:pt>
                <c:pt idx="19">
                  <c:v>0.35227272727272724</c:v>
                </c:pt>
                <c:pt idx="20">
                  <c:v>0.35227272727272724</c:v>
                </c:pt>
                <c:pt idx="21">
                  <c:v>0.35227272727272724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2A-4D9A-B489-31A129F25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'09'!$L$6:$L$27</c:f>
              <c:numCache>
                <c:formatCode>_(* #,##0_);_(* \(#,##0\);_(* "-"_);_(@_)</c:formatCode>
                <c:ptCount val="22"/>
                <c:pt idx="1">
                  <c:v>6360</c:v>
                </c:pt>
                <c:pt idx="2">
                  <c:v>1559</c:v>
                </c:pt>
                <c:pt idx="4">
                  <c:v>3707</c:v>
                </c:pt>
                <c:pt idx="5">
                  <c:v>147660</c:v>
                </c:pt>
                <c:pt idx="6">
                  <c:v>15024</c:v>
                </c:pt>
                <c:pt idx="9">
                  <c:v>1152</c:v>
                </c:pt>
                <c:pt idx="10">
                  <c:v>9100</c:v>
                </c:pt>
                <c:pt idx="12">
                  <c:v>1004</c:v>
                </c:pt>
                <c:pt idx="14">
                  <c:v>5293</c:v>
                </c:pt>
                <c:pt idx="15">
                  <c:v>51264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5-49E6-A436-5A8A6E9BE66F}"/>
            </c:ext>
          </c:extLst>
        </c:ser>
        <c:ser>
          <c:idx val="1"/>
          <c:order val="1"/>
          <c:tx>
            <c:v>계획</c:v>
          </c:tx>
          <c:cat>
            <c:strRef>
              <c:f>'09'!$D$6:$D$27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6360</c:v>
                </c:pt>
                <c:pt idx="2">
                  <c:v>1559</c:v>
                </c:pt>
                <c:pt idx="3">
                  <c:v>3727</c:v>
                </c:pt>
                <c:pt idx="4">
                  <c:v>3707</c:v>
                </c:pt>
                <c:pt idx="5">
                  <c:v>147660</c:v>
                </c:pt>
                <c:pt idx="6">
                  <c:v>15024</c:v>
                </c:pt>
                <c:pt idx="7">
                  <c:v>2342</c:v>
                </c:pt>
                <c:pt idx="8">
                  <c:v>1172</c:v>
                </c:pt>
                <c:pt idx="9">
                  <c:v>1152</c:v>
                </c:pt>
                <c:pt idx="10">
                  <c:v>9100</c:v>
                </c:pt>
                <c:pt idx="11">
                  <c:v>1225</c:v>
                </c:pt>
                <c:pt idx="12">
                  <c:v>1004</c:v>
                </c:pt>
                <c:pt idx="13">
                  <c:v>2848</c:v>
                </c:pt>
                <c:pt idx="14">
                  <c:v>5293</c:v>
                </c:pt>
                <c:pt idx="15">
                  <c:v>51264</c:v>
                </c:pt>
                <c:pt idx="16">
                  <c:v>22300</c:v>
                </c:pt>
                <c:pt idx="17">
                  <c:v>0</c:v>
                </c:pt>
                <c:pt idx="18">
                  <c:v>9744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75-49E6-A436-5A8A6E9BE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63%</c:v>
                </c:pt>
                <c:pt idx="3">
                  <c:v>0%</c:v>
                </c:pt>
                <c:pt idx="4">
                  <c:v>79%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13%</c:v>
                </c:pt>
                <c:pt idx="10">
                  <c:v>100%</c:v>
                </c:pt>
                <c:pt idx="11">
                  <c:v>0%</c:v>
                </c:pt>
                <c:pt idx="12">
                  <c:v>21%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0.625</c:v>
                </c:pt>
                <c:pt idx="3">
                  <c:v>0</c:v>
                </c:pt>
                <c:pt idx="4">
                  <c:v>0.79166666666666663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0.125</c:v>
                </c:pt>
                <c:pt idx="10">
                  <c:v>1</c:v>
                </c:pt>
                <c:pt idx="11">
                  <c:v>0</c:v>
                </c:pt>
                <c:pt idx="12">
                  <c:v>0.20833333333333334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8-4B1D-90F7-4AEF76EDBB2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68-4B1D-90F7-4AEF76EDBB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'09'!$AE$6:$AE$27</c:f>
              <c:numCache>
                <c:formatCode>0%</c:formatCode>
                <c:ptCount val="22"/>
                <c:pt idx="0">
                  <c:v>0.35227272727272724</c:v>
                </c:pt>
                <c:pt idx="1">
                  <c:v>0.35227272727272724</c:v>
                </c:pt>
                <c:pt idx="2">
                  <c:v>0.35227272727272724</c:v>
                </c:pt>
                <c:pt idx="3">
                  <c:v>0.35227272727272724</c:v>
                </c:pt>
                <c:pt idx="4">
                  <c:v>0.35227272727272724</c:v>
                </c:pt>
                <c:pt idx="5">
                  <c:v>0.35227272727272724</c:v>
                </c:pt>
                <c:pt idx="6">
                  <c:v>0.35227272727272724</c:v>
                </c:pt>
                <c:pt idx="7">
                  <c:v>0.35227272727272724</c:v>
                </c:pt>
                <c:pt idx="8">
                  <c:v>0.35227272727272724</c:v>
                </c:pt>
                <c:pt idx="9">
                  <c:v>0.35227272727272724</c:v>
                </c:pt>
                <c:pt idx="10">
                  <c:v>0.35227272727272724</c:v>
                </c:pt>
                <c:pt idx="11">
                  <c:v>0.35227272727272724</c:v>
                </c:pt>
                <c:pt idx="12">
                  <c:v>0.35227272727272724</c:v>
                </c:pt>
                <c:pt idx="13">
                  <c:v>0.35227272727272724</c:v>
                </c:pt>
                <c:pt idx="14">
                  <c:v>0.35227272727272724</c:v>
                </c:pt>
                <c:pt idx="15">
                  <c:v>0.35227272727272724</c:v>
                </c:pt>
                <c:pt idx="16">
                  <c:v>0.35227272727272724</c:v>
                </c:pt>
                <c:pt idx="17">
                  <c:v>0.35227272727272724</c:v>
                </c:pt>
                <c:pt idx="18">
                  <c:v>0.35227272727272724</c:v>
                </c:pt>
                <c:pt idx="19">
                  <c:v>0.35227272727272724</c:v>
                </c:pt>
                <c:pt idx="20">
                  <c:v>0.35227272727272724</c:v>
                </c:pt>
                <c:pt idx="21">
                  <c:v>0.35227272727272724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68-4B1D-90F7-4AEF76EDB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913-4107-8979-0AEF98A0D4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3-4107-8979-0AEF98A0D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913-4107-8979-0AEF98A0D45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13-4107-8979-0AEF98A0D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'10'!$L$6:$L$27</c:f>
              <c:numCache>
                <c:formatCode>_(* #,##0_);_(* \(#,##0\);_(* "-"_);_(@_)</c:formatCode>
                <c:ptCount val="22"/>
                <c:pt idx="4">
                  <c:v>799</c:v>
                </c:pt>
                <c:pt idx="6">
                  <c:v>5163</c:v>
                </c:pt>
                <c:pt idx="12">
                  <c:v>1216</c:v>
                </c:pt>
                <c:pt idx="14">
                  <c:v>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B2-44E1-A812-925EC2055907}"/>
            </c:ext>
          </c:extLst>
        </c:ser>
        <c:ser>
          <c:idx val="1"/>
          <c:order val="1"/>
          <c:tx>
            <c:v>계획</c:v>
          </c:tx>
          <c:cat>
            <c:strRef>
              <c:f>'10'!$D$6:$D$27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'10'!$J$6:$J$27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6360</c:v>
                </c:pt>
                <c:pt idx="2">
                  <c:v>1559</c:v>
                </c:pt>
                <c:pt idx="3">
                  <c:v>3727</c:v>
                </c:pt>
                <c:pt idx="4">
                  <c:v>799</c:v>
                </c:pt>
                <c:pt idx="5">
                  <c:v>147660</c:v>
                </c:pt>
                <c:pt idx="6">
                  <c:v>5163</c:v>
                </c:pt>
                <c:pt idx="7">
                  <c:v>2342</c:v>
                </c:pt>
                <c:pt idx="8">
                  <c:v>1172</c:v>
                </c:pt>
                <c:pt idx="9">
                  <c:v>1152</c:v>
                </c:pt>
                <c:pt idx="10">
                  <c:v>9100</c:v>
                </c:pt>
                <c:pt idx="11">
                  <c:v>1225</c:v>
                </c:pt>
                <c:pt idx="12">
                  <c:v>1216</c:v>
                </c:pt>
                <c:pt idx="13">
                  <c:v>2848</c:v>
                </c:pt>
                <c:pt idx="14">
                  <c:v>1299</c:v>
                </c:pt>
                <c:pt idx="15">
                  <c:v>51264</c:v>
                </c:pt>
                <c:pt idx="16">
                  <c:v>22300</c:v>
                </c:pt>
                <c:pt idx="17">
                  <c:v>0</c:v>
                </c:pt>
                <c:pt idx="18">
                  <c:v>9744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B2-44E1-A812-925EC2055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17%</c:v>
                </c:pt>
                <c:pt idx="5">
                  <c:v>0%</c:v>
                </c:pt>
                <c:pt idx="6">
                  <c:v>42%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29%</c:v>
                </c:pt>
                <c:pt idx="13">
                  <c:v>0%</c:v>
                </c:pt>
                <c:pt idx="14">
                  <c:v>29%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'10'!$AD$6:$AD$27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0.16666666666666666</c:v>
                </c:pt>
                <c:pt idx="5">
                  <c:v>0</c:v>
                </c:pt>
                <c:pt idx="6">
                  <c:v>0.41666666666666669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0.29166666666666669</c:v>
                </c:pt>
                <c:pt idx="13">
                  <c:v>0</c:v>
                </c:pt>
                <c:pt idx="14">
                  <c:v>0.29166666666666669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5-49DC-B330-72596451830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B5-49DC-B330-72596451830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'10'!$AE$6:$AE$27</c:f>
              <c:numCache>
                <c:formatCode>0%</c:formatCode>
                <c:ptCount val="22"/>
                <c:pt idx="0">
                  <c:v>5.3030303030303032E-2</c:v>
                </c:pt>
                <c:pt idx="1">
                  <c:v>5.3030303030303032E-2</c:v>
                </c:pt>
                <c:pt idx="2">
                  <c:v>5.3030303030303032E-2</c:v>
                </c:pt>
                <c:pt idx="3">
                  <c:v>5.3030303030303032E-2</c:v>
                </c:pt>
                <c:pt idx="4">
                  <c:v>5.3030303030303032E-2</c:v>
                </c:pt>
                <c:pt idx="5">
                  <c:v>5.3030303030303032E-2</c:v>
                </c:pt>
                <c:pt idx="6">
                  <c:v>5.3030303030303032E-2</c:v>
                </c:pt>
                <c:pt idx="7">
                  <c:v>5.3030303030303032E-2</c:v>
                </c:pt>
                <c:pt idx="8">
                  <c:v>5.3030303030303032E-2</c:v>
                </c:pt>
                <c:pt idx="9">
                  <c:v>5.3030303030303032E-2</c:v>
                </c:pt>
                <c:pt idx="10">
                  <c:v>5.3030303030303032E-2</c:v>
                </c:pt>
                <c:pt idx="11">
                  <c:v>5.3030303030303032E-2</c:v>
                </c:pt>
                <c:pt idx="12">
                  <c:v>5.3030303030303032E-2</c:v>
                </c:pt>
                <c:pt idx="13">
                  <c:v>5.3030303030303032E-2</c:v>
                </c:pt>
                <c:pt idx="14">
                  <c:v>5.3030303030303032E-2</c:v>
                </c:pt>
                <c:pt idx="15">
                  <c:v>5.3030303030303032E-2</c:v>
                </c:pt>
                <c:pt idx="16">
                  <c:v>5.3030303030303032E-2</c:v>
                </c:pt>
                <c:pt idx="17">
                  <c:v>5.3030303030303032E-2</c:v>
                </c:pt>
                <c:pt idx="18">
                  <c:v>5.3030303030303032E-2</c:v>
                </c:pt>
                <c:pt idx="19">
                  <c:v>5.3030303030303032E-2</c:v>
                </c:pt>
                <c:pt idx="20">
                  <c:v>5.3030303030303032E-2</c:v>
                </c:pt>
                <c:pt idx="21">
                  <c:v>5.3030303030303032E-2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B5-49DC-B330-725964518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'10'!$L$6:$L$27</c:f>
              <c:numCache>
                <c:formatCode>_(* #,##0_);_(* \(#,##0\);_(* "-"_);_(@_)</c:formatCode>
                <c:ptCount val="22"/>
                <c:pt idx="4">
                  <c:v>799</c:v>
                </c:pt>
                <c:pt idx="6">
                  <c:v>5163</c:v>
                </c:pt>
                <c:pt idx="12">
                  <c:v>1216</c:v>
                </c:pt>
                <c:pt idx="14">
                  <c:v>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32-44FF-83C7-42F492949FCB}"/>
            </c:ext>
          </c:extLst>
        </c:ser>
        <c:ser>
          <c:idx val="1"/>
          <c:order val="1"/>
          <c:tx>
            <c:v>계획</c:v>
          </c:tx>
          <c:cat>
            <c:strRef>
              <c:f>'10'!$D$6:$D$27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'10'!$J$6:$J$27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6360</c:v>
                </c:pt>
                <c:pt idx="2">
                  <c:v>1559</c:v>
                </c:pt>
                <c:pt idx="3">
                  <c:v>3727</c:v>
                </c:pt>
                <c:pt idx="4">
                  <c:v>799</c:v>
                </c:pt>
                <c:pt idx="5">
                  <c:v>147660</c:v>
                </c:pt>
                <c:pt idx="6">
                  <c:v>5163</c:v>
                </c:pt>
                <c:pt idx="7">
                  <c:v>2342</c:v>
                </c:pt>
                <c:pt idx="8">
                  <c:v>1172</c:v>
                </c:pt>
                <c:pt idx="9">
                  <c:v>1152</c:v>
                </c:pt>
                <c:pt idx="10">
                  <c:v>9100</c:v>
                </c:pt>
                <c:pt idx="11">
                  <c:v>1225</c:v>
                </c:pt>
                <c:pt idx="12">
                  <c:v>1216</c:v>
                </c:pt>
                <c:pt idx="13">
                  <c:v>2848</c:v>
                </c:pt>
                <c:pt idx="14">
                  <c:v>1299</c:v>
                </c:pt>
                <c:pt idx="15">
                  <c:v>51264</c:v>
                </c:pt>
                <c:pt idx="16">
                  <c:v>22300</c:v>
                </c:pt>
                <c:pt idx="17">
                  <c:v>0</c:v>
                </c:pt>
                <c:pt idx="18">
                  <c:v>9744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32-44FF-83C7-42F492949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17%</c:v>
                </c:pt>
                <c:pt idx="5">
                  <c:v>0%</c:v>
                </c:pt>
                <c:pt idx="6">
                  <c:v>42%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29%</c:v>
                </c:pt>
                <c:pt idx="13">
                  <c:v>0%</c:v>
                </c:pt>
                <c:pt idx="14">
                  <c:v>29%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'10'!$AD$6:$AD$27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0.16666666666666666</c:v>
                </c:pt>
                <c:pt idx="5">
                  <c:v>0</c:v>
                </c:pt>
                <c:pt idx="6">
                  <c:v>0.41666666666666669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0.29166666666666669</c:v>
                </c:pt>
                <c:pt idx="13">
                  <c:v>0</c:v>
                </c:pt>
                <c:pt idx="14">
                  <c:v>0.29166666666666669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D-4C54-B160-2C8E780EE52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AD-4C54-B160-2C8E780EE52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'10'!$AE$6:$AE$27</c:f>
              <c:numCache>
                <c:formatCode>0%</c:formatCode>
                <c:ptCount val="22"/>
                <c:pt idx="0">
                  <c:v>5.3030303030303032E-2</c:v>
                </c:pt>
                <c:pt idx="1">
                  <c:v>5.3030303030303032E-2</c:v>
                </c:pt>
                <c:pt idx="2">
                  <c:v>5.3030303030303032E-2</c:v>
                </c:pt>
                <c:pt idx="3">
                  <c:v>5.3030303030303032E-2</c:v>
                </c:pt>
                <c:pt idx="4">
                  <c:v>5.3030303030303032E-2</c:v>
                </c:pt>
                <c:pt idx="5">
                  <c:v>5.3030303030303032E-2</c:v>
                </c:pt>
                <c:pt idx="6">
                  <c:v>5.3030303030303032E-2</c:v>
                </c:pt>
                <c:pt idx="7">
                  <c:v>5.3030303030303032E-2</c:v>
                </c:pt>
                <c:pt idx="8">
                  <c:v>5.3030303030303032E-2</c:v>
                </c:pt>
                <c:pt idx="9">
                  <c:v>5.3030303030303032E-2</c:v>
                </c:pt>
                <c:pt idx="10">
                  <c:v>5.3030303030303032E-2</c:v>
                </c:pt>
                <c:pt idx="11">
                  <c:v>5.3030303030303032E-2</c:v>
                </c:pt>
                <c:pt idx="12">
                  <c:v>5.3030303030303032E-2</c:v>
                </c:pt>
                <c:pt idx="13">
                  <c:v>5.3030303030303032E-2</c:v>
                </c:pt>
                <c:pt idx="14">
                  <c:v>5.3030303030303032E-2</c:v>
                </c:pt>
                <c:pt idx="15">
                  <c:v>5.3030303030303032E-2</c:v>
                </c:pt>
                <c:pt idx="16">
                  <c:v>5.3030303030303032E-2</c:v>
                </c:pt>
                <c:pt idx="17">
                  <c:v>5.3030303030303032E-2</c:v>
                </c:pt>
                <c:pt idx="18">
                  <c:v>5.3030303030303032E-2</c:v>
                </c:pt>
                <c:pt idx="19">
                  <c:v>5.3030303030303032E-2</c:v>
                </c:pt>
                <c:pt idx="20">
                  <c:v>5.3030303030303032E-2</c:v>
                </c:pt>
                <c:pt idx="21">
                  <c:v>5.3030303030303032E-2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AD-4C54-B160-2C8E780EE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F17-4ED6-A1B7-A6DC9738E1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17-4ED6-A1B7-A6DC9738E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F17-4ED6-A1B7-A6DC9738E1C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17-4ED6-A1B7-A6DC9738E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'11'!$L$6:$L$27</c:f>
              <c:numCache>
                <c:formatCode>_(* #,##0_);_(* \(#,##0\);_(* "-"_);_(@_)</c:formatCode>
                <c:ptCount val="22"/>
                <c:pt idx="1">
                  <c:v>5775</c:v>
                </c:pt>
                <c:pt idx="3">
                  <c:v>3282</c:v>
                </c:pt>
                <c:pt idx="4">
                  <c:v>2709</c:v>
                </c:pt>
                <c:pt idx="5">
                  <c:v>2109</c:v>
                </c:pt>
                <c:pt idx="6">
                  <c:v>9357</c:v>
                </c:pt>
                <c:pt idx="7">
                  <c:v>4452</c:v>
                </c:pt>
                <c:pt idx="9">
                  <c:v>11338</c:v>
                </c:pt>
                <c:pt idx="10">
                  <c:v>288176</c:v>
                </c:pt>
                <c:pt idx="12">
                  <c:v>4397</c:v>
                </c:pt>
                <c:pt idx="13">
                  <c:v>1154</c:v>
                </c:pt>
                <c:pt idx="14">
                  <c:v>4454</c:v>
                </c:pt>
                <c:pt idx="15">
                  <c:v>38700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4A-44C8-903B-A765F6337F9D}"/>
            </c:ext>
          </c:extLst>
        </c:ser>
        <c:ser>
          <c:idx val="1"/>
          <c:order val="1"/>
          <c:tx>
            <c:v>계획</c:v>
          </c:tx>
          <c:cat>
            <c:strRef>
              <c:f>'11'!$D$6:$D$27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5775</c:v>
                </c:pt>
                <c:pt idx="2">
                  <c:v>1559</c:v>
                </c:pt>
                <c:pt idx="3">
                  <c:v>3282</c:v>
                </c:pt>
                <c:pt idx="4">
                  <c:v>2709</c:v>
                </c:pt>
                <c:pt idx="5">
                  <c:v>2109</c:v>
                </c:pt>
                <c:pt idx="6">
                  <c:v>9357</c:v>
                </c:pt>
                <c:pt idx="7">
                  <c:v>4452</c:v>
                </c:pt>
                <c:pt idx="8">
                  <c:v>1172</c:v>
                </c:pt>
                <c:pt idx="9">
                  <c:v>11338</c:v>
                </c:pt>
                <c:pt idx="10">
                  <c:v>288176</c:v>
                </c:pt>
                <c:pt idx="11">
                  <c:v>1225</c:v>
                </c:pt>
                <c:pt idx="12">
                  <c:v>4397</c:v>
                </c:pt>
                <c:pt idx="13">
                  <c:v>1154</c:v>
                </c:pt>
                <c:pt idx="14">
                  <c:v>4454</c:v>
                </c:pt>
                <c:pt idx="15">
                  <c:v>38700</c:v>
                </c:pt>
                <c:pt idx="16">
                  <c:v>22300</c:v>
                </c:pt>
                <c:pt idx="17">
                  <c:v>0</c:v>
                </c:pt>
                <c:pt idx="18">
                  <c:v>9744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4A-44C8-903B-A765F6337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0%</c:v>
                </c:pt>
                <c:pt idx="3">
                  <c:v>71%</c:v>
                </c:pt>
                <c:pt idx="4">
                  <c:v>50%</c:v>
                </c:pt>
                <c:pt idx="5">
                  <c:v>42%</c:v>
                </c:pt>
                <c:pt idx="6">
                  <c:v>75%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92%</c:v>
                </c:pt>
                <c:pt idx="11">
                  <c:v>0%</c:v>
                </c:pt>
                <c:pt idx="12">
                  <c:v>88%</c:v>
                </c:pt>
                <c:pt idx="13">
                  <c:v>25%</c:v>
                </c:pt>
                <c:pt idx="14">
                  <c:v>88%</c:v>
                </c:pt>
                <c:pt idx="15">
                  <c:v>83%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0.70833333333333337</c:v>
                </c:pt>
                <c:pt idx="4">
                  <c:v>0.5</c:v>
                </c:pt>
                <c:pt idx="5">
                  <c:v>0.41666666666666669</c:v>
                </c:pt>
                <c:pt idx="6">
                  <c:v>0.75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0.91666666666666663</c:v>
                </c:pt>
                <c:pt idx="11">
                  <c:v>0</c:v>
                </c:pt>
                <c:pt idx="12">
                  <c:v>0.875</c:v>
                </c:pt>
                <c:pt idx="13">
                  <c:v>0.25</c:v>
                </c:pt>
                <c:pt idx="14">
                  <c:v>0.875</c:v>
                </c:pt>
                <c:pt idx="15">
                  <c:v>0.83333333333333337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0-42D6-8AC5-823F4C183DC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C0-42D6-8AC5-823F4C183DC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'11'!$AE$6:$AE$27</c:f>
              <c:numCache>
                <c:formatCode>0%</c:formatCode>
                <c:ptCount val="22"/>
                <c:pt idx="0">
                  <c:v>0.41477272727272735</c:v>
                </c:pt>
                <c:pt idx="1">
                  <c:v>0.41477272727272735</c:v>
                </c:pt>
                <c:pt idx="2">
                  <c:v>0.41477272727272735</c:v>
                </c:pt>
                <c:pt idx="3">
                  <c:v>0.41477272727272735</c:v>
                </c:pt>
                <c:pt idx="4">
                  <c:v>0.41477272727272735</c:v>
                </c:pt>
                <c:pt idx="5">
                  <c:v>0.41477272727272735</c:v>
                </c:pt>
                <c:pt idx="6">
                  <c:v>0.41477272727272735</c:v>
                </c:pt>
                <c:pt idx="7">
                  <c:v>0.41477272727272735</c:v>
                </c:pt>
                <c:pt idx="8">
                  <c:v>0.41477272727272735</c:v>
                </c:pt>
                <c:pt idx="9">
                  <c:v>0.41477272727272735</c:v>
                </c:pt>
                <c:pt idx="10">
                  <c:v>0.41477272727272735</c:v>
                </c:pt>
                <c:pt idx="11">
                  <c:v>0.41477272727272735</c:v>
                </c:pt>
                <c:pt idx="12">
                  <c:v>0.41477272727272735</c:v>
                </c:pt>
                <c:pt idx="13">
                  <c:v>0.41477272727272735</c:v>
                </c:pt>
                <c:pt idx="14">
                  <c:v>0.41477272727272735</c:v>
                </c:pt>
                <c:pt idx="15">
                  <c:v>0.41477272727272735</c:v>
                </c:pt>
                <c:pt idx="16">
                  <c:v>0.41477272727272735</c:v>
                </c:pt>
                <c:pt idx="17">
                  <c:v>0.41477272727272735</c:v>
                </c:pt>
                <c:pt idx="18">
                  <c:v>0.41477272727272735</c:v>
                </c:pt>
                <c:pt idx="19">
                  <c:v>0.41477272727272735</c:v>
                </c:pt>
                <c:pt idx="20">
                  <c:v>0.41477272727272735</c:v>
                </c:pt>
                <c:pt idx="21">
                  <c:v>0.41477272727272735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0-42D6-8AC5-823F4C183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'11'!$L$6:$L$27</c:f>
              <c:numCache>
                <c:formatCode>_(* #,##0_);_(* \(#,##0\);_(* "-"_);_(@_)</c:formatCode>
                <c:ptCount val="22"/>
                <c:pt idx="1">
                  <c:v>5775</c:v>
                </c:pt>
                <c:pt idx="3">
                  <c:v>3282</c:v>
                </c:pt>
                <c:pt idx="4">
                  <c:v>2709</c:v>
                </c:pt>
                <c:pt idx="5">
                  <c:v>2109</c:v>
                </c:pt>
                <c:pt idx="6">
                  <c:v>9357</c:v>
                </c:pt>
                <c:pt idx="7">
                  <c:v>4452</c:v>
                </c:pt>
                <c:pt idx="9">
                  <c:v>11338</c:v>
                </c:pt>
                <c:pt idx="10">
                  <c:v>288176</c:v>
                </c:pt>
                <c:pt idx="12">
                  <c:v>4397</c:v>
                </c:pt>
                <c:pt idx="13">
                  <c:v>1154</c:v>
                </c:pt>
                <c:pt idx="14">
                  <c:v>4454</c:v>
                </c:pt>
                <c:pt idx="15">
                  <c:v>38700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57-44CF-B387-6609319609CA}"/>
            </c:ext>
          </c:extLst>
        </c:ser>
        <c:ser>
          <c:idx val="1"/>
          <c:order val="1"/>
          <c:tx>
            <c:v>계획</c:v>
          </c:tx>
          <c:cat>
            <c:strRef>
              <c:f>'11'!$D$6:$D$27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'11'!$J$6:$J$27</c:f>
              <c:numCache>
                <c:formatCode>_(* #,##0_);_(* \(#,##0\);_(* "-"_);_(@_)</c:formatCode>
                <c:ptCount val="22"/>
                <c:pt idx="0">
                  <c:v>10312</c:v>
                </c:pt>
                <c:pt idx="1">
                  <c:v>5775</c:v>
                </c:pt>
                <c:pt idx="2">
                  <c:v>1559</c:v>
                </c:pt>
                <c:pt idx="3">
                  <c:v>3282</c:v>
                </c:pt>
                <c:pt idx="4">
                  <c:v>2709</c:v>
                </c:pt>
                <c:pt idx="5">
                  <c:v>2109</c:v>
                </c:pt>
                <c:pt idx="6">
                  <c:v>9357</c:v>
                </c:pt>
                <c:pt idx="7">
                  <c:v>4452</c:v>
                </c:pt>
                <c:pt idx="8">
                  <c:v>1172</c:v>
                </c:pt>
                <c:pt idx="9">
                  <c:v>11338</c:v>
                </c:pt>
                <c:pt idx="10">
                  <c:v>288176</c:v>
                </c:pt>
                <c:pt idx="11">
                  <c:v>1225</c:v>
                </c:pt>
                <c:pt idx="12">
                  <c:v>4397</c:v>
                </c:pt>
                <c:pt idx="13">
                  <c:v>1154</c:v>
                </c:pt>
                <c:pt idx="14">
                  <c:v>4454</c:v>
                </c:pt>
                <c:pt idx="15">
                  <c:v>38700</c:v>
                </c:pt>
                <c:pt idx="16">
                  <c:v>22300</c:v>
                </c:pt>
                <c:pt idx="17">
                  <c:v>0</c:v>
                </c:pt>
                <c:pt idx="18">
                  <c:v>9744</c:v>
                </c:pt>
                <c:pt idx="19">
                  <c:v>26548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57-44CF-B387-660931960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0%</c:v>
                </c:pt>
                <c:pt idx="3">
                  <c:v>71%</c:v>
                </c:pt>
                <c:pt idx="4">
                  <c:v>50%</c:v>
                </c:pt>
                <c:pt idx="5">
                  <c:v>42%</c:v>
                </c:pt>
                <c:pt idx="6">
                  <c:v>75%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92%</c:v>
                </c:pt>
                <c:pt idx="11">
                  <c:v>0%</c:v>
                </c:pt>
                <c:pt idx="12">
                  <c:v>88%</c:v>
                </c:pt>
                <c:pt idx="13">
                  <c:v>25%</c:v>
                </c:pt>
                <c:pt idx="14">
                  <c:v>88%</c:v>
                </c:pt>
                <c:pt idx="15">
                  <c:v>83%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0.70833333333333337</c:v>
                </c:pt>
                <c:pt idx="4">
                  <c:v>0.5</c:v>
                </c:pt>
                <c:pt idx="5">
                  <c:v>0.41666666666666669</c:v>
                </c:pt>
                <c:pt idx="6">
                  <c:v>0.75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0.91666666666666663</c:v>
                </c:pt>
                <c:pt idx="11">
                  <c:v>0</c:v>
                </c:pt>
                <c:pt idx="12">
                  <c:v>0.875</c:v>
                </c:pt>
                <c:pt idx="13">
                  <c:v>0.25</c:v>
                </c:pt>
                <c:pt idx="14">
                  <c:v>0.875</c:v>
                </c:pt>
                <c:pt idx="15">
                  <c:v>0.83333333333333337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0D-4413-820C-51251C84BF4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0D-4413-820C-51251C84BF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COVER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'11'!$AE$6:$AE$27</c:f>
              <c:numCache>
                <c:formatCode>0%</c:formatCode>
                <c:ptCount val="22"/>
                <c:pt idx="0">
                  <c:v>0.41477272727272735</c:v>
                </c:pt>
                <c:pt idx="1">
                  <c:v>0.41477272727272735</c:v>
                </c:pt>
                <c:pt idx="2">
                  <c:v>0.41477272727272735</c:v>
                </c:pt>
                <c:pt idx="3">
                  <c:v>0.41477272727272735</c:v>
                </c:pt>
                <c:pt idx="4">
                  <c:v>0.41477272727272735</c:v>
                </c:pt>
                <c:pt idx="5">
                  <c:v>0.41477272727272735</c:v>
                </c:pt>
                <c:pt idx="6">
                  <c:v>0.41477272727272735</c:v>
                </c:pt>
                <c:pt idx="7">
                  <c:v>0.41477272727272735</c:v>
                </c:pt>
                <c:pt idx="8">
                  <c:v>0.41477272727272735</c:v>
                </c:pt>
                <c:pt idx="9">
                  <c:v>0.41477272727272735</c:v>
                </c:pt>
                <c:pt idx="10">
                  <c:v>0.41477272727272735</c:v>
                </c:pt>
                <c:pt idx="11">
                  <c:v>0.41477272727272735</c:v>
                </c:pt>
                <c:pt idx="12">
                  <c:v>0.41477272727272735</c:v>
                </c:pt>
                <c:pt idx="13">
                  <c:v>0.41477272727272735</c:v>
                </c:pt>
                <c:pt idx="14">
                  <c:v>0.41477272727272735</c:v>
                </c:pt>
                <c:pt idx="15">
                  <c:v>0.41477272727272735</c:v>
                </c:pt>
                <c:pt idx="16">
                  <c:v>0.41477272727272735</c:v>
                </c:pt>
                <c:pt idx="17">
                  <c:v>0.41477272727272735</c:v>
                </c:pt>
                <c:pt idx="18">
                  <c:v>0.41477272727272735</c:v>
                </c:pt>
                <c:pt idx="19">
                  <c:v>0.41477272727272735</c:v>
                </c:pt>
                <c:pt idx="20">
                  <c:v>0.41477272727272735</c:v>
                </c:pt>
                <c:pt idx="21">
                  <c:v>0.41477272727272735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0D-4413-820C-51251C84B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0F5-4C36-88E7-BEB7E5F5F1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F5-4C36-88E7-BEB7E5F5F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0F5-4C36-88E7-BEB7E5F5F1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5-4C36-88E7-BEB7E5F5F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'12'!$L$6:$L$27</c:f>
              <c:numCache>
                <c:formatCode>_(* #,##0_);_(* \(#,##0\);_(* "-"_);_(@_)</c:formatCode>
                <c:ptCount val="22"/>
                <c:pt idx="0">
                  <c:v>1880</c:v>
                </c:pt>
                <c:pt idx="1">
                  <c:v>6107</c:v>
                </c:pt>
                <c:pt idx="3">
                  <c:v>5741</c:v>
                </c:pt>
                <c:pt idx="4">
                  <c:v>2266</c:v>
                </c:pt>
                <c:pt idx="6">
                  <c:v>3965</c:v>
                </c:pt>
                <c:pt idx="7">
                  <c:v>3533</c:v>
                </c:pt>
                <c:pt idx="9">
                  <c:v>6210</c:v>
                </c:pt>
                <c:pt idx="10">
                  <c:v>275250</c:v>
                </c:pt>
                <c:pt idx="12">
                  <c:v>3360</c:v>
                </c:pt>
                <c:pt idx="13">
                  <c:v>2019</c:v>
                </c:pt>
                <c:pt idx="14">
                  <c:v>5587</c:v>
                </c:pt>
                <c:pt idx="15">
                  <c:v>57172</c:v>
                </c:pt>
                <c:pt idx="18">
                  <c:v>18372</c:v>
                </c:pt>
                <c:pt idx="19">
                  <c:v>16448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FD-435D-ACE3-78E006E420B2}"/>
            </c:ext>
          </c:extLst>
        </c:ser>
        <c:ser>
          <c:idx val="1"/>
          <c:order val="1"/>
          <c:tx>
            <c:v>계획</c:v>
          </c:tx>
          <c:cat>
            <c:strRef>
              <c:f>'12'!$D$6:$D$27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'12'!$J$6:$J$27</c:f>
              <c:numCache>
                <c:formatCode>_(* #,##0_);_(* \(#,##0\);_(* "-"_);_(@_)</c:formatCode>
                <c:ptCount val="22"/>
                <c:pt idx="0">
                  <c:v>1880</c:v>
                </c:pt>
                <c:pt idx="1">
                  <c:v>6107</c:v>
                </c:pt>
                <c:pt idx="2">
                  <c:v>1559</c:v>
                </c:pt>
                <c:pt idx="3">
                  <c:v>5741</c:v>
                </c:pt>
                <c:pt idx="4">
                  <c:v>2266</c:v>
                </c:pt>
                <c:pt idx="5">
                  <c:v>2109</c:v>
                </c:pt>
                <c:pt idx="6">
                  <c:v>3965</c:v>
                </c:pt>
                <c:pt idx="7">
                  <c:v>3533</c:v>
                </c:pt>
                <c:pt idx="8">
                  <c:v>1172</c:v>
                </c:pt>
                <c:pt idx="9">
                  <c:v>6210</c:v>
                </c:pt>
                <c:pt idx="10">
                  <c:v>275250</c:v>
                </c:pt>
                <c:pt idx="11">
                  <c:v>1225</c:v>
                </c:pt>
                <c:pt idx="12">
                  <c:v>3360</c:v>
                </c:pt>
                <c:pt idx="13">
                  <c:v>2019</c:v>
                </c:pt>
                <c:pt idx="14">
                  <c:v>5587</c:v>
                </c:pt>
                <c:pt idx="15">
                  <c:v>57172</c:v>
                </c:pt>
                <c:pt idx="16">
                  <c:v>22300</c:v>
                </c:pt>
                <c:pt idx="17">
                  <c:v>0</c:v>
                </c:pt>
                <c:pt idx="18">
                  <c:v>18372</c:v>
                </c:pt>
                <c:pt idx="19">
                  <c:v>16448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FD-435D-ACE3-78E006E42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'12'!$AD$6:$AD$27</c:f>
              <c:strCache>
                <c:ptCount val="22"/>
                <c:pt idx="0">
                  <c:v>21%</c:v>
                </c:pt>
                <c:pt idx="1">
                  <c:v>100%</c:v>
                </c:pt>
                <c:pt idx="2">
                  <c:v>0%</c:v>
                </c:pt>
                <c:pt idx="3">
                  <c:v>100%</c:v>
                </c:pt>
                <c:pt idx="4">
                  <c:v>50%</c:v>
                </c:pt>
                <c:pt idx="5">
                  <c:v>0%</c:v>
                </c:pt>
                <c:pt idx="6">
                  <c:v>75%</c:v>
                </c:pt>
                <c:pt idx="7">
                  <c:v>83%</c:v>
                </c:pt>
                <c:pt idx="8">
                  <c:v>0%</c:v>
                </c:pt>
                <c:pt idx="9">
                  <c:v>67%</c:v>
                </c:pt>
                <c:pt idx="10">
                  <c:v>100%</c:v>
                </c:pt>
                <c:pt idx="11">
                  <c:v>0%</c:v>
                </c:pt>
                <c:pt idx="12">
                  <c:v>71%</c:v>
                </c:pt>
                <c:pt idx="13">
                  <c:v>46%</c:v>
                </c:pt>
                <c:pt idx="14">
                  <c:v>100%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71%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'12'!$AD$6:$AD$27</c:f>
              <c:numCache>
                <c:formatCode>0%</c:formatCode>
                <c:ptCount val="22"/>
                <c:pt idx="0">
                  <c:v>0.20833333333333334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  <c:pt idx="6">
                  <c:v>0.75</c:v>
                </c:pt>
                <c:pt idx="7">
                  <c:v>0.83333333333333337</c:v>
                </c:pt>
                <c:pt idx="8">
                  <c:v>0</c:v>
                </c:pt>
                <c:pt idx="9">
                  <c:v>0.66666666666666663</c:v>
                </c:pt>
                <c:pt idx="10">
                  <c:v>1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0.45833333333333331</c:v>
                </c:pt>
                <c:pt idx="14">
                  <c:v>1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0.70833333333333337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F-443B-B996-C45541E85E9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7F-443B-B996-C45541E85E9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'12'!$AE$6:$AE$27</c:f>
              <c:numCache>
                <c:formatCode>0%</c:formatCode>
                <c:ptCount val="22"/>
                <c:pt idx="0">
                  <c:v>0.48863636363636365</c:v>
                </c:pt>
                <c:pt idx="1">
                  <c:v>0.48863636363636365</c:v>
                </c:pt>
                <c:pt idx="2">
                  <c:v>0.48863636363636365</c:v>
                </c:pt>
                <c:pt idx="3">
                  <c:v>0.48863636363636365</c:v>
                </c:pt>
                <c:pt idx="4">
                  <c:v>0.48863636363636365</c:v>
                </c:pt>
                <c:pt idx="5">
                  <c:v>0.48863636363636365</c:v>
                </c:pt>
                <c:pt idx="6">
                  <c:v>0.48863636363636365</c:v>
                </c:pt>
                <c:pt idx="7">
                  <c:v>0.48863636363636365</c:v>
                </c:pt>
                <c:pt idx="8">
                  <c:v>0.48863636363636365</c:v>
                </c:pt>
                <c:pt idx="9">
                  <c:v>0.48863636363636365</c:v>
                </c:pt>
                <c:pt idx="10">
                  <c:v>0.48863636363636365</c:v>
                </c:pt>
                <c:pt idx="11">
                  <c:v>0.48863636363636365</c:v>
                </c:pt>
                <c:pt idx="12">
                  <c:v>0.48863636363636365</c:v>
                </c:pt>
                <c:pt idx="13">
                  <c:v>0.48863636363636365</c:v>
                </c:pt>
                <c:pt idx="14">
                  <c:v>0.48863636363636365</c:v>
                </c:pt>
                <c:pt idx="15">
                  <c:v>0.48863636363636365</c:v>
                </c:pt>
                <c:pt idx="16">
                  <c:v>0.48863636363636365</c:v>
                </c:pt>
                <c:pt idx="17">
                  <c:v>0.48863636363636365</c:v>
                </c:pt>
                <c:pt idx="18">
                  <c:v>0.48863636363636365</c:v>
                </c:pt>
                <c:pt idx="19">
                  <c:v>0.48863636363636365</c:v>
                </c:pt>
                <c:pt idx="20">
                  <c:v>0.48863636363636365</c:v>
                </c:pt>
                <c:pt idx="21">
                  <c:v>0.48863636363636365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7F-443B-B996-C45541E85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'12'!$L$6:$L$27</c:f>
              <c:numCache>
                <c:formatCode>_(* #,##0_);_(* \(#,##0\);_(* "-"_);_(@_)</c:formatCode>
                <c:ptCount val="22"/>
                <c:pt idx="0">
                  <c:v>1880</c:v>
                </c:pt>
                <c:pt idx="1">
                  <c:v>6107</c:v>
                </c:pt>
                <c:pt idx="3">
                  <c:v>5741</c:v>
                </c:pt>
                <c:pt idx="4">
                  <c:v>2266</c:v>
                </c:pt>
                <c:pt idx="6">
                  <c:v>3965</c:v>
                </c:pt>
                <c:pt idx="7">
                  <c:v>3533</c:v>
                </c:pt>
                <c:pt idx="9">
                  <c:v>6210</c:v>
                </c:pt>
                <c:pt idx="10">
                  <c:v>275250</c:v>
                </c:pt>
                <c:pt idx="12">
                  <c:v>3360</c:v>
                </c:pt>
                <c:pt idx="13">
                  <c:v>2019</c:v>
                </c:pt>
                <c:pt idx="14">
                  <c:v>5587</c:v>
                </c:pt>
                <c:pt idx="15">
                  <c:v>57172</c:v>
                </c:pt>
                <c:pt idx="18">
                  <c:v>18372</c:v>
                </c:pt>
                <c:pt idx="19">
                  <c:v>16448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8-41EA-B938-1EDC9824D6E9}"/>
            </c:ext>
          </c:extLst>
        </c:ser>
        <c:ser>
          <c:idx val="1"/>
          <c:order val="1"/>
          <c:tx>
            <c:v>계획</c:v>
          </c:tx>
          <c:cat>
            <c:strRef>
              <c:f>'12'!$D$6:$D$27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'12'!$J$6:$J$27</c:f>
              <c:numCache>
                <c:formatCode>_(* #,##0_);_(* \(#,##0\);_(* "-"_);_(@_)</c:formatCode>
                <c:ptCount val="22"/>
                <c:pt idx="0">
                  <c:v>1880</c:v>
                </c:pt>
                <c:pt idx="1">
                  <c:v>6107</c:v>
                </c:pt>
                <c:pt idx="2">
                  <c:v>1559</c:v>
                </c:pt>
                <c:pt idx="3">
                  <c:v>5741</c:v>
                </c:pt>
                <c:pt idx="4">
                  <c:v>2266</c:v>
                </c:pt>
                <c:pt idx="5">
                  <c:v>2109</c:v>
                </c:pt>
                <c:pt idx="6">
                  <c:v>3965</c:v>
                </c:pt>
                <c:pt idx="7">
                  <c:v>3533</c:v>
                </c:pt>
                <c:pt idx="8">
                  <c:v>1172</c:v>
                </c:pt>
                <c:pt idx="9">
                  <c:v>6210</c:v>
                </c:pt>
                <c:pt idx="10">
                  <c:v>275250</c:v>
                </c:pt>
                <c:pt idx="11">
                  <c:v>1225</c:v>
                </c:pt>
                <c:pt idx="12">
                  <c:v>3360</c:v>
                </c:pt>
                <c:pt idx="13">
                  <c:v>2019</c:v>
                </c:pt>
                <c:pt idx="14">
                  <c:v>5587</c:v>
                </c:pt>
                <c:pt idx="15">
                  <c:v>57172</c:v>
                </c:pt>
                <c:pt idx="16">
                  <c:v>22300</c:v>
                </c:pt>
                <c:pt idx="17">
                  <c:v>0</c:v>
                </c:pt>
                <c:pt idx="18">
                  <c:v>18372</c:v>
                </c:pt>
                <c:pt idx="19">
                  <c:v>16448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08-41EA-B938-1EDC9824D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'12'!$AD$6:$AD$27</c:f>
              <c:strCache>
                <c:ptCount val="22"/>
                <c:pt idx="0">
                  <c:v>21%</c:v>
                </c:pt>
                <c:pt idx="1">
                  <c:v>100%</c:v>
                </c:pt>
                <c:pt idx="2">
                  <c:v>0%</c:v>
                </c:pt>
                <c:pt idx="3">
                  <c:v>100%</c:v>
                </c:pt>
                <c:pt idx="4">
                  <c:v>50%</c:v>
                </c:pt>
                <c:pt idx="5">
                  <c:v>0%</c:v>
                </c:pt>
                <c:pt idx="6">
                  <c:v>75%</c:v>
                </c:pt>
                <c:pt idx="7">
                  <c:v>83%</c:v>
                </c:pt>
                <c:pt idx="8">
                  <c:v>0%</c:v>
                </c:pt>
                <c:pt idx="9">
                  <c:v>67%</c:v>
                </c:pt>
                <c:pt idx="10">
                  <c:v>100%</c:v>
                </c:pt>
                <c:pt idx="11">
                  <c:v>0%</c:v>
                </c:pt>
                <c:pt idx="12">
                  <c:v>71%</c:v>
                </c:pt>
                <c:pt idx="13">
                  <c:v>46%</c:v>
                </c:pt>
                <c:pt idx="14">
                  <c:v>100%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71%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'12'!$AD$6:$AD$27</c:f>
              <c:numCache>
                <c:formatCode>0%</c:formatCode>
                <c:ptCount val="22"/>
                <c:pt idx="0">
                  <c:v>0.20833333333333334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  <c:pt idx="6">
                  <c:v>0.75</c:v>
                </c:pt>
                <c:pt idx="7">
                  <c:v>0.83333333333333337</c:v>
                </c:pt>
                <c:pt idx="8">
                  <c:v>0</c:v>
                </c:pt>
                <c:pt idx="9">
                  <c:v>0.66666666666666663</c:v>
                </c:pt>
                <c:pt idx="10">
                  <c:v>1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0.45833333333333331</c:v>
                </c:pt>
                <c:pt idx="14">
                  <c:v>1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0.70833333333333337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AD-456F-A6B4-17A131E55A7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AD-456F-A6B4-17A131E55A7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1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'12'!$AE$6:$AE$27</c:f>
              <c:numCache>
                <c:formatCode>0%</c:formatCode>
                <c:ptCount val="22"/>
                <c:pt idx="0">
                  <c:v>0.48863636363636365</c:v>
                </c:pt>
                <c:pt idx="1">
                  <c:v>0.48863636363636365</c:v>
                </c:pt>
                <c:pt idx="2">
                  <c:v>0.48863636363636365</c:v>
                </c:pt>
                <c:pt idx="3">
                  <c:v>0.48863636363636365</c:v>
                </c:pt>
                <c:pt idx="4">
                  <c:v>0.48863636363636365</c:v>
                </c:pt>
                <c:pt idx="5">
                  <c:v>0.48863636363636365</c:v>
                </c:pt>
                <c:pt idx="6">
                  <c:v>0.48863636363636365</c:v>
                </c:pt>
                <c:pt idx="7">
                  <c:v>0.48863636363636365</c:v>
                </c:pt>
                <c:pt idx="8">
                  <c:v>0.48863636363636365</c:v>
                </c:pt>
                <c:pt idx="9">
                  <c:v>0.48863636363636365</c:v>
                </c:pt>
                <c:pt idx="10">
                  <c:v>0.48863636363636365</c:v>
                </c:pt>
                <c:pt idx="11">
                  <c:v>0.48863636363636365</c:v>
                </c:pt>
                <c:pt idx="12">
                  <c:v>0.48863636363636365</c:v>
                </c:pt>
                <c:pt idx="13">
                  <c:v>0.48863636363636365</c:v>
                </c:pt>
                <c:pt idx="14">
                  <c:v>0.48863636363636365</c:v>
                </c:pt>
                <c:pt idx="15">
                  <c:v>0.48863636363636365</c:v>
                </c:pt>
                <c:pt idx="16">
                  <c:v>0.48863636363636365</c:v>
                </c:pt>
                <c:pt idx="17">
                  <c:v>0.48863636363636365</c:v>
                </c:pt>
                <c:pt idx="18">
                  <c:v>0.48863636363636365</c:v>
                </c:pt>
                <c:pt idx="19">
                  <c:v>0.48863636363636365</c:v>
                </c:pt>
                <c:pt idx="20">
                  <c:v>0.48863636363636365</c:v>
                </c:pt>
                <c:pt idx="21">
                  <c:v>0.48863636363636365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AD-456F-A6B4-17A131E55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B91-43D2-A6C5-739C6D444F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91-43D2-A6C5-739C6D444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B91-43D2-A6C5-739C6D444F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91-43D2-A6C5-739C6D444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'13'!$D$6:$D$28</c:f>
              <c:strCache>
                <c:ptCount val="22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7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'13'!$L$6:$L$28</c:f>
              <c:numCache>
                <c:formatCode>_(* #,##0_);_(* \(#,##0\);_(* "-"_);_(@_)</c:formatCode>
                <c:ptCount val="23"/>
                <c:pt idx="1">
                  <c:v>6201</c:v>
                </c:pt>
                <c:pt idx="3">
                  <c:v>5275</c:v>
                </c:pt>
                <c:pt idx="4">
                  <c:v>5086</c:v>
                </c:pt>
                <c:pt idx="6">
                  <c:v>5033</c:v>
                </c:pt>
                <c:pt idx="7">
                  <c:v>2343</c:v>
                </c:pt>
                <c:pt idx="8">
                  <c:v>250</c:v>
                </c:pt>
                <c:pt idx="9">
                  <c:v>12150</c:v>
                </c:pt>
                <c:pt idx="11">
                  <c:v>20644</c:v>
                </c:pt>
                <c:pt idx="12">
                  <c:v>5962</c:v>
                </c:pt>
                <c:pt idx="13">
                  <c:v>5645</c:v>
                </c:pt>
                <c:pt idx="14">
                  <c:v>1645</c:v>
                </c:pt>
                <c:pt idx="15">
                  <c:v>3150</c:v>
                </c:pt>
                <c:pt idx="16">
                  <c:v>63944</c:v>
                </c:pt>
                <c:pt idx="19">
                  <c:v>21786</c:v>
                </c:pt>
                <c:pt idx="20">
                  <c:v>27472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2-438D-800D-2C17DB2EF0F1}"/>
            </c:ext>
          </c:extLst>
        </c:ser>
        <c:ser>
          <c:idx val="1"/>
          <c:order val="1"/>
          <c:tx>
            <c:v>계획</c:v>
          </c:tx>
          <c:cat>
            <c:strRef>
              <c:f>'13'!$D$6:$D$28</c:f>
              <c:strCache>
                <c:ptCount val="22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7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'13'!$J$6:$J$28</c:f>
              <c:numCache>
                <c:formatCode>_(* #,##0_);_(* \(#,##0\);_(* "-"_);_(@_)</c:formatCode>
                <c:ptCount val="23"/>
                <c:pt idx="0">
                  <c:v>1880</c:v>
                </c:pt>
                <c:pt idx="1">
                  <c:v>6201</c:v>
                </c:pt>
                <c:pt idx="2">
                  <c:v>1559</c:v>
                </c:pt>
                <c:pt idx="3">
                  <c:v>5275</c:v>
                </c:pt>
                <c:pt idx="4">
                  <c:v>5086</c:v>
                </c:pt>
                <c:pt idx="5">
                  <c:v>2109</c:v>
                </c:pt>
                <c:pt idx="6">
                  <c:v>5033</c:v>
                </c:pt>
                <c:pt idx="7">
                  <c:v>2343</c:v>
                </c:pt>
                <c:pt idx="8">
                  <c:v>250</c:v>
                </c:pt>
                <c:pt idx="9">
                  <c:v>12150</c:v>
                </c:pt>
                <c:pt idx="10">
                  <c:v>275250</c:v>
                </c:pt>
                <c:pt idx="11">
                  <c:v>20644</c:v>
                </c:pt>
                <c:pt idx="12">
                  <c:v>5962</c:v>
                </c:pt>
                <c:pt idx="13">
                  <c:v>5645</c:v>
                </c:pt>
                <c:pt idx="14">
                  <c:v>1645</c:v>
                </c:pt>
                <c:pt idx="15">
                  <c:v>3150</c:v>
                </c:pt>
                <c:pt idx="16">
                  <c:v>63944</c:v>
                </c:pt>
                <c:pt idx="17">
                  <c:v>22300</c:v>
                </c:pt>
                <c:pt idx="18">
                  <c:v>0</c:v>
                </c:pt>
                <c:pt idx="19">
                  <c:v>21786</c:v>
                </c:pt>
                <c:pt idx="20">
                  <c:v>27472</c:v>
                </c:pt>
                <c:pt idx="21">
                  <c:v>26944</c:v>
                </c:pt>
                <c:pt idx="22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2-438D-800D-2C17DB2EF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'13'!$AD$6:$AD$28</c:f>
              <c:strCache>
                <c:ptCount val="23"/>
                <c:pt idx="0">
                  <c:v>0%</c:v>
                </c:pt>
                <c:pt idx="1">
                  <c:v>100%</c:v>
                </c:pt>
                <c:pt idx="2">
                  <c:v>0%</c:v>
                </c:pt>
                <c:pt idx="3">
                  <c:v>100%</c:v>
                </c:pt>
                <c:pt idx="4">
                  <c:v>96%</c:v>
                </c:pt>
                <c:pt idx="5">
                  <c:v>0%</c:v>
                </c:pt>
                <c:pt idx="6">
                  <c:v>100%</c:v>
                </c:pt>
                <c:pt idx="7">
                  <c:v>54%</c:v>
                </c:pt>
                <c:pt idx="8">
                  <c:v>25%</c:v>
                </c:pt>
                <c:pt idx="9">
                  <c:v>100%</c:v>
                </c:pt>
                <c:pt idx="10">
                  <c:v>0%</c:v>
                </c:pt>
                <c:pt idx="11">
                  <c:v>92%</c:v>
                </c:pt>
                <c:pt idx="12">
                  <c:v>100%</c:v>
                </c:pt>
                <c:pt idx="13">
                  <c:v>100%</c:v>
                </c:pt>
                <c:pt idx="14">
                  <c:v>33%</c:v>
                </c:pt>
                <c:pt idx="15">
                  <c:v>38%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100%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'13'!$D$6:$D$28</c:f>
              <c:strCache>
                <c:ptCount val="22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7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'13'!$AD$6:$AD$28</c:f>
              <c:numCache>
                <c:formatCode>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0.95833333333333337</c:v>
                </c:pt>
                <c:pt idx="5">
                  <c:v>0</c:v>
                </c:pt>
                <c:pt idx="6">
                  <c:v>1</c:v>
                </c:pt>
                <c:pt idx="7">
                  <c:v>0.54166666666666663</c:v>
                </c:pt>
                <c:pt idx="8">
                  <c:v>0.25</c:v>
                </c:pt>
                <c:pt idx="9">
                  <c:v>1</c:v>
                </c:pt>
                <c:pt idx="10">
                  <c:v>0</c:v>
                </c:pt>
                <c:pt idx="11">
                  <c:v>0.91666666666666663</c:v>
                </c:pt>
                <c:pt idx="12">
                  <c:v>1</c:v>
                </c:pt>
                <c:pt idx="13">
                  <c:v>1</c:v>
                </c:pt>
                <c:pt idx="14">
                  <c:v>0.33333333333333331</c:v>
                </c:pt>
                <c:pt idx="15">
                  <c:v>0.375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9-4098-9221-D6B7C2A6CB4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09-4098-9221-D6B7C2A6CB4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'13'!$D$6:$D$28</c:f>
              <c:strCache>
                <c:ptCount val="22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7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'13'!$AE$6:$AE$28</c:f>
              <c:numCache>
                <c:formatCode>0%</c:formatCode>
                <c:ptCount val="23"/>
                <c:pt idx="0">
                  <c:v>0.53804347826086962</c:v>
                </c:pt>
                <c:pt idx="1">
                  <c:v>0.53804347826086962</c:v>
                </c:pt>
                <c:pt idx="2">
                  <c:v>0.53804347826086962</c:v>
                </c:pt>
                <c:pt idx="3">
                  <c:v>0.53804347826086962</c:v>
                </c:pt>
                <c:pt idx="4">
                  <c:v>0.53804347826086962</c:v>
                </c:pt>
                <c:pt idx="5">
                  <c:v>0.53804347826086962</c:v>
                </c:pt>
                <c:pt idx="6">
                  <c:v>0.53804347826086962</c:v>
                </c:pt>
                <c:pt idx="7">
                  <c:v>0.53804347826086962</c:v>
                </c:pt>
                <c:pt idx="8">
                  <c:v>0.53804347826086962</c:v>
                </c:pt>
                <c:pt idx="9">
                  <c:v>0.53804347826086962</c:v>
                </c:pt>
                <c:pt idx="10">
                  <c:v>0.53804347826086962</c:v>
                </c:pt>
                <c:pt idx="11">
                  <c:v>0.53804347826086962</c:v>
                </c:pt>
                <c:pt idx="12">
                  <c:v>0.53804347826086962</c:v>
                </c:pt>
                <c:pt idx="13">
                  <c:v>0.53804347826086962</c:v>
                </c:pt>
                <c:pt idx="14">
                  <c:v>0.53804347826086962</c:v>
                </c:pt>
                <c:pt idx="15">
                  <c:v>0.53804347826086962</c:v>
                </c:pt>
                <c:pt idx="16">
                  <c:v>0.53804347826086962</c:v>
                </c:pt>
                <c:pt idx="17">
                  <c:v>0.53804347826086962</c:v>
                </c:pt>
                <c:pt idx="18">
                  <c:v>0.53804347826086962</c:v>
                </c:pt>
                <c:pt idx="19">
                  <c:v>0.53804347826086962</c:v>
                </c:pt>
                <c:pt idx="20">
                  <c:v>0.53804347826086962</c:v>
                </c:pt>
                <c:pt idx="21">
                  <c:v>0.53804347826086962</c:v>
                </c:pt>
                <c:pt idx="22">
                  <c:v>0.53804347826086962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09-4098-9221-D6B7C2A6C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'13'!$D$6:$D$28</c:f>
              <c:strCache>
                <c:ptCount val="22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7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'13'!$L$6:$L$28</c:f>
              <c:numCache>
                <c:formatCode>_(* #,##0_);_(* \(#,##0\);_(* "-"_);_(@_)</c:formatCode>
                <c:ptCount val="23"/>
                <c:pt idx="1">
                  <c:v>6201</c:v>
                </c:pt>
                <c:pt idx="3">
                  <c:v>5275</c:v>
                </c:pt>
                <c:pt idx="4">
                  <c:v>5086</c:v>
                </c:pt>
                <c:pt idx="6">
                  <c:v>5033</c:v>
                </c:pt>
                <c:pt idx="7">
                  <c:v>2343</c:v>
                </c:pt>
                <c:pt idx="8">
                  <c:v>250</c:v>
                </c:pt>
                <c:pt idx="9">
                  <c:v>12150</c:v>
                </c:pt>
                <c:pt idx="11">
                  <c:v>20644</c:v>
                </c:pt>
                <c:pt idx="12">
                  <c:v>5962</c:v>
                </c:pt>
                <c:pt idx="13">
                  <c:v>5645</c:v>
                </c:pt>
                <c:pt idx="14">
                  <c:v>1645</c:v>
                </c:pt>
                <c:pt idx="15">
                  <c:v>3150</c:v>
                </c:pt>
                <c:pt idx="16">
                  <c:v>63944</c:v>
                </c:pt>
                <c:pt idx="19">
                  <c:v>21786</c:v>
                </c:pt>
                <c:pt idx="20">
                  <c:v>27472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2-40D3-8D30-5D06E18913E6}"/>
            </c:ext>
          </c:extLst>
        </c:ser>
        <c:ser>
          <c:idx val="1"/>
          <c:order val="1"/>
          <c:tx>
            <c:v>계획</c:v>
          </c:tx>
          <c:cat>
            <c:strRef>
              <c:f>'13'!$D$6:$D$28</c:f>
              <c:strCache>
                <c:ptCount val="22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7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'13'!$J$6:$J$28</c:f>
              <c:numCache>
                <c:formatCode>_(* #,##0_);_(* \(#,##0\);_(* "-"_);_(@_)</c:formatCode>
                <c:ptCount val="23"/>
                <c:pt idx="0">
                  <c:v>1880</c:v>
                </c:pt>
                <c:pt idx="1">
                  <c:v>6201</c:v>
                </c:pt>
                <c:pt idx="2">
                  <c:v>1559</c:v>
                </c:pt>
                <c:pt idx="3">
                  <c:v>5275</c:v>
                </c:pt>
                <c:pt idx="4">
                  <c:v>5086</c:v>
                </c:pt>
                <c:pt idx="5">
                  <c:v>2109</c:v>
                </c:pt>
                <c:pt idx="6">
                  <c:v>5033</c:v>
                </c:pt>
                <c:pt idx="7">
                  <c:v>2343</c:v>
                </c:pt>
                <c:pt idx="8">
                  <c:v>250</c:v>
                </c:pt>
                <c:pt idx="9">
                  <c:v>12150</c:v>
                </c:pt>
                <c:pt idx="10">
                  <c:v>275250</c:v>
                </c:pt>
                <c:pt idx="11">
                  <c:v>20644</c:v>
                </c:pt>
                <c:pt idx="12">
                  <c:v>5962</c:v>
                </c:pt>
                <c:pt idx="13">
                  <c:v>5645</c:v>
                </c:pt>
                <c:pt idx="14">
                  <c:v>1645</c:v>
                </c:pt>
                <c:pt idx="15">
                  <c:v>3150</c:v>
                </c:pt>
                <c:pt idx="16">
                  <c:v>63944</c:v>
                </c:pt>
                <c:pt idx="17">
                  <c:v>22300</c:v>
                </c:pt>
                <c:pt idx="18">
                  <c:v>0</c:v>
                </c:pt>
                <c:pt idx="19">
                  <c:v>21786</c:v>
                </c:pt>
                <c:pt idx="20">
                  <c:v>27472</c:v>
                </c:pt>
                <c:pt idx="21">
                  <c:v>26944</c:v>
                </c:pt>
                <c:pt idx="22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2-40D3-8D30-5D06E1891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'13'!$AD$6:$AD$28</c:f>
              <c:strCache>
                <c:ptCount val="23"/>
                <c:pt idx="0">
                  <c:v>0%</c:v>
                </c:pt>
                <c:pt idx="1">
                  <c:v>100%</c:v>
                </c:pt>
                <c:pt idx="2">
                  <c:v>0%</c:v>
                </c:pt>
                <c:pt idx="3">
                  <c:v>100%</c:v>
                </c:pt>
                <c:pt idx="4">
                  <c:v>96%</c:v>
                </c:pt>
                <c:pt idx="5">
                  <c:v>0%</c:v>
                </c:pt>
                <c:pt idx="6">
                  <c:v>100%</c:v>
                </c:pt>
                <c:pt idx="7">
                  <c:v>54%</c:v>
                </c:pt>
                <c:pt idx="8">
                  <c:v>25%</c:v>
                </c:pt>
                <c:pt idx="9">
                  <c:v>100%</c:v>
                </c:pt>
                <c:pt idx="10">
                  <c:v>0%</c:v>
                </c:pt>
                <c:pt idx="11">
                  <c:v>92%</c:v>
                </c:pt>
                <c:pt idx="12">
                  <c:v>100%</c:v>
                </c:pt>
                <c:pt idx="13">
                  <c:v>100%</c:v>
                </c:pt>
                <c:pt idx="14">
                  <c:v>33%</c:v>
                </c:pt>
                <c:pt idx="15">
                  <c:v>38%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100%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'13'!$D$6:$D$28</c:f>
              <c:strCache>
                <c:ptCount val="22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7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'13'!$AD$6:$AD$28</c:f>
              <c:numCache>
                <c:formatCode>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0.95833333333333337</c:v>
                </c:pt>
                <c:pt idx="5">
                  <c:v>0</c:v>
                </c:pt>
                <c:pt idx="6">
                  <c:v>1</c:v>
                </c:pt>
                <c:pt idx="7">
                  <c:v>0.54166666666666663</c:v>
                </c:pt>
                <c:pt idx="8">
                  <c:v>0.25</c:v>
                </c:pt>
                <c:pt idx="9">
                  <c:v>1</c:v>
                </c:pt>
                <c:pt idx="10">
                  <c:v>0</c:v>
                </c:pt>
                <c:pt idx="11">
                  <c:v>0.91666666666666663</c:v>
                </c:pt>
                <c:pt idx="12">
                  <c:v>1</c:v>
                </c:pt>
                <c:pt idx="13">
                  <c:v>1</c:v>
                </c:pt>
                <c:pt idx="14">
                  <c:v>0.33333333333333331</c:v>
                </c:pt>
                <c:pt idx="15">
                  <c:v>0.375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3-45FA-B2DB-ACA45FF3E4F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93-45FA-B2DB-ACA45FF3E4F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'13'!$D$6:$D$28</c:f>
              <c:strCache>
                <c:ptCount val="22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7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'13'!$AE$6:$AE$28</c:f>
              <c:numCache>
                <c:formatCode>0%</c:formatCode>
                <c:ptCount val="23"/>
                <c:pt idx="0">
                  <c:v>0.53804347826086962</c:v>
                </c:pt>
                <c:pt idx="1">
                  <c:v>0.53804347826086962</c:v>
                </c:pt>
                <c:pt idx="2">
                  <c:v>0.53804347826086962</c:v>
                </c:pt>
                <c:pt idx="3">
                  <c:v>0.53804347826086962</c:v>
                </c:pt>
                <c:pt idx="4">
                  <c:v>0.53804347826086962</c:v>
                </c:pt>
                <c:pt idx="5">
                  <c:v>0.53804347826086962</c:v>
                </c:pt>
                <c:pt idx="6">
                  <c:v>0.53804347826086962</c:v>
                </c:pt>
                <c:pt idx="7">
                  <c:v>0.53804347826086962</c:v>
                </c:pt>
                <c:pt idx="8">
                  <c:v>0.53804347826086962</c:v>
                </c:pt>
                <c:pt idx="9">
                  <c:v>0.53804347826086962</c:v>
                </c:pt>
                <c:pt idx="10">
                  <c:v>0.53804347826086962</c:v>
                </c:pt>
                <c:pt idx="11">
                  <c:v>0.53804347826086962</c:v>
                </c:pt>
                <c:pt idx="12">
                  <c:v>0.53804347826086962</c:v>
                </c:pt>
                <c:pt idx="13">
                  <c:v>0.53804347826086962</c:v>
                </c:pt>
                <c:pt idx="14">
                  <c:v>0.53804347826086962</c:v>
                </c:pt>
                <c:pt idx="15">
                  <c:v>0.53804347826086962</c:v>
                </c:pt>
                <c:pt idx="16">
                  <c:v>0.53804347826086962</c:v>
                </c:pt>
                <c:pt idx="17">
                  <c:v>0.53804347826086962</c:v>
                </c:pt>
                <c:pt idx="18">
                  <c:v>0.53804347826086962</c:v>
                </c:pt>
                <c:pt idx="19">
                  <c:v>0.53804347826086962</c:v>
                </c:pt>
                <c:pt idx="20">
                  <c:v>0.53804347826086962</c:v>
                </c:pt>
                <c:pt idx="21">
                  <c:v>0.53804347826086962</c:v>
                </c:pt>
                <c:pt idx="22">
                  <c:v>0.53804347826086962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93-45FA-B2DB-ACA45FF3E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F3F-4433-A350-3C577014F7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3F-4433-A350-3C577014F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F3F-4433-A350-3C577014F7C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3F-4433-A350-3C577014F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'14'!$L$6:$L$27</c:f>
              <c:numCache>
                <c:formatCode>_(* #,##0_);_(* \(#,##0\);_(* "-"_);_(@_)</c:formatCode>
                <c:ptCount val="22"/>
                <c:pt idx="1">
                  <c:v>6133</c:v>
                </c:pt>
                <c:pt idx="3">
                  <c:v>4212</c:v>
                </c:pt>
                <c:pt idx="4">
                  <c:v>3381</c:v>
                </c:pt>
                <c:pt idx="5">
                  <c:v>3446</c:v>
                </c:pt>
                <c:pt idx="6">
                  <c:v>4782</c:v>
                </c:pt>
                <c:pt idx="7">
                  <c:v>4609</c:v>
                </c:pt>
                <c:pt idx="9">
                  <c:v>11990</c:v>
                </c:pt>
                <c:pt idx="10">
                  <c:v>6894</c:v>
                </c:pt>
                <c:pt idx="11">
                  <c:v>21192</c:v>
                </c:pt>
                <c:pt idx="12">
                  <c:v>5080</c:v>
                </c:pt>
                <c:pt idx="13">
                  <c:v>3423</c:v>
                </c:pt>
                <c:pt idx="14">
                  <c:v>7466</c:v>
                </c:pt>
                <c:pt idx="15">
                  <c:v>63948</c:v>
                </c:pt>
                <c:pt idx="18">
                  <c:v>19983</c:v>
                </c:pt>
                <c:pt idx="19">
                  <c:v>26896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5E-47C5-AB3A-D670404D48A0}"/>
            </c:ext>
          </c:extLst>
        </c:ser>
        <c:ser>
          <c:idx val="1"/>
          <c:order val="1"/>
          <c:tx>
            <c:v>계획</c:v>
          </c:tx>
          <c:cat>
            <c:strRef>
              <c:f>'14'!$D$6:$D$27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'14'!$J$6:$J$27</c:f>
              <c:numCache>
                <c:formatCode>_(* #,##0_);_(* \(#,##0\);_(* "-"_);_(@_)</c:formatCode>
                <c:ptCount val="22"/>
                <c:pt idx="0">
                  <c:v>1880</c:v>
                </c:pt>
                <c:pt idx="1">
                  <c:v>6133</c:v>
                </c:pt>
                <c:pt idx="2">
                  <c:v>1559</c:v>
                </c:pt>
                <c:pt idx="3">
                  <c:v>4212</c:v>
                </c:pt>
                <c:pt idx="4">
                  <c:v>3381</c:v>
                </c:pt>
                <c:pt idx="5">
                  <c:v>3446</c:v>
                </c:pt>
                <c:pt idx="6">
                  <c:v>4782</c:v>
                </c:pt>
                <c:pt idx="7">
                  <c:v>4609</c:v>
                </c:pt>
                <c:pt idx="8">
                  <c:v>250</c:v>
                </c:pt>
                <c:pt idx="9">
                  <c:v>11990</c:v>
                </c:pt>
                <c:pt idx="10">
                  <c:v>6894</c:v>
                </c:pt>
                <c:pt idx="11">
                  <c:v>21192</c:v>
                </c:pt>
                <c:pt idx="12">
                  <c:v>5080</c:v>
                </c:pt>
                <c:pt idx="13">
                  <c:v>3423</c:v>
                </c:pt>
                <c:pt idx="14">
                  <c:v>7466</c:v>
                </c:pt>
                <c:pt idx="15">
                  <c:v>63948</c:v>
                </c:pt>
                <c:pt idx="16">
                  <c:v>22300</c:v>
                </c:pt>
                <c:pt idx="17">
                  <c:v>0</c:v>
                </c:pt>
                <c:pt idx="18">
                  <c:v>19983</c:v>
                </c:pt>
                <c:pt idx="19">
                  <c:v>26896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E-47C5-AB3A-D670404D4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0%</c:v>
                </c:pt>
                <c:pt idx="3">
                  <c:v>88%</c:v>
                </c:pt>
                <c:pt idx="4">
                  <c:v>75%</c:v>
                </c:pt>
                <c:pt idx="5">
                  <c:v>75%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79%</c:v>
                </c:pt>
                <c:pt idx="11">
                  <c:v>100%</c:v>
                </c:pt>
                <c:pt idx="12">
                  <c:v>88%</c:v>
                </c:pt>
                <c:pt idx="13">
                  <c:v>67%</c:v>
                </c:pt>
                <c:pt idx="14">
                  <c:v>92%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100%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0.875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0.79166666666666663</c:v>
                </c:pt>
                <c:pt idx="11">
                  <c:v>1</c:v>
                </c:pt>
                <c:pt idx="12">
                  <c:v>0.875</c:v>
                </c:pt>
                <c:pt idx="13">
                  <c:v>0.66666666666666663</c:v>
                </c:pt>
                <c:pt idx="14">
                  <c:v>0.91666666666666663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B3-4555-B6BF-B50310DD387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B3-4555-B6BF-B50310DD387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'14'!$AE$6:$AE$27</c:f>
              <c:numCache>
                <c:formatCode>0%</c:formatCode>
                <c:ptCount val="22"/>
                <c:pt idx="0">
                  <c:v>0.61931818181818177</c:v>
                </c:pt>
                <c:pt idx="1">
                  <c:v>0.61931818181818177</c:v>
                </c:pt>
                <c:pt idx="2">
                  <c:v>0.61931818181818177</c:v>
                </c:pt>
                <c:pt idx="3">
                  <c:v>0.61931818181818177</c:v>
                </c:pt>
                <c:pt idx="4">
                  <c:v>0.61931818181818177</c:v>
                </c:pt>
                <c:pt idx="5">
                  <c:v>0.61931818181818177</c:v>
                </c:pt>
                <c:pt idx="6">
                  <c:v>0.61931818181818177</c:v>
                </c:pt>
                <c:pt idx="7">
                  <c:v>0.61931818181818177</c:v>
                </c:pt>
                <c:pt idx="8">
                  <c:v>0.61931818181818177</c:v>
                </c:pt>
                <c:pt idx="9">
                  <c:v>0.61931818181818177</c:v>
                </c:pt>
                <c:pt idx="10">
                  <c:v>0.61931818181818177</c:v>
                </c:pt>
                <c:pt idx="11">
                  <c:v>0.61931818181818177</c:v>
                </c:pt>
                <c:pt idx="12">
                  <c:v>0.61931818181818177</c:v>
                </c:pt>
                <c:pt idx="13">
                  <c:v>0.61931818181818177</c:v>
                </c:pt>
                <c:pt idx="14">
                  <c:v>0.61931818181818177</c:v>
                </c:pt>
                <c:pt idx="15">
                  <c:v>0.61931818181818177</c:v>
                </c:pt>
                <c:pt idx="16">
                  <c:v>0.61931818181818177</c:v>
                </c:pt>
                <c:pt idx="17">
                  <c:v>0.61931818181818177</c:v>
                </c:pt>
                <c:pt idx="18">
                  <c:v>0.61931818181818177</c:v>
                </c:pt>
                <c:pt idx="19">
                  <c:v>0.61931818181818177</c:v>
                </c:pt>
                <c:pt idx="20">
                  <c:v>0.61931818181818177</c:v>
                </c:pt>
                <c:pt idx="21">
                  <c:v>0.61931818181818177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B3-4555-B6BF-B50310DD3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'14'!$L$6:$L$27</c:f>
              <c:numCache>
                <c:formatCode>_(* #,##0_);_(* \(#,##0\);_(* "-"_);_(@_)</c:formatCode>
                <c:ptCount val="22"/>
                <c:pt idx="1">
                  <c:v>6133</c:v>
                </c:pt>
                <c:pt idx="3">
                  <c:v>4212</c:v>
                </c:pt>
                <c:pt idx="4">
                  <c:v>3381</c:v>
                </c:pt>
                <c:pt idx="5">
                  <c:v>3446</c:v>
                </c:pt>
                <c:pt idx="6">
                  <c:v>4782</c:v>
                </c:pt>
                <c:pt idx="7">
                  <c:v>4609</c:v>
                </c:pt>
                <c:pt idx="9">
                  <c:v>11990</c:v>
                </c:pt>
                <c:pt idx="10">
                  <c:v>6894</c:v>
                </c:pt>
                <c:pt idx="11">
                  <c:v>21192</c:v>
                </c:pt>
                <c:pt idx="12">
                  <c:v>5080</c:v>
                </c:pt>
                <c:pt idx="13">
                  <c:v>3423</c:v>
                </c:pt>
                <c:pt idx="14">
                  <c:v>7466</c:v>
                </c:pt>
                <c:pt idx="15">
                  <c:v>63948</c:v>
                </c:pt>
                <c:pt idx="18">
                  <c:v>19983</c:v>
                </c:pt>
                <c:pt idx="19">
                  <c:v>26896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9-43F6-B6DF-AF32F5B4B19E}"/>
            </c:ext>
          </c:extLst>
        </c:ser>
        <c:ser>
          <c:idx val="1"/>
          <c:order val="1"/>
          <c:tx>
            <c:v>계획</c:v>
          </c:tx>
          <c:cat>
            <c:strRef>
              <c:f>'14'!$D$6:$D$27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'14'!$J$6:$J$27</c:f>
              <c:numCache>
                <c:formatCode>_(* #,##0_);_(* \(#,##0\);_(* "-"_);_(@_)</c:formatCode>
                <c:ptCount val="22"/>
                <c:pt idx="0">
                  <c:v>1880</c:v>
                </c:pt>
                <c:pt idx="1">
                  <c:v>6133</c:v>
                </c:pt>
                <c:pt idx="2">
                  <c:v>1559</c:v>
                </c:pt>
                <c:pt idx="3">
                  <c:v>4212</c:v>
                </c:pt>
                <c:pt idx="4">
                  <c:v>3381</c:v>
                </c:pt>
                <c:pt idx="5">
                  <c:v>3446</c:v>
                </c:pt>
                <c:pt idx="6">
                  <c:v>4782</c:v>
                </c:pt>
                <c:pt idx="7">
                  <c:v>4609</c:v>
                </c:pt>
                <c:pt idx="8">
                  <c:v>250</c:v>
                </c:pt>
                <c:pt idx="9">
                  <c:v>11990</c:v>
                </c:pt>
                <c:pt idx="10">
                  <c:v>6894</c:v>
                </c:pt>
                <c:pt idx="11">
                  <c:v>21192</c:v>
                </c:pt>
                <c:pt idx="12">
                  <c:v>5080</c:v>
                </c:pt>
                <c:pt idx="13">
                  <c:v>3423</c:v>
                </c:pt>
                <c:pt idx="14">
                  <c:v>7466</c:v>
                </c:pt>
                <c:pt idx="15">
                  <c:v>63948</c:v>
                </c:pt>
                <c:pt idx="16">
                  <c:v>22300</c:v>
                </c:pt>
                <c:pt idx="17">
                  <c:v>0</c:v>
                </c:pt>
                <c:pt idx="18">
                  <c:v>19983</c:v>
                </c:pt>
                <c:pt idx="19">
                  <c:v>26896</c:v>
                </c:pt>
                <c:pt idx="20">
                  <c:v>26944</c:v>
                </c:pt>
                <c:pt idx="21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9-43F6-B6DF-AF32F5B4B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0%</c:v>
                </c:pt>
                <c:pt idx="3">
                  <c:v>88%</c:v>
                </c:pt>
                <c:pt idx="4">
                  <c:v>75%</c:v>
                </c:pt>
                <c:pt idx="5">
                  <c:v>75%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79%</c:v>
                </c:pt>
                <c:pt idx="11">
                  <c:v>100%</c:v>
                </c:pt>
                <c:pt idx="12">
                  <c:v>88%</c:v>
                </c:pt>
                <c:pt idx="13">
                  <c:v>67%</c:v>
                </c:pt>
                <c:pt idx="14">
                  <c:v>92%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100%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0.875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0.79166666666666663</c:v>
                </c:pt>
                <c:pt idx="11">
                  <c:v>1</c:v>
                </c:pt>
                <c:pt idx="12">
                  <c:v>0.875</c:v>
                </c:pt>
                <c:pt idx="13">
                  <c:v>0.66666666666666663</c:v>
                </c:pt>
                <c:pt idx="14">
                  <c:v>0.91666666666666663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29-480A-BE25-696495E4E52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29-480A-BE25-696495E4E5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'14'!$D$6:$D$27</c:f>
              <c:strCache>
                <c:ptCount val="21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6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'14'!$AE$6:$AE$27</c:f>
              <c:numCache>
                <c:formatCode>0%</c:formatCode>
                <c:ptCount val="22"/>
                <c:pt idx="0">
                  <c:v>0.61931818181818177</c:v>
                </c:pt>
                <c:pt idx="1">
                  <c:v>0.61931818181818177</c:v>
                </c:pt>
                <c:pt idx="2">
                  <c:v>0.61931818181818177</c:v>
                </c:pt>
                <c:pt idx="3">
                  <c:v>0.61931818181818177</c:v>
                </c:pt>
                <c:pt idx="4">
                  <c:v>0.61931818181818177</c:v>
                </c:pt>
                <c:pt idx="5">
                  <c:v>0.61931818181818177</c:v>
                </c:pt>
                <c:pt idx="6">
                  <c:v>0.61931818181818177</c:v>
                </c:pt>
                <c:pt idx="7">
                  <c:v>0.61931818181818177</c:v>
                </c:pt>
                <c:pt idx="8">
                  <c:v>0.61931818181818177</c:v>
                </c:pt>
                <c:pt idx="9">
                  <c:v>0.61931818181818177</c:v>
                </c:pt>
                <c:pt idx="10">
                  <c:v>0.61931818181818177</c:v>
                </c:pt>
                <c:pt idx="11">
                  <c:v>0.61931818181818177</c:v>
                </c:pt>
                <c:pt idx="12">
                  <c:v>0.61931818181818177</c:v>
                </c:pt>
                <c:pt idx="13">
                  <c:v>0.61931818181818177</c:v>
                </c:pt>
                <c:pt idx="14">
                  <c:v>0.61931818181818177</c:v>
                </c:pt>
                <c:pt idx="15">
                  <c:v>0.61931818181818177</c:v>
                </c:pt>
                <c:pt idx="16">
                  <c:v>0.61931818181818177</c:v>
                </c:pt>
                <c:pt idx="17">
                  <c:v>0.61931818181818177</c:v>
                </c:pt>
                <c:pt idx="18">
                  <c:v>0.61931818181818177</c:v>
                </c:pt>
                <c:pt idx="19">
                  <c:v>0.61931818181818177</c:v>
                </c:pt>
                <c:pt idx="20">
                  <c:v>0.61931818181818177</c:v>
                </c:pt>
                <c:pt idx="21">
                  <c:v>0.61931818181818177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29-480A-BE25-696495E4E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340-49DB-AB77-A699113910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40-49DB-AB77-A69911391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340-49DB-AB77-A699113910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40-49DB-AB77-A69911391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LATCH/PLATE</c:v>
                </c:pt>
                <c:pt idx="15">
                  <c:v>SLIDER</c:v>
                </c:pt>
                <c:pt idx="16">
                  <c:v>ACTUATOR</c:v>
                </c:pt>
                <c:pt idx="17">
                  <c:v>BASE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'15'!$L$6:$L$30</c:f>
              <c:numCache>
                <c:formatCode>_(* #,##0_);_(* \(#,##0\);_(* "-"_);_(@_)</c:formatCode>
                <c:ptCount val="25"/>
                <c:pt idx="1">
                  <c:v>4876</c:v>
                </c:pt>
                <c:pt idx="2">
                  <c:v>5750</c:v>
                </c:pt>
                <c:pt idx="3">
                  <c:v>561</c:v>
                </c:pt>
                <c:pt idx="5">
                  <c:v>4359</c:v>
                </c:pt>
                <c:pt idx="6">
                  <c:v>3245</c:v>
                </c:pt>
                <c:pt idx="7">
                  <c:v>3836</c:v>
                </c:pt>
                <c:pt idx="8">
                  <c:v>100</c:v>
                </c:pt>
                <c:pt idx="9">
                  <c:v>2172</c:v>
                </c:pt>
                <c:pt idx="10">
                  <c:v>1080</c:v>
                </c:pt>
                <c:pt idx="11">
                  <c:v>4453</c:v>
                </c:pt>
                <c:pt idx="13">
                  <c:v>940</c:v>
                </c:pt>
                <c:pt idx="14">
                  <c:v>560</c:v>
                </c:pt>
                <c:pt idx="15">
                  <c:v>2984</c:v>
                </c:pt>
                <c:pt idx="16">
                  <c:v>4723</c:v>
                </c:pt>
                <c:pt idx="17">
                  <c:v>4534</c:v>
                </c:pt>
                <c:pt idx="18">
                  <c:v>58884</c:v>
                </c:pt>
                <c:pt idx="22">
                  <c:v>18138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0-4B44-A05E-EDD59298B17B}"/>
            </c:ext>
          </c:extLst>
        </c:ser>
        <c:ser>
          <c:idx val="1"/>
          <c:order val="1"/>
          <c:tx>
            <c:v>계획</c:v>
          </c:tx>
          <c:cat>
            <c:strRef>
              <c:f>'15'!$D$6:$D$30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LATCH/PLATE</c:v>
                </c:pt>
                <c:pt idx="15">
                  <c:v>SLIDER</c:v>
                </c:pt>
                <c:pt idx="16">
                  <c:v>ACTUATOR</c:v>
                </c:pt>
                <c:pt idx="17">
                  <c:v>BASE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'15'!$J$6:$J$30</c:f>
              <c:numCache>
                <c:formatCode>_(* #,##0_);_(* \(#,##0\);_(* "-"_);_(@_)</c:formatCode>
                <c:ptCount val="25"/>
                <c:pt idx="0">
                  <c:v>1880</c:v>
                </c:pt>
                <c:pt idx="1">
                  <c:v>4876</c:v>
                </c:pt>
                <c:pt idx="2">
                  <c:v>5750</c:v>
                </c:pt>
                <c:pt idx="3">
                  <c:v>561</c:v>
                </c:pt>
                <c:pt idx="4">
                  <c:v>3381</c:v>
                </c:pt>
                <c:pt idx="5">
                  <c:v>4359</c:v>
                </c:pt>
                <c:pt idx="6">
                  <c:v>3245</c:v>
                </c:pt>
                <c:pt idx="7">
                  <c:v>3836</c:v>
                </c:pt>
                <c:pt idx="8">
                  <c:v>100</c:v>
                </c:pt>
                <c:pt idx="9">
                  <c:v>2172</c:v>
                </c:pt>
                <c:pt idx="10">
                  <c:v>1080</c:v>
                </c:pt>
                <c:pt idx="11">
                  <c:v>4453</c:v>
                </c:pt>
                <c:pt idx="12">
                  <c:v>21192</c:v>
                </c:pt>
                <c:pt idx="13">
                  <c:v>940</c:v>
                </c:pt>
                <c:pt idx="14">
                  <c:v>560</c:v>
                </c:pt>
                <c:pt idx="15">
                  <c:v>2984</c:v>
                </c:pt>
                <c:pt idx="16">
                  <c:v>4723</c:v>
                </c:pt>
                <c:pt idx="17">
                  <c:v>4534</c:v>
                </c:pt>
                <c:pt idx="18">
                  <c:v>58884</c:v>
                </c:pt>
                <c:pt idx="19">
                  <c:v>22300</c:v>
                </c:pt>
                <c:pt idx="20">
                  <c:v>0</c:v>
                </c:pt>
                <c:pt idx="21">
                  <c:v>19983</c:v>
                </c:pt>
                <c:pt idx="22">
                  <c:v>18138</c:v>
                </c:pt>
                <c:pt idx="23">
                  <c:v>26944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0-4B44-A05E-EDD59298B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'15'!$AD$6:$AD$30</c:f>
              <c:strCache>
                <c:ptCount val="25"/>
                <c:pt idx="0">
                  <c:v>0%</c:v>
                </c:pt>
                <c:pt idx="1">
                  <c:v>100%</c:v>
                </c:pt>
                <c:pt idx="2">
                  <c:v>50%</c:v>
                </c:pt>
                <c:pt idx="3">
                  <c:v>17%</c:v>
                </c:pt>
                <c:pt idx="4">
                  <c:v>0%</c:v>
                </c:pt>
                <c:pt idx="5">
                  <c:v>100%</c:v>
                </c:pt>
                <c:pt idx="6">
                  <c:v>83%</c:v>
                </c:pt>
                <c:pt idx="7">
                  <c:v>100%</c:v>
                </c:pt>
                <c:pt idx="8">
                  <c:v>17%</c:v>
                </c:pt>
                <c:pt idx="9">
                  <c:v>25%</c:v>
                </c:pt>
                <c:pt idx="10">
                  <c:v>13%</c:v>
                </c:pt>
                <c:pt idx="11">
                  <c:v>58%</c:v>
                </c:pt>
                <c:pt idx="12">
                  <c:v>0%</c:v>
                </c:pt>
                <c:pt idx="13">
                  <c:v>21%</c:v>
                </c:pt>
                <c:pt idx="14">
                  <c:v>13%</c:v>
                </c:pt>
                <c:pt idx="15">
                  <c:v>63%</c:v>
                </c:pt>
                <c:pt idx="16">
                  <c:v>100%</c:v>
                </c:pt>
                <c:pt idx="17">
                  <c:v>67%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100%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LATCH/PLATE</c:v>
                </c:pt>
                <c:pt idx="15">
                  <c:v>SLIDER</c:v>
                </c:pt>
                <c:pt idx="16">
                  <c:v>ACTUATOR</c:v>
                </c:pt>
                <c:pt idx="17">
                  <c:v>BASE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'15'!$AD$6:$AD$30</c:f>
              <c:numCache>
                <c:formatCode>0%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0.16666666666666666</c:v>
                </c:pt>
                <c:pt idx="4">
                  <c:v>0</c:v>
                </c:pt>
                <c:pt idx="5">
                  <c:v>1</c:v>
                </c:pt>
                <c:pt idx="6">
                  <c:v>0.83333333333333337</c:v>
                </c:pt>
                <c:pt idx="7">
                  <c:v>1</c:v>
                </c:pt>
                <c:pt idx="8">
                  <c:v>0.16666666666666666</c:v>
                </c:pt>
                <c:pt idx="9">
                  <c:v>0.25</c:v>
                </c:pt>
                <c:pt idx="10">
                  <c:v>0.125</c:v>
                </c:pt>
                <c:pt idx="11">
                  <c:v>0.58333333333333337</c:v>
                </c:pt>
                <c:pt idx="12">
                  <c:v>0</c:v>
                </c:pt>
                <c:pt idx="13">
                  <c:v>0.20833333333333334</c:v>
                </c:pt>
                <c:pt idx="14">
                  <c:v>0.125</c:v>
                </c:pt>
                <c:pt idx="15">
                  <c:v>0.625</c:v>
                </c:pt>
                <c:pt idx="16">
                  <c:v>1</c:v>
                </c:pt>
                <c:pt idx="17">
                  <c:v>0.66666666666666663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6-4E25-862D-1A6E525E1D5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D6-4E25-862D-1A6E525E1D5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LATCH/PLATE</c:v>
                </c:pt>
                <c:pt idx="15">
                  <c:v>SLIDER</c:v>
                </c:pt>
                <c:pt idx="16">
                  <c:v>ACTUATOR</c:v>
                </c:pt>
                <c:pt idx="17">
                  <c:v>BASE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'15'!$AE$6:$AE$30</c:f>
              <c:numCache>
                <c:formatCode>0%</c:formatCode>
                <c:ptCount val="25"/>
                <c:pt idx="0">
                  <c:v>0.41</c:v>
                </c:pt>
                <c:pt idx="1">
                  <c:v>0.41</c:v>
                </c:pt>
                <c:pt idx="2">
                  <c:v>0.41</c:v>
                </c:pt>
                <c:pt idx="3">
                  <c:v>0.41</c:v>
                </c:pt>
                <c:pt idx="4">
                  <c:v>0.41</c:v>
                </c:pt>
                <c:pt idx="5">
                  <c:v>0.41</c:v>
                </c:pt>
                <c:pt idx="6">
                  <c:v>0.41</c:v>
                </c:pt>
                <c:pt idx="7">
                  <c:v>0.41</c:v>
                </c:pt>
                <c:pt idx="8">
                  <c:v>0.41</c:v>
                </c:pt>
                <c:pt idx="9">
                  <c:v>0.41</c:v>
                </c:pt>
                <c:pt idx="10">
                  <c:v>0.41</c:v>
                </c:pt>
                <c:pt idx="11">
                  <c:v>0.41</c:v>
                </c:pt>
                <c:pt idx="12">
                  <c:v>0.41</c:v>
                </c:pt>
                <c:pt idx="13">
                  <c:v>0.41</c:v>
                </c:pt>
                <c:pt idx="14">
                  <c:v>0.41</c:v>
                </c:pt>
                <c:pt idx="15">
                  <c:v>0.41</c:v>
                </c:pt>
                <c:pt idx="16">
                  <c:v>0.41</c:v>
                </c:pt>
                <c:pt idx="17">
                  <c:v>0.41</c:v>
                </c:pt>
                <c:pt idx="18">
                  <c:v>0.41</c:v>
                </c:pt>
                <c:pt idx="19">
                  <c:v>0.41</c:v>
                </c:pt>
                <c:pt idx="20">
                  <c:v>0.41</c:v>
                </c:pt>
                <c:pt idx="21">
                  <c:v>0.41</c:v>
                </c:pt>
                <c:pt idx="22">
                  <c:v>0.41</c:v>
                </c:pt>
                <c:pt idx="23">
                  <c:v>0.41</c:v>
                </c:pt>
                <c:pt idx="24">
                  <c:v>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D6-4E25-862D-1A6E525E1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LATCH/PLATE</c:v>
                </c:pt>
                <c:pt idx="15">
                  <c:v>SLIDER</c:v>
                </c:pt>
                <c:pt idx="16">
                  <c:v>ACTUATOR</c:v>
                </c:pt>
                <c:pt idx="17">
                  <c:v>BASE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'15'!$L$6:$L$30</c:f>
              <c:numCache>
                <c:formatCode>_(* #,##0_);_(* \(#,##0\);_(* "-"_);_(@_)</c:formatCode>
                <c:ptCount val="25"/>
                <c:pt idx="1">
                  <c:v>4876</c:v>
                </c:pt>
                <c:pt idx="2">
                  <c:v>5750</c:v>
                </c:pt>
                <c:pt idx="3">
                  <c:v>561</c:v>
                </c:pt>
                <c:pt idx="5">
                  <c:v>4359</c:v>
                </c:pt>
                <c:pt idx="6">
                  <c:v>3245</c:v>
                </c:pt>
                <c:pt idx="7">
                  <c:v>3836</c:v>
                </c:pt>
                <c:pt idx="8">
                  <c:v>100</c:v>
                </c:pt>
                <c:pt idx="9">
                  <c:v>2172</c:v>
                </c:pt>
                <c:pt idx="10">
                  <c:v>1080</c:v>
                </c:pt>
                <c:pt idx="11">
                  <c:v>4453</c:v>
                </c:pt>
                <c:pt idx="13">
                  <c:v>940</c:v>
                </c:pt>
                <c:pt idx="14">
                  <c:v>560</c:v>
                </c:pt>
                <c:pt idx="15">
                  <c:v>2984</c:v>
                </c:pt>
                <c:pt idx="16">
                  <c:v>4723</c:v>
                </c:pt>
                <c:pt idx="17">
                  <c:v>4534</c:v>
                </c:pt>
                <c:pt idx="18">
                  <c:v>58884</c:v>
                </c:pt>
                <c:pt idx="22">
                  <c:v>18138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6-4AB9-BFB8-2BABF74750F7}"/>
            </c:ext>
          </c:extLst>
        </c:ser>
        <c:ser>
          <c:idx val="1"/>
          <c:order val="1"/>
          <c:tx>
            <c:v>계획</c:v>
          </c:tx>
          <c:cat>
            <c:strRef>
              <c:f>'15'!$D$6:$D$30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LATCH/PLATE</c:v>
                </c:pt>
                <c:pt idx="15">
                  <c:v>SLIDER</c:v>
                </c:pt>
                <c:pt idx="16">
                  <c:v>ACTUATOR</c:v>
                </c:pt>
                <c:pt idx="17">
                  <c:v>BASE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'15'!$J$6:$J$30</c:f>
              <c:numCache>
                <c:formatCode>_(* #,##0_);_(* \(#,##0\);_(* "-"_);_(@_)</c:formatCode>
                <c:ptCount val="25"/>
                <c:pt idx="0">
                  <c:v>1880</c:v>
                </c:pt>
                <c:pt idx="1">
                  <c:v>4876</c:v>
                </c:pt>
                <c:pt idx="2">
                  <c:v>5750</c:v>
                </c:pt>
                <c:pt idx="3">
                  <c:v>561</c:v>
                </c:pt>
                <c:pt idx="4">
                  <c:v>3381</c:v>
                </c:pt>
                <c:pt idx="5">
                  <c:v>4359</c:v>
                </c:pt>
                <c:pt idx="6">
                  <c:v>3245</c:v>
                </c:pt>
                <c:pt idx="7">
                  <c:v>3836</c:v>
                </c:pt>
                <c:pt idx="8">
                  <c:v>100</c:v>
                </c:pt>
                <c:pt idx="9">
                  <c:v>2172</c:v>
                </c:pt>
                <c:pt idx="10">
                  <c:v>1080</c:v>
                </c:pt>
                <c:pt idx="11">
                  <c:v>4453</c:v>
                </c:pt>
                <c:pt idx="12">
                  <c:v>21192</c:v>
                </c:pt>
                <c:pt idx="13">
                  <c:v>940</c:v>
                </c:pt>
                <c:pt idx="14">
                  <c:v>560</c:v>
                </c:pt>
                <c:pt idx="15">
                  <c:v>2984</c:v>
                </c:pt>
                <c:pt idx="16">
                  <c:v>4723</c:v>
                </c:pt>
                <c:pt idx="17">
                  <c:v>4534</c:v>
                </c:pt>
                <c:pt idx="18">
                  <c:v>58884</c:v>
                </c:pt>
                <c:pt idx="19">
                  <c:v>22300</c:v>
                </c:pt>
                <c:pt idx="20">
                  <c:v>0</c:v>
                </c:pt>
                <c:pt idx="21">
                  <c:v>19983</c:v>
                </c:pt>
                <c:pt idx="22">
                  <c:v>18138</c:v>
                </c:pt>
                <c:pt idx="23">
                  <c:v>26944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6-4AB9-BFB8-2BABF7475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'15'!$AD$6:$AD$30</c:f>
              <c:strCache>
                <c:ptCount val="25"/>
                <c:pt idx="0">
                  <c:v>0%</c:v>
                </c:pt>
                <c:pt idx="1">
                  <c:v>100%</c:v>
                </c:pt>
                <c:pt idx="2">
                  <c:v>50%</c:v>
                </c:pt>
                <c:pt idx="3">
                  <c:v>17%</c:v>
                </c:pt>
                <c:pt idx="4">
                  <c:v>0%</c:v>
                </c:pt>
                <c:pt idx="5">
                  <c:v>100%</c:v>
                </c:pt>
                <c:pt idx="6">
                  <c:v>83%</c:v>
                </c:pt>
                <c:pt idx="7">
                  <c:v>100%</c:v>
                </c:pt>
                <c:pt idx="8">
                  <c:v>17%</c:v>
                </c:pt>
                <c:pt idx="9">
                  <c:v>25%</c:v>
                </c:pt>
                <c:pt idx="10">
                  <c:v>13%</c:v>
                </c:pt>
                <c:pt idx="11">
                  <c:v>58%</c:v>
                </c:pt>
                <c:pt idx="12">
                  <c:v>0%</c:v>
                </c:pt>
                <c:pt idx="13">
                  <c:v>21%</c:v>
                </c:pt>
                <c:pt idx="14">
                  <c:v>13%</c:v>
                </c:pt>
                <c:pt idx="15">
                  <c:v>63%</c:v>
                </c:pt>
                <c:pt idx="16">
                  <c:v>100%</c:v>
                </c:pt>
                <c:pt idx="17">
                  <c:v>67%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100%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LATCH/PLATE</c:v>
                </c:pt>
                <c:pt idx="15">
                  <c:v>SLIDER</c:v>
                </c:pt>
                <c:pt idx="16">
                  <c:v>ACTUATOR</c:v>
                </c:pt>
                <c:pt idx="17">
                  <c:v>BASE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'15'!$AD$6:$AD$30</c:f>
              <c:numCache>
                <c:formatCode>0%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0.16666666666666666</c:v>
                </c:pt>
                <c:pt idx="4">
                  <c:v>0</c:v>
                </c:pt>
                <c:pt idx="5">
                  <c:v>1</c:v>
                </c:pt>
                <c:pt idx="6">
                  <c:v>0.83333333333333337</c:v>
                </c:pt>
                <c:pt idx="7">
                  <c:v>1</c:v>
                </c:pt>
                <c:pt idx="8">
                  <c:v>0.16666666666666666</c:v>
                </c:pt>
                <c:pt idx="9">
                  <c:v>0.25</c:v>
                </c:pt>
                <c:pt idx="10">
                  <c:v>0.125</c:v>
                </c:pt>
                <c:pt idx="11">
                  <c:v>0.58333333333333337</c:v>
                </c:pt>
                <c:pt idx="12">
                  <c:v>0</c:v>
                </c:pt>
                <c:pt idx="13">
                  <c:v>0.20833333333333334</c:v>
                </c:pt>
                <c:pt idx="14">
                  <c:v>0.125</c:v>
                </c:pt>
                <c:pt idx="15">
                  <c:v>0.625</c:v>
                </c:pt>
                <c:pt idx="16">
                  <c:v>1</c:v>
                </c:pt>
                <c:pt idx="17">
                  <c:v>0.66666666666666663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5-4D4A-BFA7-7B778C5B1C8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B15-4D4A-BFA7-7B778C5B1C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LATCH/PLATE</c:v>
                </c:pt>
                <c:pt idx="15">
                  <c:v>SLIDER</c:v>
                </c:pt>
                <c:pt idx="16">
                  <c:v>ACTUATOR</c:v>
                </c:pt>
                <c:pt idx="17">
                  <c:v>BASE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'15'!$AE$6:$AE$30</c:f>
              <c:numCache>
                <c:formatCode>0%</c:formatCode>
                <c:ptCount val="25"/>
                <c:pt idx="0">
                  <c:v>0.41</c:v>
                </c:pt>
                <c:pt idx="1">
                  <c:v>0.41</c:v>
                </c:pt>
                <c:pt idx="2">
                  <c:v>0.41</c:v>
                </c:pt>
                <c:pt idx="3">
                  <c:v>0.41</c:v>
                </c:pt>
                <c:pt idx="4">
                  <c:v>0.41</c:v>
                </c:pt>
                <c:pt idx="5">
                  <c:v>0.41</c:v>
                </c:pt>
                <c:pt idx="6">
                  <c:v>0.41</c:v>
                </c:pt>
                <c:pt idx="7">
                  <c:v>0.41</c:v>
                </c:pt>
                <c:pt idx="8">
                  <c:v>0.41</c:v>
                </c:pt>
                <c:pt idx="9">
                  <c:v>0.41</c:v>
                </c:pt>
                <c:pt idx="10">
                  <c:v>0.41</c:v>
                </c:pt>
                <c:pt idx="11">
                  <c:v>0.41</c:v>
                </c:pt>
                <c:pt idx="12">
                  <c:v>0.41</c:v>
                </c:pt>
                <c:pt idx="13">
                  <c:v>0.41</c:v>
                </c:pt>
                <c:pt idx="14">
                  <c:v>0.41</c:v>
                </c:pt>
                <c:pt idx="15">
                  <c:v>0.41</c:v>
                </c:pt>
                <c:pt idx="16">
                  <c:v>0.41</c:v>
                </c:pt>
                <c:pt idx="17">
                  <c:v>0.41</c:v>
                </c:pt>
                <c:pt idx="18">
                  <c:v>0.41</c:v>
                </c:pt>
                <c:pt idx="19">
                  <c:v>0.41</c:v>
                </c:pt>
                <c:pt idx="20">
                  <c:v>0.41</c:v>
                </c:pt>
                <c:pt idx="21">
                  <c:v>0.41</c:v>
                </c:pt>
                <c:pt idx="22">
                  <c:v>0.41</c:v>
                </c:pt>
                <c:pt idx="23">
                  <c:v>0.41</c:v>
                </c:pt>
                <c:pt idx="24">
                  <c:v>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15-4D4A-BFA7-7B778C5B1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AC9-46BF-AC17-A56F5AD9EB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C9-46BF-AC17-A56F5AD9E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AC9-46BF-AC17-A56F5AD9EB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C9-46BF-AC17-A56F5AD9E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'18'!$L$6:$L$29</c:f>
              <c:numCache>
                <c:formatCode>_(* #,##0_);_(* \(#,##0\);_(* "-"_);_(@_)</c:formatCode>
                <c:ptCount val="24"/>
                <c:pt idx="0">
                  <c:v>10212</c:v>
                </c:pt>
                <c:pt idx="2">
                  <c:v>10120</c:v>
                </c:pt>
                <c:pt idx="3">
                  <c:v>4883</c:v>
                </c:pt>
                <c:pt idx="5">
                  <c:v>7651</c:v>
                </c:pt>
                <c:pt idx="6">
                  <c:v>4808</c:v>
                </c:pt>
                <c:pt idx="7">
                  <c:v>2853</c:v>
                </c:pt>
                <c:pt idx="9">
                  <c:v>8206</c:v>
                </c:pt>
                <c:pt idx="10">
                  <c:v>8440</c:v>
                </c:pt>
                <c:pt idx="12">
                  <c:v>4988</c:v>
                </c:pt>
                <c:pt idx="14">
                  <c:v>7764</c:v>
                </c:pt>
                <c:pt idx="15">
                  <c:v>57396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47-4D85-8FA2-97738F5A3EF7}"/>
            </c:ext>
          </c:extLst>
        </c:ser>
        <c:ser>
          <c:idx val="1"/>
          <c:order val="1"/>
          <c:tx>
            <c:v>계획</c:v>
          </c:tx>
          <c:cat>
            <c:strRef>
              <c:f>'18'!$D$6:$D$29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'18'!$J$6:$J$29</c:f>
              <c:numCache>
                <c:formatCode>_(* #,##0_);_(* \(#,##0\);_(* "-"_);_(@_)</c:formatCode>
                <c:ptCount val="24"/>
                <c:pt idx="0">
                  <c:v>10212</c:v>
                </c:pt>
                <c:pt idx="1">
                  <c:v>4876</c:v>
                </c:pt>
                <c:pt idx="2">
                  <c:v>10120</c:v>
                </c:pt>
                <c:pt idx="3">
                  <c:v>4883</c:v>
                </c:pt>
                <c:pt idx="4">
                  <c:v>3381</c:v>
                </c:pt>
                <c:pt idx="5">
                  <c:v>7651</c:v>
                </c:pt>
                <c:pt idx="6">
                  <c:v>4808</c:v>
                </c:pt>
                <c:pt idx="7">
                  <c:v>2853</c:v>
                </c:pt>
                <c:pt idx="8">
                  <c:v>100</c:v>
                </c:pt>
                <c:pt idx="9">
                  <c:v>8206</c:v>
                </c:pt>
                <c:pt idx="10">
                  <c:v>8440</c:v>
                </c:pt>
                <c:pt idx="11">
                  <c:v>21192</c:v>
                </c:pt>
                <c:pt idx="12">
                  <c:v>4988</c:v>
                </c:pt>
                <c:pt idx="13">
                  <c:v>4723</c:v>
                </c:pt>
                <c:pt idx="14">
                  <c:v>7764</c:v>
                </c:pt>
                <c:pt idx="15">
                  <c:v>57396</c:v>
                </c:pt>
                <c:pt idx="18">
                  <c:v>22300</c:v>
                </c:pt>
                <c:pt idx="19">
                  <c:v>0</c:v>
                </c:pt>
                <c:pt idx="20">
                  <c:v>19983</c:v>
                </c:pt>
                <c:pt idx="21">
                  <c:v>18138</c:v>
                </c:pt>
                <c:pt idx="22">
                  <c:v>26944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47-4D85-8FA2-97738F5A3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79%</c:v>
                </c:pt>
                <c:pt idx="6">
                  <c:v>100%</c:v>
                </c:pt>
                <c:pt idx="7">
                  <c:v>58%</c:v>
                </c:pt>
                <c:pt idx="8">
                  <c:v>0%</c:v>
                </c:pt>
                <c:pt idx="9">
                  <c:v>83%</c:v>
                </c:pt>
                <c:pt idx="10">
                  <c:v>88%</c:v>
                </c:pt>
                <c:pt idx="11">
                  <c:v>0%</c:v>
                </c:pt>
                <c:pt idx="12">
                  <c:v>92%</c:v>
                </c:pt>
                <c:pt idx="13">
                  <c:v>0%</c:v>
                </c:pt>
                <c:pt idx="14">
                  <c:v>79%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'18'!$AD$6:$AD$29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0.79166666666666663</c:v>
                </c:pt>
                <c:pt idx="6">
                  <c:v>1</c:v>
                </c:pt>
                <c:pt idx="7">
                  <c:v>0.58333333333333337</c:v>
                </c:pt>
                <c:pt idx="8">
                  <c:v>0</c:v>
                </c:pt>
                <c:pt idx="9">
                  <c:v>0.83333333333333337</c:v>
                </c:pt>
                <c:pt idx="10">
                  <c:v>0.875</c:v>
                </c:pt>
                <c:pt idx="11">
                  <c:v>0</c:v>
                </c:pt>
                <c:pt idx="12">
                  <c:v>0.91666666666666663</c:v>
                </c:pt>
                <c:pt idx="13">
                  <c:v>0</c:v>
                </c:pt>
                <c:pt idx="14">
                  <c:v>0.79166666666666663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6F-466D-955E-1CDCAEDE8EA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6F-466D-955E-1CDCAEDE8E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'18'!$AE$6:$AE$29</c:f>
              <c:numCache>
                <c:formatCode>0%</c:formatCode>
                <c:ptCount val="24"/>
                <c:pt idx="0">
                  <c:v>0.4079861111111111</c:v>
                </c:pt>
                <c:pt idx="1">
                  <c:v>0.4079861111111111</c:v>
                </c:pt>
                <c:pt idx="2">
                  <c:v>0.4079861111111111</c:v>
                </c:pt>
                <c:pt idx="3">
                  <c:v>0.4079861111111111</c:v>
                </c:pt>
                <c:pt idx="4">
                  <c:v>0.4079861111111111</c:v>
                </c:pt>
                <c:pt idx="5">
                  <c:v>0.4079861111111111</c:v>
                </c:pt>
                <c:pt idx="6">
                  <c:v>0.4079861111111111</c:v>
                </c:pt>
                <c:pt idx="7">
                  <c:v>0.4079861111111111</c:v>
                </c:pt>
                <c:pt idx="8">
                  <c:v>0.4079861111111111</c:v>
                </c:pt>
                <c:pt idx="9">
                  <c:v>0.4079861111111111</c:v>
                </c:pt>
                <c:pt idx="10">
                  <c:v>0.4079861111111111</c:v>
                </c:pt>
                <c:pt idx="11">
                  <c:v>0.4079861111111111</c:v>
                </c:pt>
                <c:pt idx="12">
                  <c:v>0.4079861111111111</c:v>
                </c:pt>
                <c:pt idx="13">
                  <c:v>0.4079861111111111</c:v>
                </c:pt>
                <c:pt idx="14">
                  <c:v>0.4079861111111111</c:v>
                </c:pt>
                <c:pt idx="15">
                  <c:v>0.4079861111111111</c:v>
                </c:pt>
                <c:pt idx="16">
                  <c:v>0.4079861111111111</c:v>
                </c:pt>
                <c:pt idx="17">
                  <c:v>0.4079861111111111</c:v>
                </c:pt>
                <c:pt idx="18">
                  <c:v>0.4079861111111111</c:v>
                </c:pt>
                <c:pt idx="19">
                  <c:v>0.4079861111111111</c:v>
                </c:pt>
                <c:pt idx="20">
                  <c:v>0.4079861111111111</c:v>
                </c:pt>
                <c:pt idx="21">
                  <c:v>0.4079861111111111</c:v>
                </c:pt>
                <c:pt idx="22">
                  <c:v>0.4079861111111111</c:v>
                </c:pt>
                <c:pt idx="23">
                  <c:v>0.4079861111111111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6F-466D-955E-1CDCAEDE8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'18'!$L$6:$L$29</c:f>
              <c:numCache>
                <c:formatCode>_(* #,##0_);_(* \(#,##0\);_(* "-"_);_(@_)</c:formatCode>
                <c:ptCount val="24"/>
                <c:pt idx="0">
                  <c:v>10212</c:v>
                </c:pt>
                <c:pt idx="2">
                  <c:v>10120</c:v>
                </c:pt>
                <c:pt idx="3">
                  <c:v>4883</c:v>
                </c:pt>
                <c:pt idx="5">
                  <c:v>7651</c:v>
                </c:pt>
                <c:pt idx="6">
                  <c:v>4808</c:v>
                </c:pt>
                <c:pt idx="7">
                  <c:v>2853</c:v>
                </c:pt>
                <c:pt idx="9">
                  <c:v>8206</c:v>
                </c:pt>
                <c:pt idx="10">
                  <c:v>8440</c:v>
                </c:pt>
                <c:pt idx="12">
                  <c:v>4988</c:v>
                </c:pt>
                <c:pt idx="14">
                  <c:v>7764</c:v>
                </c:pt>
                <c:pt idx="15">
                  <c:v>57396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1-4780-A73F-461700F2FD1D}"/>
            </c:ext>
          </c:extLst>
        </c:ser>
        <c:ser>
          <c:idx val="1"/>
          <c:order val="1"/>
          <c:tx>
            <c:v>계획</c:v>
          </c:tx>
          <c:cat>
            <c:strRef>
              <c:f>'18'!$D$6:$D$29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'18'!$J$6:$J$29</c:f>
              <c:numCache>
                <c:formatCode>_(* #,##0_);_(* \(#,##0\);_(* "-"_);_(@_)</c:formatCode>
                <c:ptCount val="24"/>
                <c:pt idx="0">
                  <c:v>10212</c:v>
                </c:pt>
                <c:pt idx="1">
                  <c:v>4876</c:v>
                </c:pt>
                <c:pt idx="2">
                  <c:v>10120</c:v>
                </c:pt>
                <c:pt idx="3">
                  <c:v>4883</c:v>
                </c:pt>
                <c:pt idx="4">
                  <c:v>3381</c:v>
                </c:pt>
                <c:pt idx="5">
                  <c:v>7651</c:v>
                </c:pt>
                <c:pt idx="6">
                  <c:v>4808</c:v>
                </c:pt>
                <c:pt idx="7">
                  <c:v>2853</c:v>
                </c:pt>
                <c:pt idx="8">
                  <c:v>100</c:v>
                </c:pt>
                <c:pt idx="9">
                  <c:v>8206</c:v>
                </c:pt>
                <c:pt idx="10">
                  <c:v>8440</c:v>
                </c:pt>
                <c:pt idx="11">
                  <c:v>21192</c:v>
                </c:pt>
                <c:pt idx="12">
                  <c:v>4988</c:v>
                </c:pt>
                <c:pt idx="13">
                  <c:v>4723</c:v>
                </c:pt>
                <c:pt idx="14">
                  <c:v>7764</c:v>
                </c:pt>
                <c:pt idx="15">
                  <c:v>57396</c:v>
                </c:pt>
                <c:pt idx="18">
                  <c:v>22300</c:v>
                </c:pt>
                <c:pt idx="19">
                  <c:v>0</c:v>
                </c:pt>
                <c:pt idx="20">
                  <c:v>19983</c:v>
                </c:pt>
                <c:pt idx="21">
                  <c:v>18138</c:v>
                </c:pt>
                <c:pt idx="22">
                  <c:v>26944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81-4780-A73F-461700F2F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'18'!$AD$6:$AD$29</c:f>
              <c:strCache>
                <c:ptCount val="24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79%</c:v>
                </c:pt>
                <c:pt idx="6">
                  <c:v>100%</c:v>
                </c:pt>
                <c:pt idx="7">
                  <c:v>58%</c:v>
                </c:pt>
                <c:pt idx="8">
                  <c:v>0%</c:v>
                </c:pt>
                <c:pt idx="9">
                  <c:v>83%</c:v>
                </c:pt>
                <c:pt idx="10">
                  <c:v>88%</c:v>
                </c:pt>
                <c:pt idx="11">
                  <c:v>0%</c:v>
                </c:pt>
                <c:pt idx="12">
                  <c:v>92%</c:v>
                </c:pt>
                <c:pt idx="13">
                  <c:v>0%</c:v>
                </c:pt>
                <c:pt idx="14">
                  <c:v>79%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'18'!$AD$6:$AD$29</c:f>
              <c:numCache>
                <c:formatCode>0%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0.79166666666666663</c:v>
                </c:pt>
                <c:pt idx="6">
                  <c:v>1</c:v>
                </c:pt>
                <c:pt idx="7">
                  <c:v>0.58333333333333337</c:v>
                </c:pt>
                <c:pt idx="8">
                  <c:v>0</c:v>
                </c:pt>
                <c:pt idx="9">
                  <c:v>0.83333333333333337</c:v>
                </c:pt>
                <c:pt idx="10">
                  <c:v>0.875</c:v>
                </c:pt>
                <c:pt idx="11">
                  <c:v>0</c:v>
                </c:pt>
                <c:pt idx="12">
                  <c:v>0.91666666666666663</c:v>
                </c:pt>
                <c:pt idx="13">
                  <c:v>0</c:v>
                </c:pt>
                <c:pt idx="14">
                  <c:v>0.79166666666666663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F-4488-85EC-A0D70BD0DCF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DF-4488-85EC-A0D70BD0DCF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SLIDER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'18'!$AE$6:$AE$29</c:f>
              <c:numCache>
                <c:formatCode>0%</c:formatCode>
                <c:ptCount val="24"/>
                <c:pt idx="0">
                  <c:v>0.4079861111111111</c:v>
                </c:pt>
                <c:pt idx="1">
                  <c:v>0.4079861111111111</c:v>
                </c:pt>
                <c:pt idx="2">
                  <c:v>0.4079861111111111</c:v>
                </c:pt>
                <c:pt idx="3">
                  <c:v>0.4079861111111111</c:v>
                </c:pt>
                <c:pt idx="4">
                  <c:v>0.4079861111111111</c:v>
                </c:pt>
                <c:pt idx="5">
                  <c:v>0.4079861111111111</c:v>
                </c:pt>
                <c:pt idx="6">
                  <c:v>0.4079861111111111</c:v>
                </c:pt>
                <c:pt idx="7">
                  <c:v>0.4079861111111111</c:v>
                </c:pt>
                <c:pt idx="8">
                  <c:v>0.4079861111111111</c:v>
                </c:pt>
                <c:pt idx="9">
                  <c:v>0.4079861111111111</c:v>
                </c:pt>
                <c:pt idx="10">
                  <c:v>0.4079861111111111</c:v>
                </c:pt>
                <c:pt idx="11">
                  <c:v>0.4079861111111111</c:v>
                </c:pt>
                <c:pt idx="12">
                  <c:v>0.4079861111111111</c:v>
                </c:pt>
                <c:pt idx="13">
                  <c:v>0.4079861111111111</c:v>
                </c:pt>
                <c:pt idx="14">
                  <c:v>0.4079861111111111</c:v>
                </c:pt>
                <c:pt idx="15">
                  <c:v>0.4079861111111111</c:v>
                </c:pt>
                <c:pt idx="16">
                  <c:v>0.4079861111111111</c:v>
                </c:pt>
                <c:pt idx="17">
                  <c:v>0.4079861111111111</c:v>
                </c:pt>
                <c:pt idx="18">
                  <c:v>0.4079861111111111</c:v>
                </c:pt>
                <c:pt idx="19">
                  <c:v>0.4079861111111111</c:v>
                </c:pt>
                <c:pt idx="20">
                  <c:v>0.4079861111111111</c:v>
                </c:pt>
                <c:pt idx="21">
                  <c:v>0.4079861111111111</c:v>
                </c:pt>
                <c:pt idx="22">
                  <c:v>0.4079861111111111</c:v>
                </c:pt>
                <c:pt idx="23">
                  <c:v>0.4079861111111111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DF-4488-85EC-A0D70BD0D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73E-4B0D-B616-CAF53E265D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3E-4B0D-B616-CAF53E265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73E-4B0D-B616-CAF53E265DE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3E-4B0D-B616-CAF53E265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'19'!$D$6:$D$30</c:f>
              <c:strCache>
                <c:ptCount val="24"/>
                <c:pt idx="0">
                  <c:v>SLIDER</c:v>
                </c:pt>
                <c:pt idx="1">
                  <c:v>F/A</c:v>
                </c:pt>
                <c:pt idx="2">
                  <c:v>LATCH/PLATE</c:v>
                </c:pt>
                <c:pt idx="3">
                  <c:v>COVER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'19'!$L$6:$L$30</c:f>
              <c:numCache>
                <c:formatCode>_(* #,##0_);_(* \(#,##0\);_(* "-"_);_(@_)</c:formatCode>
                <c:ptCount val="25"/>
                <c:pt idx="0">
                  <c:v>10998</c:v>
                </c:pt>
                <c:pt idx="1">
                  <c:v>1537</c:v>
                </c:pt>
                <c:pt idx="2">
                  <c:v>400</c:v>
                </c:pt>
                <c:pt idx="3">
                  <c:v>200</c:v>
                </c:pt>
                <c:pt idx="4">
                  <c:v>5069</c:v>
                </c:pt>
                <c:pt idx="5">
                  <c:v>4392</c:v>
                </c:pt>
                <c:pt idx="6">
                  <c:v>9096</c:v>
                </c:pt>
                <c:pt idx="7">
                  <c:v>4930</c:v>
                </c:pt>
                <c:pt idx="8">
                  <c:v>5186</c:v>
                </c:pt>
                <c:pt idx="10">
                  <c:v>11870</c:v>
                </c:pt>
                <c:pt idx="11">
                  <c:v>10782</c:v>
                </c:pt>
                <c:pt idx="13">
                  <c:v>2374</c:v>
                </c:pt>
                <c:pt idx="15">
                  <c:v>11032</c:v>
                </c:pt>
                <c:pt idx="16">
                  <c:v>63564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32-494A-AB41-19C3BA245107}"/>
            </c:ext>
          </c:extLst>
        </c:ser>
        <c:ser>
          <c:idx val="1"/>
          <c:order val="1"/>
          <c:tx>
            <c:v>계획</c:v>
          </c:tx>
          <c:cat>
            <c:strRef>
              <c:f>'19'!$D$6:$D$30</c:f>
              <c:strCache>
                <c:ptCount val="24"/>
                <c:pt idx="0">
                  <c:v>SLIDER</c:v>
                </c:pt>
                <c:pt idx="1">
                  <c:v>F/A</c:v>
                </c:pt>
                <c:pt idx="2">
                  <c:v>LATCH/PLATE</c:v>
                </c:pt>
                <c:pt idx="3">
                  <c:v>COVER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'19'!$J$6:$J$30</c:f>
              <c:numCache>
                <c:formatCode>_(* #,##0_);_(* \(#,##0\);_(* "-"_);_(@_)</c:formatCode>
                <c:ptCount val="25"/>
                <c:pt idx="0">
                  <c:v>10998</c:v>
                </c:pt>
                <c:pt idx="1">
                  <c:v>1537</c:v>
                </c:pt>
                <c:pt idx="2">
                  <c:v>400</c:v>
                </c:pt>
                <c:pt idx="3">
                  <c:v>400</c:v>
                </c:pt>
                <c:pt idx="4">
                  <c:v>5069</c:v>
                </c:pt>
                <c:pt idx="5">
                  <c:v>4392</c:v>
                </c:pt>
                <c:pt idx="6">
                  <c:v>9096</c:v>
                </c:pt>
                <c:pt idx="7">
                  <c:v>4930</c:v>
                </c:pt>
                <c:pt idx="8">
                  <c:v>5186</c:v>
                </c:pt>
                <c:pt idx="9">
                  <c:v>100</c:v>
                </c:pt>
                <c:pt idx="10">
                  <c:v>11870</c:v>
                </c:pt>
                <c:pt idx="11">
                  <c:v>10782</c:v>
                </c:pt>
                <c:pt idx="12">
                  <c:v>21192</c:v>
                </c:pt>
                <c:pt idx="13">
                  <c:v>2374</c:v>
                </c:pt>
                <c:pt idx="14">
                  <c:v>4723</c:v>
                </c:pt>
                <c:pt idx="15">
                  <c:v>11032</c:v>
                </c:pt>
                <c:pt idx="16">
                  <c:v>63564</c:v>
                </c:pt>
                <c:pt idx="19">
                  <c:v>22300</c:v>
                </c:pt>
                <c:pt idx="20">
                  <c:v>0</c:v>
                </c:pt>
                <c:pt idx="21">
                  <c:v>19983</c:v>
                </c:pt>
                <c:pt idx="22">
                  <c:v>18138</c:v>
                </c:pt>
                <c:pt idx="23">
                  <c:v>26944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32-494A-AB41-19C3BA245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'19'!$AD$6:$AD$30</c:f>
              <c:strCache>
                <c:ptCount val="25"/>
                <c:pt idx="0">
                  <c:v>100%</c:v>
                </c:pt>
                <c:pt idx="1">
                  <c:v>42%</c:v>
                </c:pt>
                <c:pt idx="2">
                  <c:v>13%</c:v>
                </c:pt>
                <c:pt idx="3">
                  <c:v>6%</c:v>
                </c:pt>
                <c:pt idx="4">
                  <c:v>100%</c:v>
                </c:pt>
                <c:pt idx="5">
                  <c:v>83%</c:v>
                </c:pt>
                <c:pt idx="6">
                  <c:v>92%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54%</c:v>
                </c:pt>
                <c:pt idx="14">
                  <c:v>0%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'19'!$D$6:$D$30</c:f>
              <c:strCache>
                <c:ptCount val="24"/>
                <c:pt idx="0">
                  <c:v>SLIDER</c:v>
                </c:pt>
                <c:pt idx="1">
                  <c:v>F/A</c:v>
                </c:pt>
                <c:pt idx="2">
                  <c:v>LATCH/PLATE</c:v>
                </c:pt>
                <c:pt idx="3">
                  <c:v>COVER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'19'!$AD$6:$AD$30</c:f>
              <c:numCache>
                <c:formatCode>0%</c:formatCode>
                <c:ptCount val="25"/>
                <c:pt idx="0">
                  <c:v>1</c:v>
                </c:pt>
                <c:pt idx="1">
                  <c:v>0.41666666666666669</c:v>
                </c:pt>
                <c:pt idx="2">
                  <c:v>0.125</c:v>
                </c:pt>
                <c:pt idx="3">
                  <c:v>6.25E-2</c:v>
                </c:pt>
                <c:pt idx="4">
                  <c:v>1</c:v>
                </c:pt>
                <c:pt idx="5">
                  <c:v>0.83333333333333337</c:v>
                </c:pt>
                <c:pt idx="6">
                  <c:v>0.91666666666666663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0.54166666666666663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A-4F0D-924D-357019AF927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2A-4F0D-924D-357019AF927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'19'!$D$6:$D$30</c:f>
              <c:strCache>
                <c:ptCount val="24"/>
                <c:pt idx="0">
                  <c:v>SLIDER</c:v>
                </c:pt>
                <c:pt idx="1">
                  <c:v>F/A</c:v>
                </c:pt>
                <c:pt idx="2">
                  <c:v>LATCH/PLATE</c:v>
                </c:pt>
                <c:pt idx="3">
                  <c:v>COVER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'19'!$AE$6:$AE$30</c:f>
              <c:numCache>
                <c:formatCode>0%</c:formatCode>
                <c:ptCount val="25"/>
                <c:pt idx="0">
                  <c:v>0.43583333333333335</c:v>
                </c:pt>
                <c:pt idx="1">
                  <c:v>0.43583333333333335</c:v>
                </c:pt>
                <c:pt idx="2">
                  <c:v>0.43583333333333335</c:v>
                </c:pt>
                <c:pt idx="3">
                  <c:v>0.43583333333333335</c:v>
                </c:pt>
                <c:pt idx="4">
                  <c:v>0.43583333333333335</c:v>
                </c:pt>
                <c:pt idx="5">
                  <c:v>0.43583333333333335</c:v>
                </c:pt>
                <c:pt idx="6">
                  <c:v>0.43583333333333335</c:v>
                </c:pt>
                <c:pt idx="7">
                  <c:v>0.43583333333333335</c:v>
                </c:pt>
                <c:pt idx="8">
                  <c:v>0.43583333333333335</c:v>
                </c:pt>
                <c:pt idx="9">
                  <c:v>0.43583333333333335</c:v>
                </c:pt>
                <c:pt idx="10">
                  <c:v>0.43583333333333335</c:v>
                </c:pt>
                <c:pt idx="11">
                  <c:v>0.43583333333333335</c:v>
                </c:pt>
                <c:pt idx="12">
                  <c:v>0.43583333333333335</c:v>
                </c:pt>
                <c:pt idx="13">
                  <c:v>0.43583333333333335</c:v>
                </c:pt>
                <c:pt idx="14">
                  <c:v>0.43583333333333335</c:v>
                </c:pt>
                <c:pt idx="15">
                  <c:v>0.43583333333333335</c:v>
                </c:pt>
                <c:pt idx="16">
                  <c:v>0.43583333333333335</c:v>
                </c:pt>
                <c:pt idx="17">
                  <c:v>0.43583333333333335</c:v>
                </c:pt>
                <c:pt idx="18">
                  <c:v>0.43583333333333335</c:v>
                </c:pt>
                <c:pt idx="19">
                  <c:v>0.43583333333333335</c:v>
                </c:pt>
                <c:pt idx="20">
                  <c:v>0.43583333333333335</c:v>
                </c:pt>
                <c:pt idx="21">
                  <c:v>0.43583333333333335</c:v>
                </c:pt>
                <c:pt idx="22">
                  <c:v>0.43583333333333335</c:v>
                </c:pt>
                <c:pt idx="23">
                  <c:v>0.43583333333333335</c:v>
                </c:pt>
                <c:pt idx="24">
                  <c:v>0.43583333333333335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2A-4F0D-924D-357019AF9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'19'!$D$6:$D$30</c:f>
              <c:strCache>
                <c:ptCount val="24"/>
                <c:pt idx="0">
                  <c:v>SLIDER</c:v>
                </c:pt>
                <c:pt idx="1">
                  <c:v>F/A</c:v>
                </c:pt>
                <c:pt idx="2">
                  <c:v>LATCH/PLATE</c:v>
                </c:pt>
                <c:pt idx="3">
                  <c:v>COVER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'19'!$L$6:$L$30</c:f>
              <c:numCache>
                <c:formatCode>_(* #,##0_);_(* \(#,##0\);_(* "-"_);_(@_)</c:formatCode>
                <c:ptCount val="25"/>
                <c:pt idx="0">
                  <c:v>10998</c:v>
                </c:pt>
                <c:pt idx="1">
                  <c:v>1537</c:v>
                </c:pt>
                <c:pt idx="2">
                  <c:v>400</c:v>
                </c:pt>
                <c:pt idx="3">
                  <c:v>200</c:v>
                </c:pt>
                <c:pt idx="4">
                  <c:v>5069</c:v>
                </c:pt>
                <c:pt idx="5">
                  <c:v>4392</c:v>
                </c:pt>
                <c:pt idx="6">
                  <c:v>9096</c:v>
                </c:pt>
                <c:pt idx="7">
                  <c:v>4930</c:v>
                </c:pt>
                <c:pt idx="8">
                  <c:v>5186</c:v>
                </c:pt>
                <c:pt idx="10">
                  <c:v>11870</c:v>
                </c:pt>
                <c:pt idx="11">
                  <c:v>10782</c:v>
                </c:pt>
                <c:pt idx="13">
                  <c:v>2374</c:v>
                </c:pt>
                <c:pt idx="15">
                  <c:v>11032</c:v>
                </c:pt>
                <c:pt idx="16">
                  <c:v>63564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E-442C-A4B7-4F4920EF25F2}"/>
            </c:ext>
          </c:extLst>
        </c:ser>
        <c:ser>
          <c:idx val="1"/>
          <c:order val="1"/>
          <c:tx>
            <c:v>계획</c:v>
          </c:tx>
          <c:cat>
            <c:strRef>
              <c:f>'19'!$D$6:$D$30</c:f>
              <c:strCache>
                <c:ptCount val="24"/>
                <c:pt idx="0">
                  <c:v>SLIDER</c:v>
                </c:pt>
                <c:pt idx="1">
                  <c:v>F/A</c:v>
                </c:pt>
                <c:pt idx="2">
                  <c:v>LATCH/PLATE</c:v>
                </c:pt>
                <c:pt idx="3">
                  <c:v>COVER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'19'!$J$6:$J$30</c:f>
              <c:numCache>
                <c:formatCode>_(* #,##0_);_(* \(#,##0\);_(* "-"_);_(@_)</c:formatCode>
                <c:ptCount val="25"/>
                <c:pt idx="0">
                  <c:v>10998</c:v>
                </c:pt>
                <c:pt idx="1">
                  <c:v>1537</c:v>
                </c:pt>
                <c:pt idx="2">
                  <c:v>400</c:v>
                </c:pt>
                <c:pt idx="3">
                  <c:v>400</c:v>
                </c:pt>
                <c:pt idx="4">
                  <c:v>5069</c:v>
                </c:pt>
                <c:pt idx="5">
                  <c:v>4392</c:v>
                </c:pt>
                <c:pt idx="6">
                  <c:v>9096</c:v>
                </c:pt>
                <c:pt idx="7">
                  <c:v>4930</c:v>
                </c:pt>
                <c:pt idx="8">
                  <c:v>5186</c:v>
                </c:pt>
                <c:pt idx="9">
                  <c:v>100</c:v>
                </c:pt>
                <c:pt idx="10">
                  <c:v>11870</c:v>
                </c:pt>
                <c:pt idx="11">
                  <c:v>10782</c:v>
                </c:pt>
                <c:pt idx="12">
                  <c:v>21192</c:v>
                </c:pt>
                <c:pt idx="13">
                  <c:v>2374</c:v>
                </c:pt>
                <c:pt idx="14">
                  <c:v>4723</c:v>
                </c:pt>
                <c:pt idx="15">
                  <c:v>11032</c:v>
                </c:pt>
                <c:pt idx="16">
                  <c:v>63564</c:v>
                </c:pt>
                <c:pt idx="19">
                  <c:v>22300</c:v>
                </c:pt>
                <c:pt idx="20">
                  <c:v>0</c:v>
                </c:pt>
                <c:pt idx="21">
                  <c:v>19983</c:v>
                </c:pt>
                <c:pt idx="22">
                  <c:v>18138</c:v>
                </c:pt>
                <c:pt idx="23">
                  <c:v>26944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E-442C-A4B7-4F4920EF2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'19'!$AD$6:$AD$30</c:f>
              <c:strCache>
                <c:ptCount val="25"/>
                <c:pt idx="0">
                  <c:v>100%</c:v>
                </c:pt>
                <c:pt idx="1">
                  <c:v>42%</c:v>
                </c:pt>
                <c:pt idx="2">
                  <c:v>13%</c:v>
                </c:pt>
                <c:pt idx="3">
                  <c:v>6%</c:v>
                </c:pt>
                <c:pt idx="4">
                  <c:v>100%</c:v>
                </c:pt>
                <c:pt idx="5">
                  <c:v>83%</c:v>
                </c:pt>
                <c:pt idx="6">
                  <c:v>92%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54%</c:v>
                </c:pt>
                <c:pt idx="14">
                  <c:v>0%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'19'!$D$6:$D$30</c:f>
              <c:strCache>
                <c:ptCount val="24"/>
                <c:pt idx="0">
                  <c:v>SLIDER</c:v>
                </c:pt>
                <c:pt idx="1">
                  <c:v>F/A</c:v>
                </c:pt>
                <c:pt idx="2">
                  <c:v>LATCH/PLATE</c:v>
                </c:pt>
                <c:pt idx="3">
                  <c:v>COVER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'19'!$AD$6:$AD$30</c:f>
              <c:numCache>
                <c:formatCode>0%</c:formatCode>
                <c:ptCount val="25"/>
                <c:pt idx="0">
                  <c:v>1</c:v>
                </c:pt>
                <c:pt idx="1">
                  <c:v>0.41666666666666669</c:v>
                </c:pt>
                <c:pt idx="2">
                  <c:v>0.125</c:v>
                </c:pt>
                <c:pt idx="3">
                  <c:v>6.25E-2</c:v>
                </c:pt>
                <c:pt idx="4">
                  <c:v>1</c:v>
                </c:pt>
                <c:pt idx="5">
                  <c:v>0.83333333333333337</c:v>
                </c:pt>
                <c:pt idx="6">
                  <c:v>0.91666666666666663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0.54166666666666663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E-455B-BDB8-BA9852E65BA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DE-455B-BDB8-BA9852E65BA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'19'!$D$6:$D$30</c:f>
              <c:strCache>
                <c:ptCount val="24"/>
                <c:pt idx="0">
                  <c:v>SLIDER</c:v>
                </c:pt>
                <c:pt idx="1">
                  <c:v>F/A</c:v>
                </c:pt>
                <c:pt idx="2">
                  <c:v>LATCH/PLATE</c:v>
                </c:pt>
                <c:pt idx="3">
                  <c:v>COVER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2">
                  <c:v>SLIDER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'19'!$AE$6:$AE$30</c:f>
              <c:numCache>
                <c:formatCode>0%</c:formatCode>
                <c:ptCount val="25"/>
                <c:pt idx="0">
                  <c:v>0.43583333333333335</c:v>
                </c:pt>
                <c:pt idx="1">
                  <c:v>0.43583333333333335</c:v>
                </c:pt>
                <c:pt idx="2">
                  <c:v>0.43583333333333335</c:v>
                </c:pt>
                <c:pt idx="3">
                  <c:v>0.43583333333333335</c:v>
                </c:pt>
                <c:pt idx="4">
                  <c:v>0.43583333333333335</c:v>
                </c:pt>
                <c:pt idx="5">
                  <c:v>0.43583333333333335</c:v>
                </c:pt>
                <c:pt idx="6">
                  <c:v>0.43583333333333335</c:v>
                </c:pt>
                <c:pt idx="7">
                  <c:v>0.43583333333333335</c:v>
                </c:pt>
                <c:pt idx="8">
                  <c:v>0.43583333333333335</c:v>
                </c:pt>
                <c:pt idx="9">
                  <c:v>0.43583333333333335</c:v>
                </c:pt>
                <c:pt idx="10">
                  <c:v>0.43583333333333335</c:v>
                </c:pt>
                <c:pt idx="11">
                  <c:v>0.43583333333333335</c:v>
                </c:pt>
                <c:pt idx="12">
                  <c:v>0.43583333333333335</c:v>
                </c:pt>
                <c:pt idx="13">
                  <c:v>0.43583333333333335</c:v>
                </c:pt>
                <c:pt idx="14">
                  <c:v>0.43583333333333335</c:v>
                </c:pt>
                <c:pt idx="15">
                  <c:v>0.43583333333333335</c:v>
                </c:pt>
                <c:pt idx="16">
                  <c:v>0.43583333333333335</c:v>
                </c:pt>
                <c:pt idx="17">
                  <c:v>0.43583333333333335</c:v>
                </c:pt>
                <c:pt idx="18">
                  <c:v>0.43583333333333335</c:v>
                </c:pt>
                <c:pt idx="19">
                  <c:v>0.43583333333333335</c:v>
                </c:pt>
                <c:pt idx="20">
                  <c:v>0.43583333333333335</c:v>
                </c:pt>
                <c:pt idx="21">
                  <c:v>0.43583333333333335</c:v>
                </c:pt>
                <c:pt idx="22">
                  <c:v>0.43583333333333335</c:v>
                </c:pt>
                <c:pt idx="23">
                  <c:v>0.43583333333333335</c:v>
                </c:pt>
                <c:pt idx="24">
                  <c:v>0.43583333333333335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DE-455B-BDB8-BA9852E65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275-4DC7-B1BA-E021A94E2F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75-4DC7-B1BA-E021A94E2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275-4DC7-B1BA-E021A94E2FF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75-4DC7-B1BA-E021A94E2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F/A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'20'!$L$6:$L$29</c:f>
              <c:numCache>
                <c:formatCode>_(* #,##0_);_(* \(#,##0\);_(* "-"_);_(@_)</c:formatCode>
                <c:ptCount val="24"/>
                <c:pt idx="0">
                  <c:v>10796</c:v>
                </c:pt>
                <c:pt idx="1">
                  <c:v>4217</c:v>
                </c:pt>
                <c:pt idx="2">
                  <c:v>20716</c:v>
                </c:pt>
                <c:pt idx="3">
                  <c:v>4649</c:v>
                </c:pt>
                <c:pt idx="4">
                  <c:v>5682</c:v>
                </c:pt>
                <c:pt idx="5">
                  <c:v>10744</c:v>
                </c:pt>
                <c:pt idx="6">
                  <c:v>5015</c:v>
                </c:pt>
                <c:pt idx="7">
                  <c:v>4035</c:v>
                </c:pt>
                <c:pt idx="9">
                  <c:v>12258</c:v>
                </c:pt>
                <c:pt idx="10">
                  <c:v>9098</c:v>
                </c:pt>
                <c:pt idx="11">
                  <c:v>327</c:v>
                </c:pt>
                <c:pt idx="12">
                  <c:v>4173</c:v>
                </c:pt>
                <c:pt idx="13">
                  <c:v>4287</c:v>
                </c:pt>
                <c:pt idx="14">
                  <c:v>11156</c:v>
                </c:pt>
                <c:pt idx="15">
                  <c:v>64736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7-49AD-B792-7DF393087CA9}"/>
            </c:ext>
          </c:extLst>
        </c:ser>
        <c:ser>
          <c:idx val="1"/>
          <c:order val="1"/>
          <c:tx>
            <c:v>계획</c:v>
          </c:tx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F/A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'20'!$J$6:$J$29</c:f>
              <c:numCache>
                <c:formatCode>_(* #,##0_);_(* \(#,##0\);_(* "-"_);_(@_)</c:formatCode>
                <c:ptCount val="24"/>
                <c:pt idx="0">
                  <c:v>10796</c:v>
                </c:pt>
                <c:pt idx="1">
                  <c:v>4217</c:v>
                </c:pt>
                <c:pt idx="2">
                  <c:v>20716</c:v>
                </c:pt>
                <c:pt idx="3">
                  <c:v>4649</c:v>
                </c:pt>
                <c:pt idx="4">
                  <c:v>5682</c:v>
                </c:pt>
                <c:pt idx="5">
                  <c:v>10744</c:v>
                </c:pt>
                <c:pt idx="6">
                  <c:v>5015</c:v>
                </c:pt>
                <c:pt idx="7">
                  <c:v>4035</c:v>
                </c:pt>
                <c:pt idx="8">
                  <c:v>100</c:v>
                </c:pt>
                <c:pt idx="9">
                  <c:v>12258</c:v>
                </c:pt>
                <c:pt idx="10">
                  <c:v>9098</c:v>
                </c:pt>
                <c:pt idx="11">
                  <c:v>327</c:v>
                </c:pt>
                <c:pt idx="12">
                  <c:v>4173</c:v>
                </c:pt>
                <c:pt idx="13">
                  <c:v>4287</c:v>
                </c:pt>
                <c:pt idx="14">
                  <c:v>11156</c:v>
                </c:pt>
                <c:pt idx="15">
                  <c:v>64736</c:v>
                </c:pt>
                <c:pt idx="18">
                  <c:v>22300</c:v>
                </c:pt>
                <c:pt idx="19">
                  <c:v>0</c:v>
                </c:pt>
                <c:pt idx="20">
                  <c:v>19983</c:v>
                </c:pt>
                <c:pt idx="21">
                  <c:v>18138</c:v>
                </c:pt>
                <c:pt idx="22">
                  <c:v>26944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7-49AD-B792-7DF393087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'20'!$AD$6:$AD$29</c:f>
              <c:strCache>
                <c:ptCount val="24"/>
                <c:pt idx="0">
                  <c:v>100%</c:v>
                </c:pt>
                <c:pt idx="1">
                  <c:v>92%</c:v>
                </c:pt>
                <c:pt idx="2">
                  <c:v>96%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13%</c:v>
                </c:pt>
                <c:pt idx="12">
                  <c:v>88%</c:v>
                </c:pt>
                <c:pt idx="13">
                  <c:v>88%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F/A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'20'!$AD$6:$AD$29</c:f>
              <c:numCache>
                <c:formatCode>0%</c:formatCode>
                <c:ptCount val="24"/>
                <c:pt idx="0">
                  <c:v>1</c:v>
                </c:pt>
                <c:pt idx="1">
                  <c:v>0.91666666666666663</c:v>
                </c:pt>
                <c:pt idx="2">
                  <c:v>0.95833333333333337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0.125</c:v>
                </c:pt>
                <c:pt idx="12">
                  <c:v>0.875</c:v>
                </c:pt>
                <c:pt idx="13">
                  <c:v>0.875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50-4FD1-95CD-C59A20AA0D0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50-4FD1-95CD-C59A20AA0D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F/A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'20'!$AE$6:$AE$29</c:f>
              <c:numCache>
                <c:formatCode>0%</c:formatCode>
                <c:ptCount val="24"/>
                <c:pt idx="0">
                  <c:v>0.56944444444444453</c:v>
                </c:pt>
                <c:pt idx="1">
                  <c:v>0.56944444444444453</c:v>
                </c:pt>
                <c:pt idx="2">
                  <c:v>0.56944444444444453</c:v>
                </c:pt>
                <c:pt idx="3">
                  <c:v>0.56944444444444453</c:v>
                </c:pt>
                <c:pt idx="4">
                  <c:v>0.56944444444444453</c:v>
                </c:pt>
                <c:pt idx="5">
                  <c:v>0.56944444444444453</c:v>
                </c:pt>
                <c:pt idx="6">
                  <c:v>0.56944444444444453</c:v>
                </c:pt>
                <c:pt idx="7">
                  <c:v>0.56944444444444453</c:v>
                </c:pt>
                <c:pt idx="8">
                  <c:v>0.56944444444444453</c:v>
                </c:pt>
                <c:pt idx="9">
                  <c:v>0.56944444444444453</c:v>
                </c:pt>
                <c:pt idx="10">
                  <c:v>0.56944444444444453</c:v>
                </c:pt>
                <c:pt idx="11">
                  <c:v>0.56944444444444453</c:v>
                </c:pt>
                <c:pt idx="12">
                  <c:v>0.56944444444444453</c:v>
                </c:pt>
                <c:pt idx="13">
                  <c:v>0.56944444444444453</c:v>
                </c:pt>
                <c:pt idx="14">
                  <c:v>0.56944444444444453</c:v>
                </c:pt>
                <c:pt idx="15">
                  <c:v>0.56944444444444453</c:v>
                </c:pt>
                <c:pt idx="16">
                  <c:v>0.56944444444444453</c:v>
                </c:pt>
                <c:pt idx="17">
                  <c:v>0.56944444444444453</c:v>
                </c:pt>
                <c:pt idx="18">
                  <c:v>0.56944444444444453</c:v>
                </c:pt>
                <c:pt idx="19">
                  <c:v>0.56944444444444453</c:v>
                </c:pt>
                <c:pt idx="20">
                  <c:v>0.56944444444444453</c:v>
                </c:pt>
                <c:pt idx="21">
                  <c:v>0.56944444444444453</c:v>
                </c:pt>
                <c:pt idx="22">
                  <c:v>0.56944444444444453</c:v>
                </c:pt>
                <c:pt idx="23">
                  <c:v>0.56944444444444453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50-4FD1-95CD-C59A20AA0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F/A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'20'!$L$6:$L$29</c:f>
              <c:numCache>
                <c:formatCode>_(* #,##0_);_(* \(#,##0\);_(* "-"_);_(@_)</c:formatCode>
                <c:ptCount val="24"/>
                <c:pt idx="0">
                  <c:v>10796</c:v>
                </c:pt>
                <c:pt idx="1">
                  <c:v>4217</c:v>
                </c:pt>
                <c:pt idx="2">
                  <c:v>20716</c:v>
                </c:pt>
                <c:pt idx="3">
                  <c:v>4649</c:v>
                </c:pt>
                <c:pt idx="4">
                  <c:v>5682</c:v>
                </c:pt>
                <c:pt idx="5">
                  <c:v>10744</c:v>
                </c:pt>
                <c:pt idx="6">
                  <c:v>5015</c:v>
                </c:pt>
                <c:pt idx="7">
                  <c:v>4035</c:v>
                </c:pt>
                <c:pt idx="9">
                  <c:v>12258</c:v>
                </c:pt>
                <c:pt idx="10">
                  <c:v>9098</c:v>
                </c:pt>
                <c:pt idx="11">
                  <c:v>327</c:v>
                </c:pt>
                <c:pt idx="12">
                  <c:v>4173</c:v>
                </c:pt>
                <c:pt idx="13">
                  <c:v>4287</c:v>
                </c:pt>
                <c:pt idx="14">
                  <c:v>11156</c:v>
                </c:pt>
                <c:pt idx="15">
                  <c:v>64736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44-4401-84B7-98EACCF8E5F2}"/>
            </c:ext>
          </c:extLst>
        </c:ser>
        <c:ser>
          <c:idx val="1"/>
          <c:order val="1"/>
          <c:tx>
            <c:v>계획</c:v>
          </c:tx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F/A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'20'!$J$6:$J$29</c:f>
              <c:numCache>
                <c:formatCode>_(* #,##0_);_(* \(#,##0\);_(* "-"_);_(@_)</c:formatCode>
                <c:ptCount val="24"/>
                <c:pt idx="0">
                  <c:v>10796</c:v>
                </c:pt>
                <c:pt idx="1">
                  <c:v>4217</c:v>
                </c:pt>
                <c:pt idx="2">
                  <c:v>20716</c:v>
                </c:pt>
                <c:pt idx="3">
                  <c:v>4649</c:v>
                </c:pt>
                <c:pt idx="4">
                  <c:v>5682</c:v>
                </c:pt>
                <c:pt idx="5">
                  <c:v>10744</c:v>
                </c:pt>
                <c:pt idx="6">
                  <c:v>5015</c:v>
                </c:pt>
                <c:pt idx="7">
                  <c:v>4035</c:v>
                </c:pt>
                <c:pt idx="8">
                  <c:v>100</c:v>
                </c:pt>
                <c:pt idx="9">
                  <c:v>12258</c:v>
                </c:pt>
                <c:pt idx="10">
                  <c:v>9098</c:v>
                </c:pt>
                <c:pt idx="11">
                  <c:v>327</c:v>
                </c:pt>
                <c:pt idx="12">
                  <c:v>4173</c:v>
                </c:pt>
                <c:pt idx="13">
                  <c:v>4287</c:v>
                </c:pt>
                <c:pt idx="14">
                  <c:v>11156</c:v>
                </c:pt>
                <c:pt idx="15">
                  <c:v>64736</c:v>
                </c:pt>
                <c:pt idx="18">
                  <c:v>22300</c:v>
                </c:pt>
                <c:pt idx="19">
                  <c:v>0</c:v>
                </c:pt>
                <c:pt idx="20">
                  <c:v>19983</c:v>
                </c:pt>
                <c:pt idx="21">
                  <c:v>18138</c:v>
                </c:pt>
                <c:pt idx="22">
                  <c:v>26944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44-4401-84B7-98EACCF8E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'20'!$AD$6:$AD$29</c:f>
              <c:strCache>
                <c:ptCount val="24"/>
                <c:pt idx="0">
                  <c:v>100%</c:v>
                </c:pt>
                <c:pt idx="1">
                  <c:v>92%</c:v>
                </c:pt>
                <c:pt idx="2">
                  <c:v>96%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13%</c:v>
                </c:pt>
                <c:pt idx="12">
                  <c:v>88%</c:v>
                </c:pt>
                <c:pt idx="13">
                  <c:v>88%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F/A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'20'!$AD$6:$AD$29</c:f>
              <c:numCache>
                <c:formatCode>0%</c:formatCode>
                <c:ptCount val="24"/>
                <c:pt idx="0">
                  <c:v>1</c:v>
                </c:pt>
                <c:pt idx="1">
                  <c:v>0.91666666666666663</c:v>
                </c:pt>
                <c:pt idx="2">
                  <c:v>0.95833333333333337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0.125</c:v>
                </c:pt>
                <c:pt idx="12">
                  <c:v>0.875</c:v>
                </c:pt>
                <c:pt idx="13">
                  <c:v>0.875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6-4364-96F2-6EA3E50B081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C6-4364-96F2-6EA3E50B081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'20'!$D$6:$D$29</c:f>
              <c:strCache>
                <c:ptCount val="23"/>
                <c:pt idx="0">
                  <c:v>SLIDER</c:v>
                </c:pt>
                <c:pt idx="1">
                  <c:v>F/A</c:v>
                </c:pt>
                <c:pt idx="2">
                  <c:v>BASE</c:v>
                </c:pt>
                <c:pt idx="3">
                  <c:v>ST/HO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1">
                  <c:v>ADAPTER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'20'!$AE$6:$AE$29</c:f>
              <c:numCache>
                <c:formatCode>0%</c:formatCode>
                <c:ptCount val="24"/>
                <c:pt idx="0">
                  <c:v>0.56944444444444453</c:v>
                </c:pt>
                <c:pt idx="1">
                  <c:v>0.56944444444444453</c:v>
                </c:pt>
                <c:pt idx="2">
                  <c:v>0.56944444444444453</c:v>
                </c:pt>
                <c:pt idx="3">
                  <c:v>0.56944444444444453</c:v>
                </c:pt>
                <c:pt idx="4">
                  <c:v>0.56944444444444453</c:v>
                </c:pt>
                <c:pt idx="5">
                  <c:v>0.56944444444444453</c:v>
                </c:pt>
                <c:pt idx="6">
                  <c:v>0.56944444444444453</c:v>
                </c:pt>
                <c:pt idx="7">
                  <c:v>0.56944444444444453</c:v>
                </c:pt>
                <c:pt idx="8">
                  <c:v>0.56944444444444453</c:v>
                </c:pt>
                <c:pt idx="9">
                  <c:v>0.56944444444444453</c:v>
                </c:pt>
                <c:pt idx="10">
                  <c:v>0.56944444444444453</c:v>
                </c:pt>
                <c:pt idx="11">
                  <c:v>0.56944444444444453</c:v>
                </c:pt>
                <c:pt idx="12">
                  <c:v>0.56944444444444453</c:v>
                </c:pt>
                <c:pt idx="13">
                  <c:v>0.56944444444444453</c:v>
                </c:pt>
                <c:pt idx="14">
                  <c:v>0.56944444444444453</c:v>
                </c:pt>
                <c:pt idx="15">
                  <c:v>0.56944444444444453</c:v>
                </c:pt>
                <c:pt idx="16">
                  <c:v>0.56944444444444453</c:v>
                </c:pt>
                <c:pt idx="17">
                  <c:v>0.56944444444444453</c:v>
                </c:pt>
                <c:pt idx="18">
                  <c:v>0.56944444444444453</c:v>
                </c:pt>
                <c:pt idx="19">
                  <c:v>0.56944444444444453</c:v>
                </c:pt>
                <c:pt idx="20">
                  <c:v>0.56944444444444453</c:v>
                </c:pt>
                <c:pt idx="21">
                  <c:v>0.56944444444444453</c:v>
                </c:pt>
                <c:pt idx="22">
                  <c:v>0.56944444444444453</c:v>
                </c:pt>
                <c:pt idx="23">
                  <c:v>0.56944444444444453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C6-4364-96F2-6EA3E50B0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47E-43DB-8F16-5594ADD44E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7E-43DB-8F16-5594ADD44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47E-43DB-8F16-5594ADD44EB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7E-43DB-8F16-5594ADD44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'21'!$L$6:$L$30</c:f>
              <c:numCache>
                <c:formatCode>_(* #,##0_);_(* \(#,##0\);_(* "-"_);_(@_)</c:formatCode>
                <c:ptCount val="25"/>
                <c:pt idx="0">
                  <c:v>10946</c:v>
                </c:pt>
                <c:pt idx="1">
                  <c:v>10816</c:v>
                </c:pt>
                <c:pt idx="2">
                  <c:v>5620</c:v>
                </c:pt>
                <c:pt idx="3">
                  <c:v>6714</c:v>
                </c:pt>
                <c:pt idx="4">
                  <c:v>4728</c:v>
                </c:pt>
                <c:pt idx="5">
                  <c:v>5705</c:v>
                </c:pt>
                <c:pt idx="6">
                  <c:v>10878</c:v>
                </c:pt>
                <c:pt idx="7">
                  <c:v>4784</c:v>
                </c:pt>
                <c:pt idx="8">
                  <c:v>1124</c:v>
                </c:pt>
                <c:pt idx="10">
                  <c:v>12474</c:v>
                </c:pt>
                <c:pt idx="11">
                  <c:v>8530</c:v>
                </c:pt>
                <c:pt idx="12">
                  <c:v>3864</c:v>
                </c:pt>
                <c:pt idx="13">
                  <c:v>4163</c:v>
                </c:pt>
                <c:pt idx="14">
                  <c:v>5676</c:v>
                </c:pt>
                <c:pt idx="15">
                  <c:v>11220</c:v>
                </c:pt>
                <c:pt idx="16">
                  <c:v>63568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7E-46DD-875A-45BCB32B7C5C}"/>
            </c:ext>
          </c:extLst>
        </c:ser>
        <c:ser>
          <c:idx val="1"/>
          <c:order val="1"/>
          <c:tx>
            <c:v>계획</c:v>
          </c:tx>
          <c:cat>
            <c:strRef>
              <c:f>'21'!$D$6:$D$30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'21'!$J$6:$J$30</c:f>
              <c:numCache>
                <c:formatCode>_(* #,##0_);_(* \(#,##0\);_(* "-"_);_(@_)</c:formatCode>
                <c:ptCount val="25"/>
                <c:pt idx="0">
                  <c:v>10946</c:v>
                </c:pt>
                <c:pt idx="1">
                  <c:v>10816</c:v>
                </c:pt>
                <c:pt idx="2">
                  <c:v>5620</c:v>
                </c:pt>
                <c:pt idx="3">
                  <c:v>6714</c:v>
                </c:pt>
                <c:pt idx="4">
                  <c:v>4728</c:v>
                </c:pt>
                <c:pt idx="5">
                  <c:v>5705</c:v>
                </c:pt>
                <c:pt idx="6">
                  <c:v>10878</c:v>
                </c:pt>
                <c:pt idx="7">
                  <c:v>4784</c:v>
                </c:pt>
                <c:pt idx="8">
                  <c:v>1124</c:v>
                </c:pt>
                <c:pt idx="9">
                  <c:v>100</c:v>
                </c:pt>
                <c:pt idx="10">
                  <c:v>12474</c:v>
                </c:pt>
                <c:pt idx="11">
                  <c:v>8530</c:v>
                </c:pt>
                <c:pt idx="12">
                  <c:v>3864</c:v>
                </c:pt>
                <c:pt idx="13">
                  <c:v>4163</c:v>
                </c:pt>
                <c:pt idx="14">
                  <c:v>5676</c:v>
                </c:pt>
                <c:pt idx="15">
                  <c:v>11220</c:v>
                </c:pt>
                <c:pt idx="16">
                  <c:v>63568</c:v>
                </c:pt>
                <c:pt idx="19">
                  <c:v>22300</c:v>
                </c:pt>
                <c:pt idx="20">
                  <c:v>0</c:v>
                </c:pt>
                <c:pt idx="21">
                  <c:v>19983</c:v>
                </c:pt>
                <c:pt idx="22">
                  <c:v>18138</c:v>
                </c:pt>
                <c:pt idx="23">
                  <c:v>26944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7E-46DD-875A-45BCB32B7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'21'!$AD$6:$AD$30</c:f>
              <c:strCache>
                <c:ptCount val="25"/>
                <c:pt idx="0">
                  <c:v>100%</c:v>
                </c:pt>
                <c:pt idx="1">
                  <c:v>100%</c:v>
                </c:pt>
                <c:pt idx="2">
                  <c:v>29%</c:v>
                </c:pt>
                <c:pt idx="3">
                  <c:v>63%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29%</c:v>
                </c:pt>
                <c:pt idx="9">
                  <c:v>0%</c:v>
                </c:pt>
                <c:pt idx="10">
                  <c:v>100%</c:v>
                </c:pt>
                <c:pt idx="11">
                  <c:v>83%</c:v>
                </c:pt>
                <c:pt idx="12">
                  <c:v>79%</c:v>
                </c:pt>
                <c:pt idx="13">
                  <c:v>88%</c:v>
                </c:pt>
                <c:pt idx="14">
                  <c:v>100%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'21'!$AD$6:$AD$30</c:f>
              <c:numCache>
                <c:formatCode>0%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0.29166666666666669</c:v>
                </c:pt>
                <c:pt idx="3">
                  <c:v>0.625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0.29166666666666669</c:v>
                </c:pt>
                <c:pt idx="9">
                  <c:v>0</c:v>
                </c:pt>
                <c:pt idx="10">
                  <c:v>1</c:v>
                </c:pt>
                <c:pt idx="11">
                  <c:v>0.83333333333333337</c:v>
                </c:pt>
                <c:pt idx="12">
                  <c:v>0.79166666666666663</c:v>
                </c:pt>
                <c:pt idx="13">
                  <c:v>0.875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F-4EFF-BEFD-88FB8A893DC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BF-4EFF-BEFD-88FB8A893DC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'21'!$AE$6:$AE$30</c:f>
              <c:numCache>
                <c:formatCode>0%</c:formatCode>
                <c:ptCount val="25"/>
                <c:pt idx="0">
                  <c:v>0.54833333333333334</c:v>
                </c:pt>
                <c:pt idx="1">
                  <c:v>0.54833333333333334</c:v>
                </c:pt>
                <c:pt idx="2">
                  <c:v>0.54833333333333334</c:v>
                </c:pt>
                <c:pt idx="3">
                  <c:v>0.54833333333333334</c:v>
                </c:pt>
                <c:pt idx="4">
                  <c:v>0.54833333333333334</c:v>
                </c:pt>
                <c:pt idx="5">
                  <c:v>0.54833333333333334</c:v>
                </c:pt>
                <c:pt idx="6">
                  <c:v>0.54833333333333334</c:v>
                </c:pt>
                <c:pt idx="7">
                  <c:v>0.54833333333333334</c:v>
                </c:pt>
                <c:pt idx="8">
                  <c:v>0.54833333333333334</c:v>
                </c:pt>
                <c:pt idx="9">
                  <c:v>0.54833333333333334</c:v>
                </c:pt>
                <c:pt idx="10">
                  <c:v>0.54833333333333334</c:v>
                </c:pt>
                <c:pt idx="11">
                  <c:v>0.54833333333333334</c:v>
                </c:pt>
                <c:pt idx="12">
                  <c:v>0.54833333333333334</c:v>
                </c:pt>
                <c:pt idx="13">
                  <c:v>0.54833333333333334</c:v>
                </c:pt>
                <c:pt idx="14">
                  <c:v>0.54833333333333334</c:v>
                </c:pt>
                <c:pt idx="15">
                  <c:v>0.54833333333333334</c:v>
                </c:pt>
                <c:pt idx="16">
                  <c:v>0.54833333333333334</c:v>
                </c:pt>
                <c:pt idx="17">
                  <c:v>0.54833333333333334</c:v>
                </c:pt>
                <c:pt idx="18">
                  <c:v>0.54833333333333334</c:v>
                </c:pt>
                <c:pt idx="19">
                  <c:v>0.54833333333333334</c:v>
                </c:pt>
                <c:pt idx="20">
                  <c:v>0.54833333333333334</c:v>
                </c:pt>
                <c:pt idx="21">
                  <c:v>0.54833333333333334</c:v>
                </c:pt>
                <c:pt idx="22">
                  <c:v>0.54833333333333334</c:v>
                </c:pt>
                <c:pt idx="23">
                  <c:v>0.54833333333333334</c:v>
                </c:pt>
                <c:pt idx="24">
                  <c:v>0.54833333333333334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BF-4EFF-BEFD-88FB8A893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'21'!$L$6:$L$30</c:f>
              <c:numCache>
                <c:formatCode>_(* #,##0_);_(* \(#,##0\);_(* "-"_);_(@_)</c:formatCode>
                <c:ptCount val="25"/>
                <c:pt idx="0">
                  <c:v>10946</c:v>
                </c:pt>
                <c:pt idx="1">
                  <c:v>10816</c:v>
                </c:pt>
                <c:pt idx="2">
                  <c:v>5620</c:v>
                </c:pt>
                <c:pt idx="3">
                  <c:v>6714</c:v>
                </c:pt>
                <c:pt idx="4">
                  <c:v>4728</c:v>
                </c:pt>
                <c:pt idx="5">
                  <c:v>5705</c:v>
                </c:pt>
                <c:pt idx="6">
                  <c:v>10878</c:v>
                </c:pt>
                <c:pt idx="7">
                  <c:v>4784</c:v>
                </c:pt>
                <c:pt idx="8">
                  <c:v>1124</c:v>
                </c:pt>
                <c:pt idx="10">
                  <c:v>12474</c:v>
                </c:pt>
                <c:pt idx="11">
                  <c:v>8530</c:v>
                </c:pt>
                <c:pt idx="12">
                  <c:v>3864</c:v>
                </c:pt>
                <c:pt idx="13">
                  <c:v>4163</c:v>
                </c:pt>
                <c:pt idx="14">
                  <c:v>5676</c:v>
                </c:pt>
                <c:pt idx="15">
                  <c:v>11220</c:v>
                </c:pt>
                <c:pt idx="16">
                  <c:v>63568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F-404D-85FB-B3C6B7BF1998}"/>
            </c:ext>
          </c:extLst>
        </c:ser>
        <c:ser>
          <c:idx val="1"/>
          <c:order val="1"/>
          <c:tx>
            <c:v>계획</c:v>
          </c:tx>
          <c:cat>
            <c:strRef>
              <c:f>'21'!$D$6:$D$30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'21'!$J$6:$J$30</c:f>
              <c:numCache>
                <c:formatCode>_(* #,##0_);_(* \(#,##0\);_(* "-"_);_(@_)</c:formatCode>
                <c:ptCount val="25"/>
                <c:pt idx="0">
                  <c:v>10946</c:v>
                </c:pt>
                <c:pt idx="1">
                  <c:v>10816</c:v>
                </c:pt>
                <c:pt idx="2">
                  <c:v>5620</c:v>
                </c:pt>
                <c:pt idx="3">
                  <c:v>6714</c:v>
                </c:pt>
                <c:pt idx="4">
                  <c:v>4728</c:v>
                </c:pt>
                <c:pt idx="5">
                  <c:v>5705</c:v>
                </c:pt>
                <c:pt idx="6">
                  <c:v>10878</c:v>
                </c:pt>
                <c:pt idx="7">
                  <c:v>4784</c:v>
                </c:pt>
                <c:pt idx="8">
                  <c:v>1124</c:v>
                </c:pt>
                <c:pt idx="9">
                  <c:v>100</c:v>
                </c:pt>
                <c:pt idx="10">
                  <c:v>12474</c:v>
                </c:pt>
                <c:pt idx="11">
                  <c:v>8530</c:v>
                </c:pt>
                <c:pt idx="12">
                  <c:v>3864</c:v>
                </c:pt>
                <c:pt idx="13">
                  <c:v>4163</c:v>
                </c:pt>
                <c:pt idx="14">
                  <c:v>5676</c:v>
                </c:pt>
                <c:pt idx="15">
                  <c:v>11220</c:v>
                </c:pt>
                <c:pt idx="16">
                  <c:v>63568</c:v>
                </c:pt>
                <c:pt idx="19">
                  <c:v>22300</c:v>
                </c:pt>
                <c:pt idx="20">
                  <c:v>0</c:v>
                </c:pt>
                <c:pt idx="21">
                  <c:v>19983</c:v>
                </c:pt>
                <c:pt idx="22">
                  <c:v>18138</c:v>
                </c:pt>
                <c:pt idx="23">
                  <c:v>26944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F-404D-85FB-B3C6B7BF1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'21'!$AD$6:$AD$30</c:f>
              <c:strCache>
                <c:ptCount val="25"/>
                <c:pt idx="0">
                  <c:v>100%</c:v>
                </c:pt>
                <c:pt idx="1">
                  <c:v>100%</c:v>
                </c:pt>
                <c:pt idx="2">
                  <c:v>29%</c:v>
                </c:pt>
                <c:pt idx="3">
                  <c:v>63%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29%</c:v>
                </c:pt>
                <c:pt idx="9">
                  <c:v>0%</c:v>
                </c:pt>
                <c:pt idx="10">
                  <c:v>100%</c:v>
                </c:pt>
                <c:pt idx="11">
                  <c:v>83%</c:v>
                </c:pt>
                <c:pt idx="12">
                  <c:v>79%</c:v>
                </c:pt>
                <c:pt idx="13">
                  <c:v>88%</c:v>
                </c:pt>
                <c:pt idx="14">
                  <c:v>100%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'21'!$AD$6:$AD$30</c:f>
              <c:numCache>
                <c:formatCode>0%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0.29166666666666669</c:v>
                </c:pt>
                <c:pt idx="3">
                  <c:v>0.625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0.29166666666666669</c:v>
                </c:pt>
                <c:pt idx="9">
                  <c:v>0</c:v>
                </c:pt>
                <c:pt idx="10">
                  <c:v>1</c:v>
                </c:pt>
                <c:pt idx="11">
                  <c:v>0.83333333333333337</c:v>
                </c:pt>
                <c:pt idx="12">
                  <c:v>0.79166666666666663</c:v>
                </c:pt>
                <c:pt idx="13">
                  <c:v>0.875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7-4BED-9EF0-1CB1FAAE43E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457-4BED-9EF0-1CB1FAAE43E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ST/HO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BASE</c:v>
                </c:pt>
                <c:pt idx="10">
                  <c:v>ADAPTER</c:v>
                </c:pt>
                <c:pt idx="11">
                  <c:v>ACTUATOR</c:v>
                </c:pt>
                <c:pt idx="13">
                  <c:v>SLIDER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'21'!$AE$6:$AE$30</c:f>
              <c:numCache>
                <c:formatCode>0%</c:formatCode>
                <c:ptCount val="25"/>
                <c:pt idx="0">
                  <c:v>0.54833333333333334</c:v>
                </c:pt>
                <c:pt idx="1">
                  <c:v>0.54833333333333334</c:v>
                </c:pt>
                <c:pt idx="2">
                  <c:v>0.54833333333333334</c:v>
                </c:pt>
                <c:pt idx="3">
                  <c:v>0.54833333333333334</c:v>
                </c:pt>
                <c:pt idx="4">
                  <c:v>0.54833333333333334</c:v>
                </c:pt>
                <c:pt idx="5">
                  <c:v>0.54833333333333334</c:v>
                </c:pt>
                <c:pt idx="6">
                  <c:v>0.54833333333333334</c:v>
                </c:pt>
                <c:pt idx="7">
                  <c:v>0.54833333333333334</c:v>
                </c:pt>
                <c:pt idx="8">
                  <c:v>0.54833333333333334</c:v>
                </c:pt>
                <c:pt idx="9">
                  <c:v>0.54833333333333334</c:v>
                </c:pt>
                <c:pt idx="10">
                  <c:v>0.54833333333333334</c:v>
                </c:pt>
                <c:pt idx="11">
                  <c:v>0.54833333333333334</c:v>
                </c:pt>
                <c:pt idx="12">
                  <c:v>0.54833333333333334</c:v>
                </c:pt>
                <c:pt idx="13">
                  <c:v>0.54833333333333334</c:v>
                </c:pt>
                <c:pt idx="14">
                  <c:v>0.54833333333333334</c:v>
                </c:pt>
                <c:pt idx="15">
                  <c:v>0.54833333333333334</c:v>
                </c:pt>
                <c:pt idx="16">
                  <c:v>0.54833333333333334</c:v>
                </c:pt>
                <c:pt idx="17">
                  <c:v>0.54833333333333334</c:v>
                </c:pt>
                <c:pt idx="18">
                  <c:v>0.54833333333333334</c:v>
                </c:pt>
                <c:pt idx="19">
                  <c:v>0.54833333333333334</c:v>
                </c:pt>
                <c:pt idx="20">
                  <c:v>0.54833333333333334</c:v>
                </c:pt>
                <c:pt idx="21">
                  <c:v>0.54833333333333334</c:v>
                </c:pt>
                <c:pt idx="22">
                  <c:v>0.54833333333333334</c:v>
                </c:pt>
                <c:pt idx="23">
                  <c:v>0.54833333333333334</c:v>
                </c:pt>
                <c:pt idx="24">
                  <c:v>0.54833333333333334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57-4BED-9EF0-1CB1FAAE4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74F-44AF-92C3-8FE4E6C78B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4F-44AF-92C3-8FE4E6C7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74F-44AF-92C3-8FE4E6C78B7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4F-44AF-92C3-8FE4E6C7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SP 1/2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'22'!$L$6:$L$29</c:f>
              <c:numCache>
                <c:formatCode>_(* #,##0_);_(* \(#,##0\);_(* "-"_);_(@_)</c:formatCode>
                <c:ptCount val="24"/>
                <c:pt idx="0">
                  <c:v>3000</c:v>
                </c:pt>
                <c:pt idx="1">
                  <c:v>10480</c:v>
                </c:pt>
                <c:pt idx="2">
                  <c:v>10358</c:v>
                </c:pt>
                <c:pt idx="3">
                  <c:v>300</c:v>
                </c:pt>
                <c:pt idx="4">
                  <c:v>5451</c:v>
                </c:pt>
                <c:pt idx="5">
                  <c:v>10346</c:v>
                </c:pt>
                <c:pt idx="9">
                  <c:v>11882</c:v>
                </c:pt>
                <c:pt idx="10">
                  <c:v>6582</c:v>
                </c:pt>
                <c:pt idx="11">
                  <c:v>5352</c:v>
                </c:pt>
                <c:pt idx="12">
                  <c:v>5295</c:v>
                </c:pt>
                <c:pt idx="13">
                  <c:v>5081</c:v>
                </c:pt>
                <c:pt idx="14">
                  <c:v>10030</c:v>
                </c:pt>
                <c:pt idx="15">
                  <c:v>59200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D-47B1-A7B7-8D299EB83F3D}"/>
            </c:ext>
          </c:extLst>
        </c:ser>
        <c:ser>
          <c:idx val="1"/>
          <c:order val="1"/>
          <c:tx>
            <c:v>계획</c:v>
          </c:tx>
          <c:cat>
            <c:strRef>
              <c:f>'22'!$D$6:$D$29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SP 1/2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'22'!$J$6:$J$29</c:f>
              <c:numCache>
                <c:formatCode>_(* #,##0_);_(* \(#,##0\);_(* "-"_);_(@_)</c:formatCode>
                <c:ptCount val="24"/>
                <c:pt idx="0">
                  <c:v>3000</c:v>
                </c:pt>
                <c:pt idx="1">
                  <c:v>10480</c:v>
                </c:pt>
                <c:pt idx="2">
                  <c:v>10358</c:v>
                </c:pt>
                <c:pt idx="3">
                  <c:v>300</c:v>
                </c:pt>
                <c:pt idx="4">
                  <c:v>5451</c:v>
                </c:pt>
                <c:pt idx="5">
                  <c:v>10346</c:v>
                </c:pt>
                <c:pt idx="6">
                  <c:v>4784</c:v>
                </c:pt>
                <c:pt idx="7">
                  <c:v>1124</c:v>
                </c:pt>
                <c:pt idx="8">
                  <c:v>100</c:v>
                </c:pt>
                <c:pt idx="9">
                  <c:v>11882</c:v>
                </c:pt>
                <c:pt idx="10">
                  <c:v>6582</c:v>
                </c:pt>
                <c:pt idx="11">
                  <c:v>5352</c:v>
                </c:pt>
                <c:pt idx="12">
                  <c:v>5295</c:v>
                </c:pt>
                <c:pt idx="13">
                  <c:v>5081</c:v>
                </c:pt>
                <c:pt idx="14">
                  <c:v>10030</c:v>
                </c:pt>
                <c:pt idx="15">
                  <c:v>59200</c:v>
                </c:pt>
                <c:pt idx="16">
                  <c:v>0</c:v>
                </c:pt>
                <c:pt idx="18">
                  <c:v>22300</c:v>
                </c:pt>
                <c:pt idx="19">
                  <c:v>0</c:v>
                </c:pt>
                <c:pt idx="20">
                  <c:v>19983</c:v>
                </c:pt>
                <c:pt idx="21">
                  <c:v>18138</c:v>
                </c:pt>
                <c:pt idx="22">
                  <c:v>26944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D-47B1-A7B7-8D299EB83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'22'!$AD$6:$AD$29</c:f>
              <c:strCache>
                <c:ptCount val="24"/>
                <c:pt idx="0">
                  <c:v>13%</c:v>
                </c:pt>
                <c:pt idx="1">
                  <c:v>100%</c:v>
                </c:pt>
                <c:pt idx="2">
                  <c:v>100%</c:v>
                </c:pt>
                <c:pt idx="3">
                  <c:v>17%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79%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SP 1/2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'22'!$AD$6:$AD$29</c:f>
              <c:numCache>
                <c:formatCode>0%</c:formatCode>
                <c:ptCount val="24"/>
                <c:pt idx="0">
                  <c:v>0.125</c:v>
                </c:pt>
                <c:pt idx="1">
                  <c:v>1</c:v>
                </c:pt>
                <c:pt idx="2">
                  <c:v>1</c:v>
                </c:pt>
                <c:pt idx="3">
                  <c:v>0.16666666666666666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0.79166666666666663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E-4022-8F05-2E5BFC53A1E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9E-4022-8F05-2E5BFC53A1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SP 1/2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'22'!$AE$6:$AE$29</c:f>
              <c:numCache>
                <c:formatCode>0%</c:formatCode>
                <c:ptCount val="24"/>
                <c:pt idx="0">
                  <c:v>0.46180555555555552</c:v>
                </c:pt>
                <c:pt idx="1">
                  <c:v>0.46180555555555552</c:v>
                </c:pt>
                <c:pt idx="2">
                  <c:v>0.46180555555555552</c:v>
                </c:pt>
                <c:pt idx="3">
                  <c:v>0.46180555555555552</c:v>
                </c:pt>
                <c:pt idx="4">
                  <c:v>0.46180555555555552</c:v>
                </c:pt>
                <c:pt idx="5">
                  <c:v>0.46180555555555552</c:v>
                </c:pt>
                <c:pt idx="6">
                  <c:v>0.46180555555555552</c:v>
                </c:pt>
                <c:pt idx="7">
                  <c:v>0.46180555555555552</c:v>
                </c:pt>
                <c:pt idx="8">
                  <c:v>0.46180555555555552</c:v>
                </c:pt>
                <c:pt idx="9">
                  <c:v>0.46180555555555552</c:v>
                </c:pt>
                <c:pt idx="10">
                  <c:v>0.46180555555555552</c:v>
                </c:pt>
                <c:pt idx="11">
                  <c:v>0.46180555555555552</c:v>
                </c:pt>
                <c:pt idx="12">
                  <c:v>0.46180555555555552</c:v>
                </c:pt>
                <c:pt idx="13">
                  <c:v>0.46180555555555552</c:v>
                </c:pt>
                <c:pt idx="14">
                  <c:v>0.46180555555555552</c:v>
                </c:pt>
                <c:pt idx="15">
                  <c:v>0.46180555555555552</c:v>
                </c:pt>
                <c:pt idx="16">
                  <c:v>0.46180555555555552</c:v>
                </c:pt>
                <c:pt idx="17">
                  <c:v>0.46180555555555552</c:v>
                </c:pt>
                <c:pt idx="18">
                  <c:v>0.46180555555555552</c:v>
                </c:pt>
                <c:pt idx="19">
                  <c:v>0.46180555555555552</c:v>
                </c:pt>
                <c:pt idx="20">
                  <c:v>0.46180555555555552</c:v>
                </c:pt>
                <c:pt idx="21">
                  <c:v>0.46180555555555552</c:v>
                </c:pt>
                <c:pt idx="22">
                  <c:v>0.46180555555555552</c:v>
                </c:pt>
                <c:pt idx="23">
                  <c:v>0.46180555555555552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9E-4022-8F05-2E5BFC53A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SP 1/2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'22'!$L$6:$L$29</c:f>
              <c:numCache>
                <c:formatCode>_(* #,##0_);_(* \(#,##0\);_(* "-"_);_(@_)</c:formatCode>
                <c:ptCount val="24"/>
                <c:pt idx="0">
                  <c:v>3000</c:v>
                </c:pt>
                <c:pt idx="1">
                  <c:v>10480</c:v>
                </c:pt>
                <c:pt idx="2">
                  <c:v>10358</c:v>
                </c:pt>
                <c:pt idx="3">
                  <c:v>300</c:v>
                </c:pt>
                <c:pt idx="4">
                  <c:v>5451</c:v>
                </c:pt>
                <c:pt idx="5">
                  <c:v>10346</c:v>
                </c:pt>
                <c:pt idx="9">
                  <c:v>11882</c:v>
                </c:pt>
                <c:pt idx="10">
                  <c:v>6582</c:v>
                </c:pt>
                <c:pt idx="11">
                  <c:v>5352</c:v>
                </c:pt>
                <c:pt idx="12">
                  <c:v>5295</c:v>
                </c:pt>
                <c:pt idx="13">
                  <c:v>5081</c:v>
                </c:pt>
                <c:pt idx="14">
                  <c:v>10030</c:v>
                </c:pt>
                <c:pt idx="15">
                  <c:v>59200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6-47DF-9909-0103B1417244}"/>
            </c:ext>
          </c:extLst>
        </c:ser>
        <c:ser>
          <c:idx val="1"/>
          <c:order val="1"/>
          <c:tx>
            <c:v>계획</c:v>
          </c:tx>
          <c:cat>
            <c:strRef>
              <c:f>'22'!$D$6:$D$29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SP 1/2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'22'!$J$6:$J$29</c:f>
              <c:numCache>
                <c:formatCode>_(* #,##0_);_(* \(#,##0\);_(* "-"_);_(@_)</c:formatCode>
                <c:ptCount val="24"/>
                <c:pt idx="0">
                  <c:v>3000</c:v>
                </c:pt>
                <c:pt idx="1">
                  <c:v>10480</c:v>
                </c:pt>
                <c:pt idx="2">
                  <c:v>10358</c:v>
                </c:pt>
                <c:pt idx="3">
                  <c:v>300</c:v>
                </c:pt>
                <c:pt idx="4">
                  <c:v>5451</c:v>
                </c:pt>
                <c:pt idx="5">
                  <c:v>10346</c:v>
                </c:pt>
                <c:pt idx="6">
                  <c:v>4784</c:v>
                </c:pt>
                <c:pt idx="7">
                  <c:v>1124</c:v>
                </c:pt>
                <c:pt idx="8">
                  <c:v>100</c:v>
                </c:pt>
                <c:pt idx="9">
                  <c:v>11882</c:v>
                </c:pt>
                <c:pt idx="10">
                  <c:v>6582</c:v>
                </c:pt>
                <c:pt idx="11">
                  <c:v>5352</c:v>
                </c:pt>
                <c:pt idx="12">
                  <c:v>5295</c:v>
                </c:pt>
                <c:pt idx="13">
                  <c:v>5081</c:v>
                </c:pt>
                <c:pt idx="14">
                  <c:v>10030</c:v>
                </c:pt>
                <c:pt idx="15">
                  <c:v>59200</c:v>
                </c:pt>
                <c:pt idx="16">
                  <c:v>0</c:v>
                </c:pt>
                <c:pt idx="18">
                  <c:v>22300</c:v>
                </c:pt>
                <c:pt idx="19">
                  <c:v>0</c:v>
                </c:pt>
                <c:pt idx="20">
                  <c:v>19983</c:v>
                </c:pt>
                <c:pt idx="21">
                  <c:v>18138</c:v>
                </c:pt>
                <c:pt idx="22">
                  <c:v>26944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6-47DF-9909-0103B1417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'22'!$AD$6:$AD$29</c:f>
              <c:strCache>
                <c:ptCount val="24"/>
                <c:pt idx="0">
                  <c:v>13%</c:v>
                </c:pt>
                <c:pt idx="1">
                  <c:v>100%</c:v>
                </c:pt>
                <c:pt idx="2">
                  <c:v>100%</c:v>
                </c:pt>
                <c:pt idx="3">
                  <c:v>17%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79%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SP 1/2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'22'!$AD$6:$AD$29</c:f>
              <c:numCache>
                <c:formatCode>0%</c:formatCode>
                <c:ptCount val="24"/>
                <c:pt idx="0">
                  <c:v>0.125</c:v>
                </c:pt>
                <c:pt idx="1">
                  <c:v>1</c:v>
                </c:pt>
                <c:pt idx="2">
                  <c:v>1</c:v>
                </c:pt>
                <c:pt idx="3">
                  <c:v>0.16666666666666666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0.79166666666666663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7-4A25-8D87-EB056079D88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D7-4A25-8D87-EB056079D88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'22'!$D$6:$D$29</c:f>
              <c:strCache>
                <c:ptCount val="23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SP 1/2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SLIDER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'22'!$AE$6:$AE$29</c:f>
              <c:numCache>
                <c:formatCode>0%</c:formatCode>
                <c:ptCount val="24"/>
                <c:pt idx="0">
                  <c:v>0.46180555555555552</c:v>
                </c:pt>
                <c:pt idx="1">
                  <c:v>0.46180555555555552</c:v>
                </c:pt>
                <c:pt idx="2">
                  <c:v>0.46180555555555552</c:v>
                </c:pt>
                <c:pt idx="3">
                  <c:v>0.46180555555555552</c:v>
                </c:pt>
                <c:pt idx="4">
                  <c:v>0.46180555555555552</c:v>
                </c:pt>
                <c:pt idx="5">
                  <c:v>0.46180555555555552</c:v>
                </c:pt>
                <c:pt idx="6">
                  <c:v>0.46180555555555552</c:v>
                </c:pt>
                <c:pt idx="7">
                  <c:v>0.46180555555555552</c:v>
                </c:pt>
                <c:pt idx="8">
                  <c:v>0.46180555555555552</c:v>
                </c:pt>
                <c:pt idx="9">
                  <c:v>0.46180555555555552</c:v>
                </c:pt>
                <c:pt idx="10">
                  <c:v>0.46180555555555552</c:v>
                </c:pt>
                <c:pt idx="11">
                  <c:v>0.46180555555555552</c:v>
                </c:pt>
                <c:pt idx="12">
                  <c:v>0.46180555555555552</c:v>
                </c:pt>
                <c:pt idx="13">
                  <c:v>0.46180555555555552</c:v>
                </c:pt>
                <c:pt idx="14">
                  <c:v>0.46180555555555552</c:v>
                </c:pt>
                <c:pt idx="15">
                  <c:v>0.46180555555555552</c:v>
                </c:pt>
                <c:pt idx="16">
                  <c:v>0.46180555555555552</c:v>
                </c:pt>
                <c:pt idx="17">
                  <c:v>0.46180555555555552</c:v>
                </c:pt>
                <c:pt idx="18">
                  <c:v>0.46180555555555552</c:v>
                </c:pt>
                <c:pt idx="19">
                  <c:v>0.46180555555555552</c:v>
                </c:pt>
                <c:pt idx="20">
                  <c:v>0.46180555555555552</c:v>
                </c:pt>
                <c:pt idx="21">
                  <c:v>0.46180555555555552</c:v>
                </c:pt>
                <c:pt idx="22">
                  <c:v>0.46180555555555552</c:v>
                </c:pt>
                <c:pt idx="23">
                  <c:v>0.46180555555555552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D7-4A25-8D87-EB056079D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F83-436E-BE1A-0C78CD9FB5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83-436E-BE1A-0C78CD9FB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F83-436E-BE1A-0C78CD9FB52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83-436E-BE1A-0C78CD9FB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LATCH</c:v>
                </c:pt>
                <c:pt idx="4">
                  <c:v>LEAD GUIDER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BODY/LID</c:v>
                </c:pt>
                <c:pt idx="9">
                  <c:v>BASE</c:v>
                </c:pt>
                <c:pt idx="10">
                  <c:v>U BASE</c:v>
                </c:pt>
                <c:pt idx="11">
                  <c:v>ADAPTER</c:v>
                </c:pt>
                <c:pt idx="12">
                  <c:v>ACTUATOR</c:v>
                </c:pt>
                <c:pt idx="14">
                  <c:v>SLIDER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LEAD GUIDER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'25'!$L$6:$L$31</c:f>
              <c:numCache>
                <c:formatCode>_(* #,##0_);_(* \(#,##0\);_(* "-"_);_(@_)</c:formatCode>
                <c:ptCount val="26"/>
                <c:pt idx="1">
                  <c:v>9962</c:v>
                </c:pt>
                <c:pt idx="3">
                  <c:v>400</c:v>
                </c:pt>
                <c:pt idx="4">
                  <c:v>200</c:v>
                </c:pt>
                <c:pt idx="5">
                  <c:v>2998</c:v>
                </c:pt>
                <c:pt idx="6">
                  <c:v>10082</c:v>
                </c:pt>
                <c:pt idx="7">
                  <c:v>2299</c:v>
                </c:pt>
                <c:pt idx="8">
                  <c:v>2563</c:v>
                </c:pt>
                <c:pt idx="9">
                  <c:v>150</c:v>
                </c:pt>
                <c:pt idx="10">
                  <c:v>158</c:v>
                </c:pt>
                <c:pt idx="11">
                  <c:v>10946</c:v>
                </c:pt>
                <c:pt idx="12">
                  <c:v>6076</c:v>
                </c:pt>
                <c:pt idx="13">
                  <c:v>5158</c:v>
                </c:pt>
                <c:pt idx="14">
                  <c:v>4805</c:v>
                </c:pt>
                <c:pt idx="16">
                  <c:v>4886</c:v>
                </c:pt>
                <c:pt idx="17">
                  <c:v>55380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1-44C8-9B1C-F530227BCB92}"/>
            </c:ext>
          </c:extLst>
        </c:ser>
        <c:ser>
          <c:idx val="1"/>
          <c:order val="1"/>
          <c:tx>
            <c:v>계획</c:v>
          </c:tx>
          <c:cat>
            <c:strRef>
              <c:f>'25'!$D$6:$D$31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LATCH</c:v>
                </c:pt>
                <c:pt idx="4">
                  <c:v>LEAD GUIDER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BODY/LID</c:v>
                </c:pt>
                <c:pt idx="9">
                  <c:v>BASE</c:v>
                </c:pt>
                <c:pt idx="10">
                  <c:v>U BASE</c:v>
                </c:pt>
                <c:pt idx="11">
                  <c:v>ADAPTER</c:v>
                </c:pt>
                <c:pt idx="12">
                  <c:v>ACTUATOR</c:v>
                </c:pt>
                <c:pt idx="14">
                  <c:v>SLIDER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LEAD GUIDER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'25'!$J$6:$J$31</c:f>
              <c:numCache>
                <c:formatCode>_(* #,##0_);_(* \(#,##0\);_(* "-"_);_(@_)</c:formatCode>
                <c:ptCount val="26"/>
                <c:pt idx="0">
                  <c:v>3000</c:v>
                </c:pt>
                <c:pt idx="1">
                  <c:v>9962</c:v>
                </c:pt>
                <c:pt idx="2">
                  <c:v>10358</c:v>
                </c:pt>
                <c:pt idx="3">
                  <c:v>400</c:v>
                </c:pt>
                <c:pt idx="4">
                  <c:v>200</c:v>
                </c:pt>
                <c:pt idx="5">
                  <c:v>2998</c:v>
                </c:pt>
                <c:pt idx="6">
                  <c:v>10082</c:v>
                </c:pt>
                <c:pt idx="7">
                  <c:v>2299</c:v>
                </c:pt>
                <c:pt idx="8">
                  <c:v>2563</c:v>
                </c:pt>
                <c:pt idx="9">
                  <c:v>150</c:v>
                </c:pt>
                <c:pt idx="10">
                  <c:v>158</c:v>
                </c:pt>
                <c:pt idx="11">
                  <c:v>10946</c:v>
                </c:pt>
                <c:pt idx="12">
                  <c:v>6076</c:v>
                </c:pt>
                <c:pt idx="13">
                  <c:v>5158</c:v>
                </c:pt>
                <c:pt idx="14">
                  <c:v>4805</c:v>
                </c:pt>
                <c:pt idx="15">
                  <c:v>5081</c:v>
                </c:pt>
                <c:pt idx="16">
                  <c:v>4886</c:v>
                </c:pt>
                <c:pt idx="17">
                  <c:v>55380</c:v>
                </c:pt>
                <c:pt idx="18">
                  <c:v>0</c:v>
                </c:pt>
                <c:pt idx="20">
                  <c:v>22300</c:v>
                </c:pt>
                <c:pt idx="21">
                  <c:v>0</c:v>
                </c:pt>
                <c:pt idx="22">
                  <c:v>19983</c:v>
                </c:pt>
                <c:pt idx="23">
                  <c:v>18138</c:v>
                </c:pt>
                <c:pt idx="24">
                  <c:v>26944</c:v>
                </c:pt>
                <c:pt idx="25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1-44C8-9B1C-F530227BC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'25'!$AD$6:$AD$31</c:f>
              <c:strCache>
                <c:ptCount val="26"/>
                <c:pt idx="0">
                  <c:v>0%</c:v>
                </c:pt>
                <c:pt idx="1">
                  <c:v>100%</c:v>
                </c:pt>
                <c:pt idx="2">
                  <c:v>0%</c:v>
                </c:pt>
                <c:pt idx="3">
                  <c:v>21%</c:v>
                </c:pt>
                <c:pt idx="4">
                  <c:v>21%</c:v>
                </c:pt>
                <c:pt idx="5">
                  <c:v>63%</c:v>
                </c:pt>
                <c:pt idx="6">
                  <c:v>100%</c:v>
                </c:pt>
                <c:pt idx="7">
                  <c:v>46%</c:v>
                </c:pt>
                <c:pt idx="8">
                  <c:v>63%</c:v>
                </c:pt>
                <c:pt idx="9">
                  <c:v>17%</c:v>
                </c:pt>
                <c:pt idx="10">
                  <c:v>13%</c:v>
                </c:pt>
                <c:pt idx="11">
                  <c:v>100%</c:v>
                </c:pt>
                <c:pt idx="12">
                  <c:v>63%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  <c:pt idx="16">
                  <c:v>54%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  <c:pt idx="2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LATCH</c:v>
                </c:pt>
                <c:pt idx="4">
                  <c:v>LEAD GUIDER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BODY/LID</c:v>
                </c:pt>
                <c:pt idx="9">
                  <c:v>BASE</c:v>
                </c:pt>
                <c:pt idx="10">
                  <c:v>U BASE</c:v>
                </c:pt>
                <c:pt idx="11">
                  <c:v>ADAPTER</c:v>
                </c:pt>
                <c:pt idx="12">
                  <c:v>ACTUATOR</c:v>
                </c:pt>
                <c:pt idx="14">
                  <c:v>SLIDER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LEAD GUIDER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'25'!$AD$6:$AD$31</c:f>
              <c:numCache>
                <c:formatCode>0%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0.20833333333333334</c:v>
                </c:pt>
                <c:pt idx="4">
                  <c:v>0.20833333333333334</c:v>
                </c:pt>
                <c:pt idx="5">
                  <c:v>0.625</c:v>
                </c:pt>
                <c:pt idx="6">
                  <c:v>1</c:v>
                </c:pt>
                <c:pt idx="7">
                  <c:v>0.45833333333333331</c:v>
                </c:pt>
                <c:pt idx="8">
                  <c:v>0.625</c:v>
                </c:pt>
                <c:pt idx="9">
                  <c:v>0.16666666666666666</c:v>
                </c:pt>
                <c:pt idx="10">
                  <c:v>0.125</c:v>
                </c:pt>
                <c:pt idx="11">
                  <c:v>1</c:v>
                </c:pt>
                <c:pt idx="12">
                  <c:v>0.625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0.54166666666666663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52-437C-BDB7-DD177D19A43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52-437C-BDB7-DD177D19A4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LATCH</c:v>
                </c:pt>
                <c:pt idx="4">
                  <c:v>LEAD GUIDER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BODY/LID</c:v>
                </c:pt>
                <c:pt idx="9">
                  <c:v>BASE</c:v>
                </c:pt>
                <c:pt idx="10">
                  <c:v>U BASE</c:v>
                </c:pt>
                <c:pt idx="11">
                  <c:v>ADAPTER</c:v>
                </c:pt>
                <c:pt idx="12">
                  <c:v>ACTUATOR</c:v>
                </c:pt>
                <c:pt idx="14">
                  <c:v>SLIDER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LEAD GUIDER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'25'!$AE$6:$AE$31</c:f>
              <c:numCache>
                <c:formatCode>0%</c:formatCode>
                <c:ptCount val="26"/>
                <c:pt idx="0">
                  <c:v>0.36858974358974361</c:v>
                </c:pt>
                <c:pt idx="1">
                  <c:v>0.36858974358974361</c:v>
                </c:pt>
                <c:pt idx="2">
                  <c:v>0.36858974358974361</c:v>
                </c:pt>
                <c:pt idx="3">
                  <c:v>0.36858974358974361</c:v>
                </c:pt>
                <c:pt idx="4">
                  <c:v>0.36858974358974361</c:v>
                </c:pt>
                <c:pt idx="5">
                  <c:v>0.36858974358974361</c:v>
                </c:pt>
                <c:pt idx="6">
                  <c:v>0.36858974358974361</c:v>
                </c:pt>
                <c:pt idx="7">
                  <c:v>0.36858974358974361</c:v>
                </c:pt>
                <c:pt idx="8">
                  <c:v>0.36858974358974361</c:v>
                </c:pt>
                <c:pt idx="9">
                  <c:v>0.36858974358974361</c:v>
                </c:pt>
                <c:pt idx="10">
                  <c:v>0.36858974358974361</c:v>
                </c:pt>
                <c:pt idx="11">
                  <c:v>0.36858974358974361</c:v>
                </c:pt>
                <c:pt idx="12">
                  <c:v>0.36858974358974361</c:v>
                </c:pt>
                <c:pt idx="13">
                  <c:v>0.36858974358974361</c:v>
                </c:pt>
                <c:pt idx="14">
                  <c:v>0.36858974358974361</c:v>
                </c:pt>
                <c:pt idx="15">
                  <c:v>0.36858974358974361</c:v>
                </c:pt>
                <c:pt idx="16">
                  <c:v>0.36858974358974361</c:v>
                </c:pt>
                <c:pt idx="17">
                  <c:v>0.36858974358974361</c:v>
                </c:pt>
                <c:pt idx="18">
                  <c:v>0.36858974358974361</c:v>
                </c:pt>
                <c:pt idx="19">
                  <c:v>0.36858974358974361</c:v>
                </c:pt>
                <c:pt idx="20">
                  <c:v>0.36858974358974361</c:v>
                </c:pt>
                <c:pt idx="21">
                  <c:v>0.36858974358974361</c:v>
                </c:pt>
                <c:pt idx="22">
                  <c:v>0.36858974358974361</c:v>
                </c:pt>
                <c:pt idx="23">
                  <c:v>0.36858974358974361</c:v>
                </c:pt>
                <c:pt idx="24">
                  <c:v>0.36858974358974361</c:v>
                </c:pt>
                <c:pt idx="25">
                  <c:v>0.36858974358974361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52-437C-BDB7-DD177D19A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LATCH</c:v>
                </c:pt>
                <c:pt idx="4">
                  <c:v>LEAD GUIDER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BODY/LID</c:v>
                </c:pt>
                <c:pt idx="9">
                  <c:v>BASE</c:v>
                </c:pt>
                <c:pt idx="10">
                  <c:v>U BASE</c:v>
                </c:pt>
                <c:pt idx="11">
                  <c:v>ADAPTER</c:v>
                </c:pt>
                <c:pt idx="12">
                  <c:v>ACTUATOR</c:v>
                </c:pt>
                <c:pt idx="14">
                  <c:v>SLIDER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LEAD GUIDER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'25'!$L$6:$L$31</c:f>
              <c:numCache>
                <c:formatCode>_(* #,##0_);_(* \(#,##0\);_(* "-"_);_(@_)</c:formatCode>
                <c:ptCount val="26"/>
                <c:pt idx="1">
                  <c:v>9962</c:v>
                </c:pt>
                <c:pt idx="3">
                  <c:v>400</c:v>
                </c:pt>
                <c:pt idx="4">
                  <c:v>200</c:v>
                </c:pt>
                <c:pt idx="5">
                  <c:v>2998</c:v>
                </c:pt>
                <c:pt idx="6">
                  <c:v>10082</c:v>
                </c:pt>
                <c:pt idx="7">
                  <c:v>2299</c:v>
                </c:pt>
                <c:pt idx="8">
                  <c:v>2563</c:v>
                </c:pt>
                <c:pt idx="9">
                  <c:v>150</c:v>
                </c:pt>
                <c:pt idx="10">
                  <c:v>158</c:v>
                </c:pt>
                <c:pt idx="11">
                  <c:v>10946</c:v>
                </c:pt>
                <c:pt idx="12">
                  <c:v>6076</c:v>
                </c:pt>
                <c:pt idx="13">
                  <c:v>5158</c:v>
                </c:pt>
                <c:pt idx="14">
                  <c:v>4805</c:v>
                </c:pt>
                <c:pt idx="16">
                  <c:v>4886</c:v>
                </c:pt>
                <c:pt idx="17">
                  <c:v>55380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E-4FB5-B5B0-F571F2C0A300}"/>
            </c:ext>
          </c:extLst>
        </c:ser>
        <c:ser>
          <c:idx val="1"/>
          <c:order val="1"/>
          <c:tx>
            <c:v>계획</c:v>
          </c:tx>
          <c:cat>
            <c:strRef>
              <c:f>'25'!$D$6:$D$31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LATCH</c:v>
                </c:pt>
                <c:pt idx="4">
                  <c:v>LEAD GUIDER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BODY/LID</c:v>
                </c:pt>
                <c:pt idx="9">
                  <c:v>BASE</c:v>
                </c:pt>
                <c:pt idx="10">
                  <c:v>U BASE</c:v>
                </c:pt>
                <c:pt idx="11">
                  <c:v>ADAPTER</c:v>
                </c:pt>
                <c:pt idx="12">
                  <c:v>ACTUATOR</c:v>
                </c:pt>
                <c:pt idx="14">
                  <c:v>SLIDER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LEAD GUIDER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'25'!$J$6:$J$31</c:f>
              <c:numCache>
                <c:formatCode>_(* #,##0_);_(* \(#,##0\);_(* "-"_);_(@_)</c:formatCode>
                <c:ptCount val="26"/>
                <c:pt idx="0">
                  <c:v>3000</c:v>
                </c:pt>
                <c:pt idx="1">
                  <c:v>9962</c:v>
                </c:pt>
                <c:pt idx="2">
                  <c:v>10358</c:v>
                </c:pt>
                <c:pt idx="3">
                  <c:v>400</c:v>
                </c:pt>
                <c:pt idx="4">
                  <c:v>200</c:v>
                </c:pt>
                <c:pt idx="5">
                  <c:v>2998</c:v>
                </c:pt>
                <c:pt idx="6">
                  <c:v>10082</c:v>
                </c:pt>
                <c:pt idx="7">
                  <c:v>2299</c:v>
                </c:pt>
                <c:pt idx="8">
                  <c:v>2563</c:v>
                </c:pt>
                <c:pt idx="9">
                  <c:v>150</c:v>
                </c:pt>
                <c:pt idx="10">
                  <c:v>158</c:v>
                </c:pt>
                <c:pt idx="11">
                  <c:v>10946</c:v>
                </c:pt>
                <c:pt idx="12">
                  <c:v>6076</c:v>
                </c:pt>
                <c:pt idx="13">
                  <c:v>5158</c:v>
                </c:pt>
                <c:pt idx="14">
                  <c:v>4805</c:v>
                </c:pt>
                <c:pt idx="15">
                  <c:v>5081</c:v>
                </c:pt>
                <c:pt idx="16">
                  <c:v>4886</c:v>
                </c:pt>
                <c:pt idx="17">
                  <c:v>55380</c:v>
                </c:pt>
                <c:pt idx="18">
                  <c:v>0</c:v>
                </c:pt>
                <c:pt idx="20">
                  <c:v>22300</c:v>
                </c:pt>
                <c:pt idx="21">
                  <c:v>0</c:v>
                </c:pt>
                <c:pt idx="22">
                  <c:v>19983</c:v>
                </c:pt>
                <c:pt idx="23">
                  <c:v>18138</c:v>
                </c:pt>
                <c:pt idx="24">
                  <c:v>26944</c:v>
                </c:pt>
                <c:pt idx="25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BE-4FB5-B5B0-F571F2C0A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'25'!$AD$6:$AD$31</c:f>
              <c:strCache>
                <c:ptCount val="26"/>
                <c:pt idx="0">
                  <c:v>0%</c:v>
                </c:pt>
                <c:pt idx="1">
                  <c:v>100%</c:v>
                </c:pt>
                <c:pt idx="2">
                  <c:v>0%</c:v>
                </c:pt>
                <c:pt idx="3">
                  <c:v>21%</c:v>
                </c:pt>
                <c:pt idx="4">
                  <c:v>21%</c:v>
                </c:pt>
                <c:pt idx="5">
                  <c:v>63%</c:v>
                </c:pt>
                <c:pt idx="6">
                  <c:v>100%</c:v>
                </c:pt>
                <c:pt idx="7">
                  <c:v>46%</c:v>
                </c:pt>
                <c:pt idx="8">
                  <c:v>63%</c:v>
                </c:pt>
                <c:pt idx="9">
                  <c:v>17%</c:v>
                </c:pt>
                <c:pt idx="10">
                  <c:v>13%</c:v>
                </c:pt>
                <c:pt idx="11">
                  <c:v>100%</c:v>
                </c:pt>
                <c:pt idx="12">
                  <c:v>63%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  <c:pt idx="16">
                  <c:v>54%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  <c:pt idx="2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LATCH</c:v>
                </c:pt>
                <c:pt idx="4">
                  <c:v>LEAD GUIDER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BODY/LID</c:v>
                </c:pt>
                <c:pt idx="9">
                  <c:v>BASE</c:v>
                </c:pt>
                <c:pt idx="10">
                  <c:v>U BASE</c:v>
                </c:pt>
                <c:pt idx="11">
                  <c:v>ADAPTER</c:v>
                </c:pt>
                <c:pt idx="12">
                  <c:v>ACTUATOR</c:v>
                </c:pt>
                <c:pt idx="14">
                  <c:v>SLIDER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LEAD GUIDER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'25'!$AD$6:$AD$31</c:f>
              <c:numCache>
                <c:formatCode>0%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0.20833333333333334</c:v>
                </c:pt>
                <c:pt idx="4">
                  <c:v>0.20833333333333334</c:v>
                </c:pt>
                <c:pt idx="5">
                  <c:v>0.625</c:v>
                </c:pt>
                <c:pt idx="6">
                  <c:v>1</c:v>
                </c:pt>
                <c:pt idx="7">
                  <c:v>0.45833333333333331</c:v>
                </c:pt>
                <c:pt idx="8">
                  <c:v>0.625</c:v>
                </c:pt>
                <c:pt idx="9">
                  <c:v>0.16666666666666666</c:v>
                </c:pt>
                <c:pt idx="10">
                  <c:v>0.125</c:v>
                </c:pt>
                <c:pt idx="11">
                  <c:v>1</c:v>
                </c:pt>
                <c:pt idx="12">
                  <c:v>0.625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0.54166666666666663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D9-44EA-92EF-16060AC9212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D9-44EA-92EF-16060AC9212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BASE</c:v>
                </c:pt>
                <c:pt idx="3">
                  <c:v>LATCH</c:v>
                </c:pt>
                <c:pt idx="4">
                  <c:v>LEAD GUIDER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BODY/LID</c:v>
                </c:pt>
                <c:pt idx="9">
                  <c:v>BASE</c:v>
                </c:pt>
                <c:pt idx="10">
                  <c:v>U BASE</c:v>
                </c:pt>
                <c:pt idx="11">
                  <c:v>ADAPTER</c:v>
                </c:pt>
                <c:pt idx="12">
                  <c:v>ACTUATOR</c:v>
                </c:pt>
                <c:pt idx="14">
                  <c:v>SLIDER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LEAD GUIDER</c:v>
                </c:pt>
                <c:pt idx="23">
                  <c:v>SLIDER</c:v>
                </c:pt>
                <c:pt idx="24">
                  <c:v>COVER</c:v>
                </c:pt>
              </c:strCache>
            </c:strRef>
          </c:cat>
          <c:val>
            <c:numRef>
              <c:f>'25'!$AE$6:$AE$31</c:f>
              <c:numCache>
                <c:formatCode>0%</c:formatCode>
                <c:ptCount val="26"/>
                <c:pt idx="0">
                  <c:v>0.36858974358974361</c:v>
                </c:pt>
                <c:pt idx="1">
                  <c:v>0.36858974358974361</c:v>
                </c:pt>
                <c:pt idx="2">
                  <c:v>0.36858974358974361</c:v>
                </c:pt>
                <c:pt idx="3">
                  <c:v>0.36858974358974361</c:v>
                </c:pt>
                <c:pt idx="4">
                  <c:v>0.36858974358974361</c:v>
                </c:pt>
                <c:pt idx="5">
                  <c:v>0.36858974358974361</c:v>
                </c:pt>
                <c:pt idx="6">
                  <c:v>0.36858974358974361</c:v>
                </c:pt>
                <c:pt idx="7">
                  <c:v>0.36858974358974361</c:v>
                </c:pt>
                <c:pt idx="8">
                  <c:v>0.36858974358974361</c:v>
                </c:pt>
                <c:pt idx="9">
                  <c:v>0.36858974358974361</c:v>
                </c:pt>
                <c:pt idx="10">
                  <c:v>0.36858974358974361</c:v>
                </c:pt>
                <c:pt idx="11">
                  <c:v>0.36858974358974361</c:v>
                </c:pt>
                <c:pt idx="12">
                  <c:v>0.36858974358974361</c:v>
                </c:pt>
                <c:pt idx="13">
                  <c:v>0.36858974358974361</c:v>
                </c:pt>
                <c:pt idx="14">
                  <c:v>0.36858974358974361</c:v>
                </c:pt>
                <c:pt idx="15">
                  <c:v>0.36858974358974361</c:v>
                </c:pt>
                <c:pt idx="16">
                  <c:v>0.36858974358974361</c:v>
                </c:pt>
                <c:pt idx="17">
                  <c:v>0.36858974358974361</c:v>
                </c:pt>
                <c:pt idx="18">
                  <c:v>0.36858974358974361</c:v>
                </c:pt>
                <c:pt idx="19">
                  <c:v>0.36858974358974361</c:v>
                </c:pt>
                <c:pt idx="20">
                  <c:v>0.36858974358974361</c:v>
                </c:pt>
                <c:pt idx="21">
                  <c:v>0.36858974358974361</c:v>
                </c:pt>
                <c:pt idx="22">
                  <c:v>0.36858974358974361</c:v>
                </c:pt>
                <c:pt idx="23">
                  <c:v>0.36858974358974361</c:v>
                </c:pt>
                <c:pt idx="24">
                  <c:v>0.36858974358974361</c:v>
                </c:pt>
                <c:pt idx="25">
                  <c:v>0.36858974358974361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D9-44EA-92EF-16060AC92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063-4501-A472-9E748FE959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3-4501-A472-9E748FE95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063-4501-A472-9E748FE9595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63-4501-A472-9E748FE95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'26'!$L$6:$L$30</c:f>
              <c:numCache>
                <c:formatCode>_(* #,##0_);_(* \(#,##0\);_(* "-"_);_(@_)</c:formatCode>
                <c:ptCount val="25"/>
                <c:pt idx="2">
                  <c:v>550</c:v>
                </c:pt>
                <c:pt idx="3">
                  <c:v>10848</c:v>
                </c:pt>
                <c:pt idx="4">
                  <c:v>2865</c:v>
                </c:pt>
                <c:pt idx="5">
                  <c:v>10778</c:v>
                </c:pt>
                <c:pt idx="6">
                  <c:v>960</c:v>
                </c:pt>
                <c:pt idx="7">
                  <c:v>447</c:v>
                </c:pt>
                <c:pt idx="9">
                  <c:v>12064</c:v>
                </c:pt>
                <c:pt idx="10">
                  <c:v>10824</c:v>
                </c:pt>
                <c:pt idx="11">
                  <c:v>5637</c:v>
                </c:pt>
                <c:pt idx="12">
                  <c:v>406</c:v>
                </c:pt>
                <c:pt idx="13">
                  <c:v>200</c:v>
                </c:pt>
                <c:pt idx="15">
                  <c:v>5156</c:v>
                </c:pt>
                <c:pt idx="16">
                  <c:v>64440</c:v>
                </c:pt>
                <c:pt idx="18">
                  <c:v>2732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3C-435D-A2F6-E55AD722366E}"/>
            </c:ext>
          </c:extLst>
        </c:ser>
        <c:ser>
          <c:idx val="1"/>
          <c:order val="1"/>
          <c:tx>
            <c:v>계획</c:v>
          </c:tx>
          <c:cat>
            <c:strRef>
              <c:f>'26'!$D$6:$D$30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'26'!$J$6:$J$30</c:f>
              <c:numCache>
                <c:formatCode>_(* #,##0_);_(* \(#,##0\);_(* "-"_);_(@_)</c:formatCode>
                <c:ptCount val="25"/>
                <c:pt idx="0">
                  <c:v>3000</c:v>
                </c:pt>
                <c:pt idx="1">
                  <c:v>9962</c:v>
                </c:pt>
                <c:pt idx="2">
                  <c:v>550</c:v>
                </c:pt>
                <c:pt idx="3">
                  <c:v>10848</c:v>
                </c:pt>
                <c:pt idx="4">
                  <c:v>2865</c:v>
                </c:pt>
                <c:pt idx="5">
                  <c:v>10778</c:v>
                </c:pt>
                <c:pt idx="6">
                  <c:v>960</c:v>
                </c:pt>
                <c:pt idx="7">
                  <c:v>447</c:v>
                </c:pt>
                <c:pt idx="8">
                  <c:v>150</c:v>
                </c:pt>
                <c:pt idx="9">
                  <c:v>12064</c:v>
                </c:pt>
                <c:pt idx="10">
                  <c:v>10824</c:v>
                </c:pt>
                <c:pt idx="11">
                  <c:v>5637</c:v>
                </c:pt>
                <c:pt idx="12">
                  <c:v>406</c:v>
                </c:pt>
                <c:pt idx="13">
                  <c:v>200</c:v>
                </c:pt>
                <c:pt idx="14">
                  <c:v>5081</c:v>
                </c:pt>
                <c:pt idx="15">
                  <c:v>5156</c:v>
                </c:pt>
                <c:pt idx="16">
                  <c:v>64440</c:v>
                </c:pt>
                <c:pt idx="17">
                  <c:v>0</c:v>
                </c:pt>
                <c:pt idx="18">
                  <c:v>2732</c:v>
                </c:pt>
                <c:pt idx="19">
                  <c:v>22300</c:v>
                </c:pt>
                <c:pt idx="20">
                  <c:v>0</c:v>
                </c:pt>
                <c:pt idx="21">
                  <c:v>19983</c:v>
                </c:pt>
                <c:pt idx="22">
                  <c:v>18138</c:v>
                </c:pt>
                <c:pt idx="23">
                  <c:v>26944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3C-435D-A2F6-E55AD7223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'26'!$AD$6:$AD$30</c:f>
              <c:strCache>
                <c:ptCount val="25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100%</c:v>
                </c:pt>
                <c:pt idx="4">
                  <c:v>58%</c:v>
                </c:pt>
                <c:pt idx="5">
                  <c:v>100%</c:v>
                </c:pt>
                <c:pt idx="6">
                  <c:v>21%</c:v>
                </c:pt>
                <c:pt idx="7">
                  <c:v>17%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17%</c:v>
                </c:pt>
                <c:pt idx="13">
                  <c:v>13%</c:v>
                </c:pt>
                <c:pt idx="14">
                  <c:v>0%</c:v>
                </c:pt>
                <c:pt idx="15">
                  <c:v>79%</c:v>
                </c:pt>
                <c:pt idx="16">
                  <c:v>100%</c:v>
                </c:pt>
                <c:pt idx="17">
                  <c:v>0%</c:v>
                </c:pt>
                <c:pt idx="18">
                  <c:v>25%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'26'!$AD$6:$AD$30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1</c:v>
                </c:pt>
                <c:pt idx="4">
                  <c:v>0.58333333333333337</c:v>
                </c:pt>
                <c:pt idx="5">
                  <c:v>1</c:v>
                </c:pt>
                <c:pt idx="6">
                  <c:v>0.20833333333333334</c:v>
                </c:pt>
                <c:pt idx="7">
                  <c:v>0.16666666666666666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0.16666666666666666</c:v>
                </c:pt>
                <c:pt idx="13">
                  <c:v>0.125</c:v>
                </c:pt>
                <c:pt idx="14">
                  <c:v>0</c:v>
                </c:pt>
                <c:pt idx="15">
                  <c:v>0.79166666666666663</c:v>
                </c:pt>
                <c:pt idx="16">
                  <c:v>1</c:v>
                </c:pt>
                <c:pt idx="17">
                  <c:v>0</c:v>
                </c:pt>
                <c:pt idx="18">
                  <c:v>0.25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D-4593-A593-A57EFED622F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4D-4593-A593-A57EFED622F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'26'!$AE$6:$AE$30</c:f>
              <c:numCache>
                <c:formatCode>0%</c:formatCode>
                <c:ptCount val="25"/>
                <c:pt idx="0">
                  <c:v>0.33833333333333337</c:v>
                </c:pt>
                <c:pt idx="1">
                  <c:v>0.33833333333333337</c:v>
                </c:pt>
                <c:pt idx="2">
                  <c:v>0.33833333333333337</c:v>
                </c:pt>
                <c:pt idx="3">
                  <c:v>0.33833333333333337</c:v>
                </c:pt>
                <c:pt idx="4">
                  <c:v>0.33833333333333337</c:v>
                </c:pt>
                <c:pt idx="5">
                  <c:v>0.33833333333333337</c:v>
                </c:pt>
                <c:pt idx="6">
                  <c:v>0.33833333333333337</c:v>
                </c:pt>
                <c:pt idx="7">
                  <c:v>0.33833333333333337</c:v>
                </c:pt>
                <c:pt idx="8">
                  <c:v>0.33833333333333337</c:v>
                </c:pt>
                <c:pt idx="9">
                  <c:v>0.33833333333333337</c:v>
                </c:pt>
                <c:pt idx="10">
                  <c:v>0.33833333333333337</c:v>
                </c:pt>
                <c:pt idx="11">
                  <c:v>0.33833333333333337</c:v>
                </c:pt>
                <c:pt idx="12">
                  <c:v>0.33833333333333337</c:v>
                </c:pt>
                <c:pt idx="13">
                  <c:v>0.33833333333333337</c:v>
                </c:pt>
                <c:pt idx="14">
                  <c:v>0.33833333333333337</c:v>
                </c:pt>
                <c:pt idx="15">
                  <c:v>0.33833333333333337</c:v>
                </c:pt>
                <c:pt idx="16">
                  <c:v>0.33833333333333337</c:v>
                </c:pt>
                <c:pt idx="17">
                  <c:v>0.33833333333333337</c:v>
                </c:pt>
                <c:pt idx="18">
                  <c:v>0.33833333333333337</c:v>
                </c:pt>
                <c:pt idx="19">
                  <c:v>0.33833333333333337</c:v>
                </c:pt>
                <c:pt idx="20">
                  <c:v>0.33833333333333337</c:v>
                </c:pt>
                <c:pt idx="21">
                  <c:v>0.33833333333333337</c:v>
                </c:pt>
                <c:pt idx="22">
                  <c:v>0.33833333333333337</c:v>
                </c:pt>
                <c:pt idx="23">
                  <c:v>0.33833333333333337</c:v>
                </c:pt>
                <c:pt idx="24">
                  <c:v>0.33833333333333337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4D-4593-A593-A57EFED62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'26'!$L$6:$L$30</c:f>
              <c:numCache>
                <c:formatCode>_(* #,##0_);_(* \(#,##0\);_(* "-"_);_(@_)</c:formatCode>
                <c:ptCount val="25"/>
                <c:pt idx="2">
                  <c:v>550</c:v>
                </c:pt>
                <c:pt idx="3">
                  <c:v>10848</c:v>
                </c:pt>
                <c:pt idx="4">
                  <c:v>2865</c:v>
                </c:pt>
                <c:pt idx="5">
                  <c:v>10778</c:v>
                </c:pt>
                <c:pt idx="6">
                  <c:v>960</c:v>
                </c:pt>
                <c:pt idx="7">
                  <c:v>447</c:v>
                </c:pt>
                <c:pt idx="9">
                  <c:v>12064</c:v>
                </c:pt>
                <c:pt idx="10">
                  <c:v>10824</c:v>
                </c:pt>
                <c:pt idx="11">
                  <c:v>5637</c:v>
                </c:pt>
                <c:pt idx="12">
                  <c:v>406</c:v>
                </c:pt>
                <c:pt idx="13">
                  <c:v>200</c:v>
                </c:pt>
                <c:pt idx="15">
                  <c:v>5156</c:v>
                </c:pt>
                <c:pt idx="16">
                  <c:v>64440</c:v>
                </c:pt>
                <c:pt idx="18">
                  <c:v>2732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2D-4760-A89F-5ECB2FF990E3}"/>
            </c:ext>
          </c:extLst>
        </c:ser>
        <c:ser>
          <c:idx val="1"/>
          <c:order val="1"/>
          <c:tx>
            <c:v>계획</c:v>
          </c:tx>
          <c:cat>
            <c:strRef>
              <c:f>'26'!$D$6:$D$30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'26'!$J$6:$J$30</c:f>
              <c:numCache>
                <c:formatCode>_(* #,##0_);_(* \(#,##0\);_(* "-"_);_(@_)</c:formatCode>
                <c:ptCount val="25"/>
                <c:pt idx="0">
                  <c:v>3000</c:v>
                </c:pt>
                <c:pt idx="1">
                  <c:v>9962</c:v>
                </c:pt>
                <c:pt idx="2">
                  <c:v>550</c:v>
                </c:pt>
                <c:pt idx="3">
                  <c:v>10848</c:v>
                </c:pt>
                <c:pt idx="4">
                  <c:v>2865</c:v>
                </c:pt>
                <c:pt idx="5">
                  <c:v>10778</c:v>
                </c:pt>
                <c:pt idx="6">
                  <c:v>960</c:v>
                </c:pt>
                <c:pt idx="7">
                  <c:v>447</c:v>
                </c:pt>
                <c:pt idx="8">
                  <c:v>150</c:v>
                </c:pt>
                <c:pt idx="9">
                  <c:v>12064</c:v>
                </c:pt>
                <c:pt idx="10">
                  <c:v>10824</c:v>
                </c:pt>
                <c:pt idx="11">
                  <c:v>5637</c:v>
                </c:pt>
                <c:pt idx="12">
                  <c:v>406</c:v>
                </c:pt>
                <c:pt idx="13">
                  <c:v>200</c:v>
                </c:pt>
                <c:pt idx="14">
                  <c:v>5081</c:v>
                </c:pt>
                <c:pt idx="15">
                  <c:v>5156</c:v>
                </c:pt>
                <c:pt idx="16">
                  <c:v>64440</c:v>
                </c:pt>
                <c:pt idx="17">
                  <c:v>0</c:v>
                </c:pt>
                <c:pt idx="18">
                  <c:v>2732</c:v>
                </c:pt>
                <c:pt idx="19">
                  <c:v>22300</c:v>
                </c:pt>
                <c:pt idx="20">
                  <c:v>0</c:v>
                </c:pt>
                <c:pt idx="21">
                  <c:v>19983</c:v>
                </c:pt>
                <c:pt idx="22">
                  <c:v>18138</c:v>
                </c:pt>
                <c:pt idx="23">
                  <c:v>26944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2D-4760-A89F-5ECB2FF9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'26'!$AD$6:$AD$30</c:f>
              <c:strCache>
                <c:ptCount val="25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100%</c:v>
                </c:pt>
                <c:pt idx="4">
                  <c:v>58%</c:v>
                </c:pt>
                <c:pt idx="5">
                  <c:v>100%</c:v>
                </c:pt>
                <c:pt idx="6">
                  <c:v>21%</c:v>
                </c:pt>
                <c:pt idx="7">
                  <c:v>17%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17%</c:v>
                </c:pt>
                <c:pt idx="13">
                  <c:v>13%</c:v>
                </c:pt>
                <c:pt idx="14">
                  <c:v>0%</c:v>
                </c:pt>
                <c:pt idx="15">
                  <c:v>79%</c:v>
                </c:pt>
                <c:pt idx="16">
                  <c:v>100%</c:v>
                </c:pt>
                <c:pt idx="17">
                  <c:v>0%</c:v>
                </c:pt>
                <c:pt idx="18">
                  <c:v>25%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'26'!$AD$6:$AD$30</c:f>
              <c:numCache>
                <c:formatCode>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1</c:v>
                </c:pt>
                <c:pt idx="4">
                  <c:v>0.58333333333333337</c:v>
                </c:pt>
                <c:pt idx="5">
                  <c:v>1</c:v>
                </c:pt>
                <c:pt idx="6">
                  <c:v>0.20833333333333334</c:v>
                </c:pt>
                <c:pt idx="7">
                  <c:v>0.16666666666666666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0.16666666666666666</c:v>
                </c:pt>
                <c:pt idx="13">
                  <c:v>0.125</c:v>
                </c:pt>
                <c:pt idx="14">
                  <c:v>0</c:v>
                </c:pt>
                <c:pt idx="15">
                  <c:v>0.79166666666666663</c:v>
                </c:pt>
                <c:pt idx="16">
                  <c:v>1</c:v>
                </c:pt>
                <c:pt idx="17">
                  <c:v>0</c:v>
                </c:pt>
                <c:pt idx="18">
                  <c:v>0.25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E-40DA-92FB-83DC7BD038E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53E-40DA-92FB-83DC7BD038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'26'!$D$6:$D$30</c:f>
              <c:strCache>
                <c:ptCount val="24"/>
                <c:pt idx="0">
                  <c:v>SLIDER</c:v>
                </c:pt>
                <c:pt idx="1">
                  <c:v>ADAPTER</c:v>
                </c:pt>
                <c:pt idx="2">
                  <c:v>ACTUATOR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ACTUATOR</c:v>
                </c:pt>
                <c:pt idx="12">
                  <c:v>BASE</c:v>
                </c:pt>
                <c:pt idx="13">
                  <c:v>BASE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LEAD GUIDER</c:v>
                </c:pt>
                <c:pt idx="22">
                  <c:v>SLIDER</c:v>
                </c:pt>
                <c:pt idx="23">
                  <c:v>COVER</c:v>
                </c:pt>
              </c:strCache>
            </c:strRef>
          </c:cat>
          <c:val>
            <c:numRef>
              <c:f>'26'!$AE$6:$AE$30</c:f>
              <c:numCache>
                <c:formatCode>0%</c:formatCode>
                <c:ptCount val="25"/>
                <c:pt idx="0">
                  <c:v>0.33833333333333337</c:v>
                </c:pt>
                <c:pt idx="1">
                  <c:v>0.33833333333333337</c:v>
                </c:pt>
                <c:pt idx="2">
                  <c:v>0.33833333333333337</c:v>
                </c:pt>
                <c:pt idx="3">
                  <c:v>0.33833333333333337</c:v>
                </c:pt>
                <c:pt idx="4">
                  <c:v>0.33833333333333337</c:v>
                </c:pt>
                <c:pt idx="5">
                  <c:v>0.33833333333333337</c:v>
                </c:pt>
                <c:pt idx="6">
                  <c:v>0.33833333333333337</c:v>
                </c:pt>
                <c:pt idx="7">
                  <c:v>0.33833333333333337</c:v>
                </c:pt>
                <c:pt idx="8">
                  <c:v>0.33833333333333337</c:v>
                </c:pt>
                <c:pt idx="9">
                  <c:v>0.33833333333333337</c:v>
                </c:pt>
                <c:pt idx="10">
                  <c:v>0.33833333333333337</c:v>
                </c:pt>
                <c:pt idx="11">
                  <c:v>0.33833333333333337</c:v>
                </c:pt>
                <c:pt idx="12">
                  <c:v>0.33833333333333337</c:v>
                </c:pt>
                <c:pt idx="13">
                  <c:v>0.33833333333333337</c:v>
                </c:pt>
                <c:pt idx="14">
                  <c:v>0.33833333333333337</c:v>
                </c:pt>
                <c:pt idx="15">
                  <c:v>0.33833333333333337</c:v>
                </c:pt>
                <c:pt idx="16">
                  <c:v>0.33833333333333337</c:v>
                </c:pt>
                <c:pt idx="17">
                  <c:v>0.33833333333333337</c:v>
                </c:pt>
                <c:pt idx="18">
                  <c:v>0.33833333333333337</c:v>
                </c:pt>
                <c:pt idx="19">
                  <c:v>0.33833333333333337</c:v>
                </c:pt>
                <c:pt idx="20">
                  <c:v>0.33833333333333337</c:v>
                </c:pt>
                <c:pt idx="21">
                  <c:v>0.33833333333333337</c:v>
                </c:pt>
                <c:pt idx="22">
                  <c:v>0.33833333333333337</c:v>
                </c:pt>
                <c:pt idx="23">
                  <c:v>0.33833333333333337</c:v>
                </c:pt>
                <c:pt idx="24">
                  <c:v>0.33833333333333337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E-40DA-92FB-83DC7BD03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B45-405B-8809-9FEC872808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45-405B-8809-9FEC87280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B45-405B-8809-9FEC872808D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45-405B-8809-9FEC87280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COVER</c:v>
                </c:pt>
                <c:pt idx="3">
                  <c:v>CAM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TOP/BOTTOM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COVER</c:v>
                </c:pt>
                <c:pt idx="23">
                  <c:v>BASE</c:v>
                </c:pt>
                <c:pt idx="24">
                  <c:v>COVER</c:v>
                </c:pt>
              </c:strCache>
            </c:strRef>
          </c:cat>
          <c:val>
            <c:numRef>
              <c:f>'27'!$L$6:$L$31</c:f>
              <c:numCache>
                <c:formatCode>_(* #,##0_);_(* \(#,##0\);_(* "-"_);_(@_)</c:formatCode>
                <c:ptCount val="26"/>
                <c:pt idx="2">
                  <c:v>300</c:v>
                </c:pt>
                <c:pt idx="3">
                  <c:v>3170</c:v>
                </c:pt>
                <c:pt idx="4">
                  <c:v>11598</c:v>
                </c:pt>
                <c:pt idx="5">
                  <c:v>4585</c:v>
                </c:pt>
                <c:pt idx="6">
                  <c:v>10144</c:v>
                </c:pt>
                <c:pt idx="7">
                  <c:v>4314</c:v>
                </c:pt>
                <c:pt idx="8">
                  <c:v>1528</c:v>
                </c:pt>
                <c:pt idx="9">
                  <c:v>1815</c:v>
                </c:pt>
                <c:pt idx="11">
                  <c:v>12086</c:v>
                </c:pt>
                <c:pt idx="12">
                  <c:v>10810</c:v>
                </c:pt>
                <c:pt idx="13">
                  <c:v>5649</c:v>
                </c:pt>
                <c:pt idx="14">
                  <c:v>4406</c:v>
                </c:pt>
                <c:pt idx="16">
                  <c:v>5464</c:v>
                </c:pt>
                <c:pt idx="17">
                  <c:v>64704</c:v>
                </c:pt>
                <c:pt idx="19">
                  <c:v>12588</c:v>
                </c:pt>
                <c:pt idx="21">
                  <c:v>75400</c:v>
                </c:pt>
                <c:pt idx="22">
                  <c:v>3951</c:v>
                </c:pt>
                <c:pt idx="23">
                  <c:v>8984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97-447A-97C5-2A8D268915D0}"/>
            </c:ext>
          </c:extLst>
        </c:ser>
        <c:ser>
          <c:idx val="1"/>
          <c:order val="1"/>
          <c:tx>
            <c:v>계획</c:v>
          </c:tx>
          <c:cat>
            <c:strRef>
              <c:f>'27'!$D$6:$D$31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COVER</c:v>
                </c:pt>
                <c:pt idx="3">
                  <c:v>CAM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TOP/BOTTOM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COVER</c:v>
                </c:pt>
                <c:pt idx="23">
                  <c:v>BASE</c:v>
                </c:pt>
                <c:pt idx="24">
                  <c:v>COVER</c:v>
                </c:pt>
              </c:strCache>
            </c:strRef>
          </c:cat>
          <c:val>
            <c:numRef>
              <c:f>'27'!$J$6:$J$31</c:f>
              <c:numCache>
                <c:formatCode>_(* #,##0_);_(* \(#,##0\);_(* "-"_);_(@_)</c:formatCode>
                <c:ptCount val="26"/>
                <c:pt idx="0">
                  <c:v>3000</c:v>
                </c:pt>
                <c:pt idx="1">
                  <c:v>9962</c:v>
                </c:pt>
                <c:pt idx="2">
                  <c:v>300</c:v>
                </c:pt>
                <c:pt idx="3">
                  <c:v>3170</c:v>
                </c:pt>
                <c:pt idx="4">
                  <c:v>11598</c:v>
                </c:pt>
                <c:pt idx="5">
                  <c:v>4585</c:v>
                </c:pt>
                <c:pt idx="6">
                  <c:v>10144</c:v>
                </c:pt>
                <c:pt idx="7">
                  <c:v>4314</c:v>
                </c:pt>
                <c:pt idx="8">
                  <c:v>1528</c:v>
                </c:pt>
                <c:pt idx="9">
                  <c:v>1815</c:v>
                </c:pt>
                <c:pt idx="10">
                  <c:v>150</c:v>
                </c:pt>
                <c:pt idx="11">
                  <c:v>12086</c:v>
                </c:pt>
                <c:pt idx="12">
                  <c:v>10810</c:v>
                </c:pt>
                <c:pt idx="13">
                  <c:v>5649</c:v>
                </c:pt>
                <c:pt idx="14">
                  <c:v>4406</c:v>
                </c:pt>
                <c:pt idx="15">
                  <c:v>5081</c:v>
                </c:pt>
                <c:pt idx="16">
                  <c:v>5464</c:v>
                </c:pt>
                <c:pt idx="17">
                  <c:v>64704</c:v>
                </c:pt>
                <c:pt idx="18">
                  <c:v>0</c:v>
                </c:pt>
                <c:pt idx="19">
                  <c:v>12588</c:v>
                </c:pt>
                <c:pt idx="20">
                  <c:v>22300</c:v>
                </c:pt>
                <c:pt idx="21">
                  <c:v>75400</c:v>
                </c:pt>
                <c:pt idx="22">
                  <c:v>3951</c:v>
                </c:pt>
                <c:pt idx="23">
                  <c:v>8984</c:v>
                </c:pt>
                <c:pt idx="24">
                  <c:v>26944</c:v>
                </c:pt>
                <c:pt idx="25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97-447A-97C5-2A8D26891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'27'!$AD$6:$AD$31</c:f>
              <c:strCache>
                <c:ptCount val="26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71%</c:v>
                </c:pt>
                <c:pt idx="4">
                  <c:v>100%</c:v>
                </c:pt>
                <c:pt idx="5">
                  <c:v>88%</c:v>
                </c:pt>
                <c:pt idx="6">
                  <c:v>100%</c:v>
                </c:pt>
                <c:pt idx="7">
                  <c:v>83%</c:v>
                </c:pt>
                <c:pt idx="8">
                  <c:v>38%</c:v>
                </c:pt>
                <c:pt idx="9">
                  <c:v>54%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88%</c:v>
                </c:pt>
                <c:pt idx="15">
                  <c:v>0%</c:v>
                </c:pt>
                <c:pt idx="16">
                  <c:v>100%</c:v>
                </c:pt>
                <c:pt idx="17">
                  <c:v>100%</c:v>
                </c:pt>
                <c:pt idx="18">
                  <c:v>0%</c:v>
                </c:pt>
                <c:pt idx="19">
                  <c:v>67%</c:v>
                </c:pt>
                <c:pt idx="20">
                  <c:v>0%</c:v>
                </c:pt>
                <c:pt idx="21">
                  <c:v>21%</c:v>
                </c:pt>
                <c:pt idx="22">
                  <c:v>21%</c:v>
                </c:pt>
                <c:pt idx="23">
                  <c:v>42%</c:v>
                </c:pt>
                <c:pt idx="24">
                  <c:v>0%</c:v>
                </c:pt>
                <c:pt idx="2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COVER</c:v>
                </c:pt>
                <c:pt idx="3">
                  <c:v>CAM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TOP/BOTTOM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COVER</c:v>
                </c:pt>
                <c:pt idx="23">
                  <c:v>BASE</c:v>
                </c:pt>
                <c:pt idx="24">
                  <c:v>COVER</c:v>
                </c:pt>
              </c:strCache>
            </c:strRef>
          </c:cat>
          <c:val>
            <c:numRef>
              <c:f>'27'!$AD$6:$AD$31</c:f>
              <c:numCache>
                <c:formatCode>0%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0.70833333333333337</c:v>
                </c:pt>
                <c:pt idx="4">
                  <c:v>1</c:v>
                </c:pt>
                <c:pt idx="5">
                  <c:v>0.875</c:v>
                </c:pt>
                <c:pt idx="6">
                  <c:v>1</c:v>
                </c:pt>
                <c:pt idx="7">
                  <c:v>0.83333333333333337</c:v>
                </c:pt>
                <c:pt idx="8">
                  <c:v>0.375</c:v>
                </c:pt>
                <c:pt idx="9">
                  <c:v>0.54166666666666663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0.875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0.66666666666666663</c:v>
                </c:pt>
                <c:pt idx="20">
                  <c:v>0</c:v>
                </c:pt>
                <c:pt idx="21">
                  <c:v>0.20833333333333334</c:v>
                </c:pt>
                <c:pt idx="22">
                  <c:v>0.20833333333333334</c:v>
                </c:pt>
                <c:pt idx="23">
                  <c:v>0.41666666666666669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F6-4FE8-A78E-BF7847D752F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CF6-4FE8-A78E-BF7847D752F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COVER</c:v>
                </c:pt>
                <c:pt idx="3">
                  <c:v>CAM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TOP/BOTTOM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COVER</c:v>
                </c:pt>
                <c:pt idx="23">
                  <c:v>BASE</c:v>
                </c:pt>
                <c:pt idx="24">
                  <c:v>COVER</c:v>
                </c:pt>
              </c:strCache>
            </c:strRef>
          </c:cat>
          <c:val>
            <c:numRef>
              <c:f>'27'!$AE$6:$AE$31</c:f>
              <c:numCache>
                <c:formatCode>0%</c:formatCode>
                <c:ptCount val="26"/>
                <c:pt idx="0">
                  <c:v>0.49519230769230771</c:v>
                </c:pt>
                <c:pt idx="1">
                  <c:v>0.49519230769230771</c:v>
                </c:pt>
                <c:pt idx="2">
                  <c:v>0.49519230769230771</c:v>
                </c:pt>
                <c:pt idx="3">
                  <c:v>0.49519230769230771</c:v>
                </c:pt>
                <c:pt idx="4">
                  <c:v>0.49519230769230771</c:v>
                </c:pt>
                <c:pt idx="5">
                  <c:v>0.49519230769230771</c:v>
                </c:pt>
                <c:pt idx="6">
                  <c:v>0.49519230769230771</c:v>
                </c:pt>
                <c:pt idx="7">
                  <c:v>0.49519230769230771</c:v>
                </c:pt>
                <c:pt idx="8">
                  <c:v>0.49519230769230771</c:v>
                </c:pt>
                <c:pt idx="9">
                  <c:v>0.49519230769230771</c:v>
                </c:pt>
                <c:pt idx="10">
                  <c:v>0.49519230769230771</c:v>
                </c:pt>
                <c:pt idx="11">
                  <c:v>0.49519230769230771</c:v>
                </c:pt>
                <c:pt idx="12">
                  <c:v>0.49519230769230771</c:v>
                </c:pt>
                <c:pt idx="13">
                  <c:v>0.49519230769230771</c:v>
                </c:pt>
                <c:pt idx="14">
                  <c:v>0.49519230769230771</c:v>
                </c:pt>
                <c:pt idx="15">
                  <c:v>0.49519230769230771</c:v>
                </c:pt>
                <c:pt idx="16">
                  <c:v>0.49519230769230771</c:v>
                </c:pt>
                <c:pt idx="17">
                  <c:v>0.49519230769230771</c:v>
                </c:pt>
                <c:pt idx="18">
                  <c:v>0.49519230769230771</c:v>
                </c:pt>
                <c:pt idx="19">
                  <c:v>0.49519230769230771</c:v>
                </c:pt>
                <c:pt idx="20">
                  <c:v>0.49519230769230771</c:v>
                </c:pt>
                <c:pt idx="21">
                  <c:v>0.49519230769230771</c:v>
                </c:pt>
                <c:pt idx="22">
                  <c:v>0.49519230769230771</c:v>
                </c:pt>
                <c:pt idx="23">
                  <c:v>0.49519230769230771</c:v>
                </c:pt>
                <c:pt idx="24">
                  <c:v>0.49519230769230771</c:v>
                </c:pt>
                <c:pt idx="25">
                  <c:v>0.49519230769230771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F6-4FE8-A78E-BF7847D75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COVER</c:v>
                </c:pt>
                <c:pt idx="3">
                  <c:v>CAM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TOP/BOTTOM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COVER</c:v>
                </c:pt>
                <c:pt idx="23">
                  <c:v>BASE</c:v>
                </c:pt>
                <c:pt idx="24">
                  <c:v>COVER</c:v>
                </c:pt>
              </c:strCache>
            </c:strRef>
          </c:cat>
          <c:val>
            <c:numRef>
              <c:f>'27'!$L$6:$L$31</c:f>
              <c:numCache>
                <c:formatCode>_(* #,##0_);_(* \(#,##0\);_(* "-"_);_(@_)</c:formatCode>
                <c:ptCount val="26"/>
                <c:pt idx="2">
                  <c:v>300</c:v>
                </c:pt>
                <c:pt idx="3">
                  <c:v>3170</c:v>
                </c:pt>
                <c:pt idx="4">
                  <c:v>11598</c:v>
                </c:pt>
                <c:pt idx="5">
                  <c:v>4585</c:v>
                </c:pt>
                <c:pt idx="6">
                  <c:v>10144</c:v>
                </c:pt>
                <c:pt idx="7">
                  <c:v>4314</c:v>
                </c:pt>
                <c:pt idx="8">
                  <c:v>1528</c:v>
                </c:pt>
                <c:pt idx="9">
                  <c:v>1815</c:v>
                </c:pt>
                <c:pt idx="11">
                  <c:v>12086</c:v>
                </c:pt>
                <c:pt idx="12">
                  <c:v>10810</c:v>
                </c:pt>
                <c:pt idx="13">
                  <c:v>5649</c:v>
                </c:pt>
                <c:pt idx="14">
                  <c:v>4406</c:v>
                </c:pt>
                <c:pt idx="16">
                  <c:v>5464</c:v>
                </c:pt>
                <c:pt idx="17">
                  <c:v>64704</c:v>
                </c:pt>
                <c:pt idx="19">
                  <c:v>12588</c:v>
                </c:pt>
                <c:pt idx="21">
                  <c:v>75400</c:v>
                </c:pt>
                <c:pt idx="22">
                  <c:v>3951</c:v>
                </c:pt>
                <c:pt idx="23">
                  <c:v>8984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0-42C7-909A-867F3424D720}"/>
            </c:ext>
          </c:extLst>
        </c:ser>
        <c:ser>
          <c:idx val="1"/>
          <c:order val="1"/>
          <c:tx>
            <c:v>계획</c:v>
          </c:tx>
          <c:cat>
            <c:strRef>
              <c:f>'27'!$D$6:$D$31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COVER</c:v>
                </c:pt>
                <c:pt idx="3">
                  <c:v>CAM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TOP/BOTTOM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COVER</c:v>
                </c:pt>
                <c:pt idx="23">
                  <c:v>BASE</c:v>
                </c:pt>
                <c:pt idx="24">
                  <c:v>COVER</c:v>
                </c:pt>
              </c:strCache>
            </c:strRef>
          </c:cat>
          <c:val>
            <c:numRef>
              <c:f>'27'!$J$6:$J$31</c:f>
              <c:numCache>
                <c:formatCode>_(* #,##0_);_(* \(#,##0\);_(* "-"_);_(@_)</c:formatCode>
                <c:ptCount val="26"/>
                <c:pt idx="0">
                  <c:v>3000</c:v>
                </c:pt>
                <c:pt idx="1">
                  <c:v>9962</c:v>
                </c:pt>
                <c:pt idx="2">
                  <c:v>300</c:v>
                </c:pt>
                <c:pt idx="3">
                  <c:v>3170</c:v>
                </c:pt>
                <c:pt idx="4">
                  <c:v>11598</c:v>
                </c:pt>
                <c:pt idx="5">
                  <c:v>4585</c:v>
                </c:pt>
                <c:pt idx="6">
                  <c:v>10144</c:v>
                </c:pt>
                <c:pt idx="7">
                  <c:v>4314</c:v>
                </c:pt>
                <c:pt idx="8">
                  <c:v>1528</c:v>
                </c:pt>
                <c:pt idx="9">
                  <c:v>1815</c:v>
                </c:pt>
                <c:pt idx="10">
                  <c:v>150</c:v>
                </c:pt>
                <c:pt idx="11">
                  <c:v>12086</c:v>
                </c:pt>
                <c:pt idx="12">
                  <c:v>10810</c:v>
                </c:pt>
                <c:pt idx="13">
                  <c:v>5649</c:v>
                </c:pt>
                <c:pt idx="14">
                  <c:v>4406</c:v>
                </c:pt>
                <c:pt idx="15">
                  <c:v>5081</c:v>
                </c:pt>
                <c:pt idx="16">
                  <c:v>5464</c:v>
                </c:pt>
                <c:pt idx="17">
                  <c:v>64704</c:v>
                </c:pt>
                <c:pt idx="18">
                  <c:v>0</c:v>
                </c:pt>
                <c:pt idx="19">
                  <c:v>12588</c:v>
                </c:pt>
                <c:pt idx="20">
                  <c:v>22300</c:v>
                </c:pt>
                <c:pt idx="21">
                  <c:v>75400</c:v>
                </c:pt>
                <c:pt idx="22">
                  <c:v>3951</c:v>
                </c:pt>
                <c:pt idx="23">
                  <c:v>8984</c:v>
                </c:pt>
                <c:pt idx="24">
                  <c:v>26944</c:v>
                </c:pt>
                <c:pt idx="25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40-42C7-909A-867F3424D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'27'!$AD$6:$AD$31</c:f>
              <c:strCache>
                <c:ptCount val="26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71%</c:v>
                </c:pt>
                <c:pt idx="4">
                  <c:v>100%</c:v>
                </c:pt>
                <c:pt idx="5">
                  <c:v>88%</c:v>
                </c:pt>
                <c:pt idx="6">
                  <c:v>100%</c:v>
                </c:pt>
                <c:pt idx="7">
                  <c:v>83%</c:v>
                </c:pt>
                <c:pt idx="8">
                  <c:v>38%</c:v>
                </c:pt>
                <c:pt idx="9">
                  <c:v>54%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88%</c:v>
                </c:pt>
                <c:pt idx="15">
                  <c:v>0%</c:v>
                </c:pt>
                <c:pt idx="16">
                  <c:v>100%</c:v>
                </c:pt>
                <c:pt idx="17">
                  <c:v>100%</c:v>
                </c:pt>
                <c:pt idx="18">
                  <c:v>0%</c:v>
                </c:pt>
                <c:pt idx="19">
                  <c:v>67%</c:v>
                </c:pt>
                <c:pt idx="20">
                  <c:v>0%</c:v>
                </c:pt>
                <c:pt idx="21">
                  <c:v>21%</c:v>
                </c:pt>
                <c:pt idx="22">
                  <c:v>21%</c:v>
                </c:pt>
                <c:pt idx="23">
                  <c:v>42%</c:v>
                </c:pt>
                <c:pt idx="24">
                  <c:v>0%</c:v>
                </c:pt>
                <c:pt idx="2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COVER</c:v>
                </c:pt>
                <c:pt idx="3">
                  <c:v>CAM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TOP/BOTTOM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COVER</c:v>
                </c:pt>
                <c:pt idx="23">
                  <c:v>BASE</c:v>
                </c:pt>
                <c:pt idx="24">
                  <c:v>COVER</c:v>
                </c:pt>
              </c:strCache>
            </c:strRef>
          </c:cat>
          <c:val>
            <c:numRef>
              <c:f>'27'!$AD$6:$AD$31</c:f>
              <c:numCache>
                <c:formatCode>0%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0.70833333333333337</c:v>
                </c:pt>
                <c:pt idx="4">
                  <c:v>1</c:v>
                </c:pt>
                <c:pt idx="5">
                  <c:v>0.875</c:v>
                </c:pt>
                <c:pt idx="6">
                  <c:v>1</c:v>
                </c:pt>
                <c:pt idx="7">
                  <c:v>0.83333333333333337</c:v>
                </c:pt>
                <c:pt idx="8">
                  <c:v>0.375</c:v>
                </c:pt>
                <c:pt idx="9">
                  <c:v>0.54166666666666663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0.875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0.66666666666666663</c:v>
                </c:pt>
                <c:pt idx="20">
                  <c:v>0</c:v>
                </c:pt>
                <c:pt idx="21">
                  <c:v>0.20833333333333334</c:v>
                </c:pt>
                <c:pt idx="22">
                  <c:v>0.20833333333333334</c:v>
                </c:pt>
                <c:pt idx="23">
                  <c:v>0.41666666666666669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B6-4F67-BEFF-7A0C1D4F7D2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B6-4F67-BEFF-7A0C1D4F7D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'27'!$D$6:$D$31</c:f>
              <c:strCache>
                <c:ptCount val="25"/>
                <c:pt idx="0">
                  <c:v>SLIDER</c:v>
                </c:pt>
                <c:pt idx="1">
                  <c:v>ADAPTER</c:v>
                </c:pt>
                <c:pt idx="2">
                  <c:v>COVER</c:v>
                </c:pt>
                <c:pt idx="3">
                  <c:v>CAM</c:v>
                </c:pt>
                <c:pt idx="4">
                  <c:v>STOPPER</c:v>
                </c:pt>
                <c:pt idx="5">
                  <c:v>COVER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TOP/BOTTOM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5">
                  <c:v>STOPPER</c:v>
                </c:pt>
                <c:pt idx="16">
                  <c:v>BASE</c:v>
                </c:pt>
                <c:pt idx="19">
                  <c:v>SEPARATOR</c:v>
                </c:pt>
                <c:pt idx="20">
                  <c:v>BASE</c:v>
                </c:pt>
                <c:pt idx="22">
                  <c:v>COVER</c:v>
                </c:pt>
                <c:pt idx="23">
                  <c:v>BASE</c:v>
                </c:pt>
                <c:pt idx="24">
                  <c:v>COVER</c:v>
                </c:pt>
              </c:strCache>
            </c:strRef>
          </c:cat>
          <c:val>
            <c:numRef>
              <c:f>'27'!$AE$6:$AE$31</c:f>
              <c:numCache>
                <c:formatCode>0%</c:formatCode>
                <c:ptCount val="26"/>
                <c:pt idx="0">
                  <c:v>0.49519230769230771</c:v>
                </c:pt>
                <c:pt idx="1">
                  <c:v>0.49519230769230771</c:v>
                </c:pt>
                <c:pt idx="2">
                  <c:v>0.49519230769230771</c:v>
                </c:pt>
                <c:pt idx="3">
                  <c:v>0.49519230769230771</c:v>
                </c:pt>
                <c:pt idx="4">
                  <c:v>0.49519230769230771</c:v>
                </c:pt>
                <c:pt idx="5">
                  <c:v>0.49519230769230771</c:v>
                </c:pt>
                <c:pt idx="6">
                  <c:v>0.49519230769230771</c:v>
                </c:pt>
                <c:pt idx="7">
                  <c:v>0.49519230769230771</c:v>
                </c:pt>
                <c:pt idx="8">
                  <c:v>0.49519230769230771</c:v>
                </c:pt>
                <c:pt idx="9">
                  <c:v>0.49519230769230771</c:v>
                </c:pt>
                <c:pt idx="10">
                  <c:v>0.49519230769230771</c:v>
                </c:pt>
                <c:pt idx="11">
                  <c:v>0.49519230769230771</c:v>
                </c:pt>
                <c:pt idx="12">
                  <c:v>0.49519230769230771</c:v>
                </c:pt>
                <c:pt idx="13">
                  <c:v>0.49519230769230771</c:v>
                </c:pt>
                <c:pt idx="14">
                  <c:v>0.49519230769230771</c:v>
                </c:pt>
                <c:pt idx="15">
                  <c:v>0.49519230769230771</c:v>
                </c:pt>
                <c:pt idx="16">
                  <c:v>0.49519230769230771</c:v>
                </c:pt>
                <c:pt idx="17">
                  <c:v>0.49519230769230771</c:v>
                </c:pt>
                <c:pt idx="18">
                  <c:v>0.49519230769230771</c:v>
                </c:pt>
                <c:pt idx="19">
                  <c:v>0.49519230769230771</c:v>
                </c:pt>
                <c:pt idx="20">
                  <c:v>0.49519230769230771</c:v>
                </c:pt>
                <c:pt idx="21">
                  <c:v>0.49519230769230771</c:v>
                </c:pt>
                <c:pt idx="22">
                  <c:v>0.49519230769230771</c:v>
                </c:pt>
                <c:pt idx="23">
                  <c:v>0.49519230769230771</c:v>
                </c:pt>
                <c:pt idx="24">
                  <c:v>0.49519230769230771</c:v>
                </c:pt>
                <c:pt idx="25">
                  <c:v>0.49519230769230771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B6-4F67-BEFF-7A0C1D4F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928-4530-B3A5-A16AA5E41A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8-4530-B3A5-A16AA5E41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928-4530-B3A5-A16AA5E41A8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28-4530-B3A5-A16AA5E41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'28'!$D$6:$D$30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STOPPER L/R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KNOB</c:v>
                </c:pt>
                <c:pt idx="10">
                  <c:v>ADAPTER</c:v>
                </c:pt>
                <c:pt idx="11">
                  <c:v>ACTUATOR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COVER</c:v>
                </c:pt>
                <c:pt idx="22">
                  <c:v>BASE</c:v>
                </c:pt>
                <c:pt idx="23">
                  <c:v>COVER</c:v>
                </c:pt>
              </c:strCache>
            </c:strRef>
          </c:cat>
          <c:val>
            <c:numRef>
              <c:f>'28'!$L$6:$L$30</c:f>
              <c:numCache>
                <c:formatCode>_(* #,##0_);_(* \(#,##0\);_(* "-"_);_(@_)</c:formatCode>
                <c:ptCount val="25"/>
                <c:pt idx="0">
                  <c:v>5404</c:v>
                </c:pt>
                <c:pt idx="1">
                  <c:v>1718</c:v>
                </c:pt>
                <c:pt idx="3">
                  <c:v>11484</c:v>
                </c:pt>
                <c:pt idx="4">
                  <c:v>5706</c:v>
                </c:pt>
                <c:pt idx="5">
                  <c:v>1351</c:v>
                </c:pt>
                <c:pt idx="6">
                  <c:v>8796</c:v>
                </c:pt>
                <c:pt idx="7">
                  <c:v>5153</c:v>
                </c:pt>
                <c:pt idx="8">
                  <c:v>2884</c:v>
                </c:pt>
                <c:pt idx="9">
                  <c:v>741</c:v>
                </c:pt>
                <c:pt idx="10">
                  <c:v>11982</c:v>
                </c:pt>
                <c:pt idx="11">
                  <c:v>10874</c:v>
                </c:pt>
                <c:pt idx="12">
                  <c:v>5601</c:v>
                </c:pt>
                <c:pt idx="13">
                  <c:v>3980</c:v>
                </c:pt>
                <c:pt idx="14">
                  <c:v>1352</c:v>
                </c:pt>
                <c:pt idx="15">
                  <c:v>5493</c:v>
                </c:pt>
                <c:pt idx="16">
                  <c:v>64216</c:v>
                </c:pt>
                <c:pt idx="18">
                  <c:v>7513</c:v>
                </c:pt>
                <c:pt idx="20">
                  <c:v>283575</c:v>
                </c:pt>
                <c:pt idx="21">
                  <c:v>13428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6-4624-9D65-89A9C95CD019}"/>
            </c:ext>
          </c:extLst>
        </c:ser>
        <c:ser>
          <c:idx val="1"/>
          <c:order val="1"/>
          <c:tx>
            <c:v>계획</c:v>
          </c:tx>
          <c:cat>
            <c:strRef>
              <c:f>'28'!$D$6:$D$30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STOPPER L/R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KNOB</c:v>
                </c:pt>
                <c:pt idx="10">
                  <c:v>ADAPTER</c:v>
                </c:pt>
                <c:pt idx="11">
                  <c:v>ACTUATOR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COVER</c:v>
                </c:pt>
                <c:pt idx="22">
                  <c:v>BASE</c:v>
                </c:pt>
                <c:pt idx="23">
                  <c:v>COVER</c:v>
                </c:pt>
              </c:strCache>
            </c:strRef>
          </c:cat>
          <c:val>
            <c:numRef>
              <c:f>'28'!$J$6:$J$30</c:f>
              <c:numCache>
                <c:formatCode>_(* #,##0_);_(* \(#,##0\);_(* "-"_);_(@_)</c:formatCode>
                <c:ptCount val="25"/>
                <c:pt idx="0">
                  <c:v>5404</c:v>
                </c:pt>
                <c:pt idx="1">
                  <c:v>1718</c:v>
                </c:pt>
                <c:pt idx="2">
                  <c:v>300</c:v>
                </c:pt>
                <c:pt idx="3">
                  <c:v>11484</c:v>
                </c:pt>
                <c:pt idx="4">
                  <c:v>5706</c:v>
                </c:pt>
                <c:pt idx="5">
                  <c:v>1351</c:v>
                </c:pt>
                <c:pt idx="6">
                  <c:v>8796</c:v>
                </c:pt>
                <c:pt idx="7">
                  <c:v>5153</c:v>
                </c:pt>
                <c:pt idx="8">
                  <c:v>2884</c:v>
                </c:pt>
                <c:pt idx="9">
                  <c:v>741</c:v>
                </c:pt>
                <c:pt idx="10">
                  <c:v>11982</c:v>
                </c:pt>
                <c:pt idx="11">
                  <c:v>10874</c:v>
                </c:pt>
                <c:pt idx="12">
                  <c:v>5601</c:v>
                </c:pt>
                <c:pt idx="13">
                  <c:v>3980</c:v>
                </c:pt>
                <c:pt idx="14">
                  <c:v>1352</c:v>
                </c:pt>
                <c:pt idx="15">
                  <c:v>5493</c:v>
                </c:pt>
                <c:pt idx="16">
                  <c:v>64216</c:v>
                </c:pt>
                <c:pt idx="17">
                  <c:v>0</c:v>
                </c:pt>
                <c:pt idx="18">
                  <c:v>7513</c:v>
                </c:pt>
                <c:pt idx="19">
                  <c:v>22300</c:v>
                </c:pt>
                <c:pt idx="20">
                  <c:v>283575</c:v>
                </c:pt>
                <c:pt idx="21">
                  <c:v>13428</c:v>
                </c:pt>
                <c:pt idx="22">
                  <c:v>8984</c:v>
                </c:pt>
                <c:pt idx="23">
                  <c:v>26944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6-4624-9D65-89A9C95CD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'28'!$AD$6:$AD$30</c:f>
              <c:strCache>
                <c:ptCount val="25"/>
                <c:pt idx="0">
                  <c:v>42%</c:v>
                </c:pt>
                <c:pt idx="1">
                  <c:v>21%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29%</c:v>
                </c:pt>
                <c:pt idx="6">
                  <c:v>63%</c:v>
                </c:pt>
                <c:pt idx="7">
                  <c:v>100%</c:v>
                </c:pt>
                <c:pt idx="8">
                  <c:v>63%</c:v>
                </c:pt>
                <c:pt idx="9">
                  <c:v>58%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83%</c:v>
                </c:pt>
                <c:pt idx="14">
                  <c:v>29%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  <c:pt idx="18">
                  <c:v>71%</c:v>
                </c:pt>
                <c:pt idx="19">
                  <c:v>0%</c:v>
                </c:pt>
                <c:pt idx="20">
                  <c:v>92%</c:v>
                </c:pt>
                <c:pt idx="21">
                  <c:v>83%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'28'!$D$6:$D$30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STOPPER L/R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KNOB</c:v>
                </c:pt>
                <c:pt idx="10">
                  <c:v>ADAPTER</c:v>
                </c:pt>
                <c:pt idx="11">
                  <c:v>ACTUATOR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COVER</c:v>
                </c:pt>
                <c:pt idx="22">
                  <c:v>BASE</c:v>
                </c:pt>
                <c:pt idx="23">
                  <c:v>COVER</c:v>
                </c:pt>
              </c:strCache>
            </c:strRef>
          </c:cat>
          <c:val>
            <c:numRef>
              <c:f>'28'!$AD$6:$AD$30</c:f>
              <c:numCache>
                <c:formatCode>0%</c:formatCode>
                <c:ptCount val="25"/>
                <c:pt idx="0">
                  <c:v>0.41666666666666669</c:v>
                </c:pt>
                <c:pt idx="1">
                  <c:v>0.20833333333333334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0.29166666666666669</c:v>
                </c:pt>
                <c:pt idx="6">
                  <c:v>0.625</c:v>
                </c:pt>
                <c:pt idx="7">
                  <c:v>1</c:v>
                </c:pt>
                <c:pt idx="8">
                  <c:v>0.625</c:v>
                </c:pt>
                <c:pt idx="9">
                  <c:v>0.58333333333333337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0.83333333333333337</c:v>
                </c:pt>
                <c:pt idx="14">
                  <c:v>0.29166666666666669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0.70833333333333337</c:v>
                </c:pt>
                <c:pt idx="19">
                  <c:v>0</c:v>
                </c:pt>
                <c:pt idx="20">
                  <c:v>0.91666666666666663</c:v>
                </c:pt>
                <c:pt idx="21">
                  <c:v>0.83333333333333337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3-4AD8-BD5A-332EAD9F998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03-4AD8-BD5A-332EAD9F998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'28'!$D$6:$D$30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STOPPER L/R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KNOB</c:v>
                </c:pt>
                <c:pt idx="10">
                  <c:v>ADAPTER</c:v>
                </c:pt>
                <c:pt idx="11">
                  <c:v>ACTUATOR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COVER</c:v>
                </c:pt>
                <c:pt idx="22">
                  <c:v>BASE</c:v>
                </c:pt>
                <c:pt idx="23">
                  <c:v>COVER</c:v>
                </c:pt>
              </c:strCache>
            </c:strRef>
          </c:cat>
          <c:val>
            <c:numRef>
              <c:f>'28'!$AE$6:$AE$30</c:f>
              <c:numCache>
                <c:formatCode>0%</c:formatCode>
                <c:ptCount val="25"/>
                <c:pt idx="0">
                  <c:v>0.57333333333333336</c:v>
                </c:pt>
                <c:pt idx="1">
                  <c:v>0.57333333333333336</c:v>
                </c:pt>
                <c:pt idx="2">
                  <c:v>0.57333333333333336</c:v>
                </c:pt>
                <c:pt idx="3">
                  <c:v>0.57333333333333336</c:v>
                </c:pt>
                <c:pt idx="4">
                  <c:v>0.57333333333333336</c:v>
                </c:pt>
                <c:pt idx="5">
                  <c:v>0.57333333333333336</c:v>
                </c:pt>
                <c:pt idx="6">
                  <c:v>0.57333333333333336</c:v>
                </c:pt>
                <c:pt idx="7">
                  <c:v>0.57333333333333336</c:v>
                </c:pt>
                <c:pt idx="8">
                  <c:v>0.57333333333333336</c:v>
                </c:pt>
                <c:pt idx="9">
                  <c:v>0.57333333333333336</c:v>
                </c:pt>
                <c:pt idx="10">
                  <c:v>0.57333333333333336</c:v>
                </c:pt>
                <c:pt idx="11">
                  <c:v>0.57333333333333336</c:v>
                </c:pt>
                <c:pt idx="12">
                  <c:v>0.57333333333333336</c:v>
                </c:pt>
                <c:pt idx="13">
                  <c:v>0.57333333333333336</c:v>
                </c:pt>
                <c:pt idx="14">
                  <c:v>0.57333333333333336</c:v>
                </c:pt>
                <c:pt idx="15">
                  <c:v>0.57333333333333336</c:v>
                </c:pt>
                <c:pt idx="16">
                  <c:v>0.57333333333333336</c:v>
                </c:pt>
                <c:pt idx="17">
                  <c:v>0.57333333333333336</c:v>
                </c:pt>
                <c:pt idx="18">
                  <c:v>0.57333333333333336</c:v>
                </c:pt>
                <c:pt idx="19">
                  <c:v>0.57333333333333336</c:v>
                </c:pt>
                <c:pt idx="20">
                  <c:v>0.57333333333333336</c:v>
                </c:pt>
                <c:pt idx="21">
                  <c:v>0.57333333333333336</c:v>
                </c:pt>
                <c:pt idx="22">
                  <c:v>0.57333333333333336</c:v>
                </c:pt>
                <c:pt idx="23">
                  <c:v>0.57333333333333336</c:v>
                </c:pt>
                <c:pt idx="24">
                  <c:v>0.57333333333333336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3-4AD8-BD5A-332EAD9F9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'28'!$D$6:$D$30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STOPPER L/R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KNOB</c:v>
                </c:pt>
                <c:pt idx="10">
                  <c:v>ADAPTER</c:v>
                </c:pt>
                <c:pt idx="11">
                  <c:v>ACTUATOR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COVER</c:v>
                </c:pt>
                <c:pt idx="22">
                  <c:v>BASE</c:v>
                </c:pt>
                <c:pt idx="23">
                  <c:v>COVER</c:v>
                </c:pt>
              </c:strCache>
            </c:strRef>
          </c:cat>
          <c:val>
            <c:numRef>
              <c:f>'28'!$L$6:$L$30</c:f>
              <c:numCache>
                <c:formatCode>_(* #,##0_);_(* \(#,##0\);_(* "-"_);_(@_)</c:formatCode>
                <c:ptCount val="25"/>
                <c:pt idx="0">
                  <c:v>5404</c:v>
                </c:pt>
                <c:pt idx="1">
                  <c:v>1718</c:v>
                </c:pt>
                <c:pt idx="3">
                  <c:v>11484</c:v>
                </c:pt>
                <c:pt idx="4">
                  <c:v>5706</c:v>
                </c:pt>
                <c:pt idx="5">
                  <c:v>1351</c:v>
                </c:pt>
                <c:pt idx="6">
                  <c:v>8796</c:v>
                </c:pt>
                <c:pt idx="7">
                  <c:v>5153</c:v>
                </c:pt>
                <c:pt idx="8">
                  <c:v>2884</c:v>
                </c:pt>
                <c:pt idx="9">
                  <c:v>741</c:v>
                </c:pt>
                <c:pt idx="10">
                  <c:v>11982</c:v>
                </c:pt>
                <c:pt idx="11">
                  <c:v>10874</c:v>
                </c:pt>
                <c:pt idx="12">
                  <c:v>5601</c:v>
                </c:pt>
                <c:pt idx="13">
                  <c:v>3980</c:v>
                </c:pt>
                <c:pt idx="14">
                  <c:v>1352</c:v>
                </c:pt>
                <c:pt idx="15">
                  <c:v>5493</c:v>
                </c:pt>
                <c:pt idx="16">
                  <c:v>64216</c:v>
                </c:pt>
                <c:pt idx="18">
                  <c:v>7513</c:v>
                </c:pt>
                <c:pt idx="20">
                  <c:v>283575</c:v>
                </c:pt>
                <c:pt idx="21">
                  <c:v>13428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C-4ED9-BDF5-A72E728D2AEA}"/>
            </c:ext>
          </c:extLst>
        </c:ser>
        <c:ser>
          <c:idx val="1"/>
          <c:order val="1"/>
          <c:tx>
            <c:v>계획</c:v>
          </c:tx>
          <c:cat>
            <c:strRef>
              <c:f>'28'!$D$6:$D$30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STOPPER L/R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KNOB</c:v>
                </c:pt>
                <c:pt idx="10">
                  <c:v>ADAPTER</c:v>
                </c:pt>
                <c:pt idx="11">
                  <c:v>ACTUATOR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COVER</c:v>
                </c:pt>
                <c:pt idx="22">
                  <c:v>BASE</c:v>
                </c:pt>
                <c:pt idx="23">
                  <c:v>COVER</c:v>
                </c:pt>
              </c:strCache>
            </c:strRef>
          </c:cat>
          <c:val>
            <c:numRef>
              <c:f>'28'!$J$6:$J$30</c:f>
              <c:numCache>
                <c:formatCode>_(* #,##0_);_(* \(#,##0\);_(* "-"_);_(@_)</c:formatCode>
                <c:ptCount val="25"/>
                <c:pt idx="0">
                  <c:v>5404</c:v>
                </c:pt>
                <c:pt idx="1">
                  <c:v>1718</c:v>
                </c:pt>
                <c:pt idx="2">
                  <c:v>300</c:v>
                </c:pt>
                <c:pt idx="3">
                  <c:v>11484</c:v>
                </c:pt>
                <c:pt idx="4">
                  <c:v>5706</c:v>
                </c:pt>
                <c:pt idx="5">
                  <c:v>1351</c:v>
                </c:pt>
                <c:pt idx="6">
                  <c:v>8796</c:v>
                </c:pt>
                <c:pt idx="7">
                  <c:v>5153</c:v>
                </c:pt>
                <c:pt idx="8">
                  <c:v>2884</c:v>
                </c:pt>
                <c:pt idx="9">
                  <c:v>741</c:v>
                </c:pt>
                <c:pt idx="10">
                  <c:v>11982</c:v>
                </c:pt>
                <c:pt idx="11">
                  <c:v>10874</c:v>
                </c:pt>
                <c:pt idx="12">
                  <c:v>5601</c:v>
                </c:pt>
                <c:pt idx="13">
                  <c:v>3980</c:v>
                </c:pt>
                <c:pt idx="14">
                  <c:v>1352</c:v>
                </c:pt>
                <c:pt idx="15">
                  <c:v>5493</c:v>
                </c:pt>
                <c:pt idx="16">
                  <c:v>64216</c:v>
                </c:pt>
                <c:pt idx="17">
                  <c:v>0</c:v>
                </c:pt>
                <c:pt idx="18">
                  <c:v>7513</c:v>
                </c:pt>
                <c:pt idx="19">
                  <c:v>22300</c:v>
                </c:pt>
                <c:pt idx="20">
                  <c:v>283575</c:v>
                </c:pt>
                <c:pt idx="21">
                  <c:v>13428</c:v>
                </c:pt>
                <c:pt idx="22">
                  <c:v>8984</c:v>
                </c:pt>
                <c:pt idx="23">
                  <c:v>26944</c:v>
                </c:pt>
                <c:pt idx="24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C-4ED9-BDF5-A72E728D2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'28'!$AD$6:$AD$30</c:f>
              <c:strCache>
                <c:ptCount val="25"/>
                <c:pt idx="0">
                  <c:v>42%</c:v>
                </c:pt>
                <c:pt idx="1">
                  <c:v>21%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29%</c:v>
                </c:pt>
                <c:pt idx="6">
                  <c:v>63%</c:v>
                </c:pt>
                <c:pt idx="7">
                  <c:v>100%</c:v>
                </c:pt>
                <c:pt idx="8">
                  <c:v>63%</c:v>
                </c:pt>
                <c:pt idx="9">
                  <c:v>58%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83%</c:v>
                </c:pt>
                <c:pt idx="14">
                  <c:v>29%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  <c:pt idx="18">
                  <c:v>71%</c:v>
                </c:pt>
                <c:pt idx="19">
                  <c:v>0%</c:v>
                </c:pt>
                <c:pt idx="20">
                  <c:v>92%</c:v>
                </c:pt>
                <c:pt idx="21">
                  <c:v>83%</c:v>
                </c:pt>
                <c:pt idx="22">
                  <c:v>0%</c:v>
                </c:pt>
                <c:pt idx="23">
                  <c:v>0%</c:v>
                </c:pt>
                <c:pt idx="2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'28'!$D$6:$D$30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STOPPER L/R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KNOB</c:v>
                </c:pt>
                <c:pt idx="10">
                  <c:v>ADAPTER</c:v>
                </c:pt>
                <c:pt idx="11">
                  <c:v>ACTUATOR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COVER</c:v>
                </c:pt>
                <c:pt idx="22">
                  <c:v>BASE</c:v>
                </c:pt>
                <c:pt idx="23">
                  <c:v>COVER</c:v>
                </c:pt>
              </c:strCache>
            </c:strRef>
          </c:cat>
          <c:val>
            <c:numRef>
              <c:f>'28'!$AD$6:$AD$30</c:f>
              <c:numCache>
                <c:formatCode>0%</c:formatCode>
                <c:ptCount val="25"/>
                <c:pt idx="0">
                  <c:v>0.41666666666666669</c:v>
                </c:pt>
                <c:pt idx="1">
                  <c:v>0.20833333333333334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0.29166666666666669</c:v>
                </c:pt>
                <c:pt idx="6">
                  <c:v>0.625</c:v>
                </c:pt>
                <c:pt idx="7">
                  <c:v>1</c:v>
                </c:pt>
                <c:pt idx="8">
                  <c:v>0.625</c:v>
                </c:pt>
                <c:pt idx="9">
                  <c:v>0.58333333333333337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0.83333333333333337</c:v>
                </c:pt>
                <c:pt idx="14">
                  <c:v>0.29166666666666669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0.70833333333333337</c:v>
                </c:pt>
                <c:pt idx="19">
                  <c:v>0</c:v>
                </c:pt>
                <c:pt idx="20">
                  <c:v>0.91666666666666663</c:v>
                </c:pt>
                <c:pt idx="21">
                  <c:v>0.83333333333333337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2-4200-AC42-82F568C47FB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472-4200-AC42-82F568C47FB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'28'!$D$6:$D$30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STOPPER L/R</c:v>
                </c:pt>
                <c:pt idx="6">
                  <c:v>COVER</c:v>
                </c:pt>
                <c:pt idx="7">
                  <c:v>BASE</c:v>
                </c:pt>
                <c:pt idx="8">
                  <c:v>TOP/BOTTOM</c:v>
                </c:pt>
                <c:pt idx="9">
                  <c:v>KNOB</c:v>
                </c:pt>
                <c:pt idx="10">
                  <c:v>ADAPTER</c:v>
                </c:pt>
                <c:pt idx="11">
                  <c:v>ACTUATOR</c:v>
                </c:pt>
                <c:pt idx="14">
                  <c:v>STOPPER</c:v>
                </c:pt>
                <c:pt idx="15">
                  <c:v>BASE</c:v>
                </c:pt>
                <c:pt idx="18">
                  <c:v>SEPARATOR</c:v>
                </c:pt>
                <c:pt idx="19">
                  <c:v>BASE</c:v>
                </c:pt>
                <c:pt idx="21">
                  <c:v>COVER</c:v>
                </c:pt>
                <c:pt idx="22">
                  <c:v>BASE</c:v>
                </c:pt>
                <c:pt idx="23">
                  <c:v>COVER</c:v>
                </c:pt>
              </c:strCache>
            </c:strRef>
          </c:cat>
          <c:val>
            <c:numRef>
              <c:f>'28'!$AE$6:$AE$30</c:f>
              <c:numCache>
                <c:formatCode>0%</c:formatCode>
                <c:ptCount val="25"/>
                <c:pt idx="0">
                  <c:v>0.57333333333333336</c:v>
                </c:pt>
                <c:pt idx="1">
                  <c:v>0.57333333333333336</c:v>
                </c:pt>
                <c:pt idx="2">
                  <c:v>0.57333333333333336</c:v>
                </c:pt>
                <c:pt idx="3">
                  <c:v>0.57333333333333336</c:v>
                </c:pt>
                <c:pt idx="4">
                  <c:v>0.57333333333333336</c:v>
                </c:pt>
                <c:pt idx="5">
                  <c:v>0.57333333333333336</c:v>
                </c:pt>
                <c:pt idx="6">
                  <c:v>0.57333333333333336</c:v>
                </c:pt>
                <c:pt idx="7">
                  <c:v>0.57333333333333336</c:v>
                </c:pt>
                <c:pt idx="8">
                  <c:v>0.57333333333333336</c:v>
                </c:pt>
                <c:pt idx="9">
                  <c:v>0.57333333333333336</c:v>
                </c:pt>
                <c:pt idx="10">
                  <c:v>0.57333333333333336</c:v>
                </c:pt>
                <c:pt idx="11">
                  <c:v>0.57333333333333336</c:v>
                </c:pt>
                <c:pt idx="12">
                  <c:v>0.57333333333333336</c:v>
                </c:pt>
                <c:pt idx="13">
                  <c:v>0.57333333333333336</c:v>
                </c:pt>
                <c:pt idx="14">
                  <c:v>0.57333333333333336</c:v>
                </c:pt>
                <c:pt idx="15">
                  <c:v>0.57333333333333336</c:v>
                </c:pt>
                <c:pt idx="16">
                  <c:v>0.57333333333333336</c:v>
                </c:pt>
                <c:pt idx="17">
                  <c:v>0.57333333333333336</c:v>
                </c:pt>
                <c:pt idx="18">
                  <c:v>0.57333333333333336</c:v>
                </c:pt>
                <c:pt idx="19">
                  <c:v>0.57333333333333336</c:v>
                </c:pt>
                <c:pt idx="20">
                  <c:v>0.57333333333333336</c:v>
                </c:pt>
                <c:pt idx="21">
                  <c:v>0.57333333333333336</c:v>
                </c:pt>
                <c:pt idx="22">
                  <c:v>0.57333333333333336</c:v>
                </c:pt>
                <c:pt idx="23">
                  <c:v>0.57333333333333336</c:v>
                </c:pt>
                <c:pt idx="24">
                  <c:v>0.57333333333333336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72-4200-AC42-82F568C47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BD7-4C14-831C-F7210A1581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D7-4C14-831C-F7210A158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BD7-4C14-831C-F7210A1581B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D7-4C14-831C-F7210A158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'29'!$D$6:$D$29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COVER</c:v>
                </c:pt>
                <c:pt idx="9">
                  <c:v>ADAPTER</c:v>
                </c:pt>
                <c:pt idx="10">
                  <c:v>ACTUATOR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COVER</c:v>
                </c:pt>
                <c:pt idx="21">
                  <c:v>BASE</c:v>
                </c:pt>
                <c:pt idx="22">
                  <c:v>COVER</c:v>
                </c:pt>
              </c:strCache>
            </c:strRef>
          </c:cat>
          <c:val>
            <c:numRef>
              <c:f>'29'!$L$6:$L$29</c:f>
              <c:numCache>
                <c:formatCode>_(* #,##0_);_(* \(#,##0\);_(* "-"_);_(@_)</c:formatCode>
                <c:ptCount val="24"/>
                <c:pt idx="0">
                  <c:v>20731</c:v>
                </c:pt>
                <c:pt idx="1">
                  <c:v>200</c:v>
                </c:pt>
                <c:pt idx="3">
                  <c:v>10192</c:v>
                </c:pt>
                <c:pt idx="4">
                  <c:v>4871</c:v>
                </c:pt>
                <c:pt idx="5">
                  <c:v>15201</c:v>
                </c:pt>
                <c:pt idx="6">
                  <c:v>4996</c:v>
                </c:pt>
                <c:pt idx="8">
                  <c:v>211</c:v>
                </c:pt>
                <c:pt idx="9">
                  <c:v>11968</c:v>
                </c:pt>
                <c:pt idx="10">
                  <c:v>10764</c:v>
                </c:pt>
                <c:pt idx="11">
                  <c:v>4781</c:v>
                </c:pt>
                <c:pt idx="13">
                  <c:v>3103</c:v>
                </c:pt>
                <c:pt idx="14">
                  <c:v>1986</c:v>
                </c:pt>
                <c:pt idx="15">
                  <c:v>42452</c:v>
                </c:pt>
                <c:pt idx="19">
                  <c:v>206080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E-47B9-A1E3-D560EA985031}"/>
            </c:ext>
          </c:extLst>
        </c:ser>
        <c:ser>
          <c:idx val="1"/>
          <c:order val="1"/>
          <c:tx>
            <c:v>계획</c:v>
          </c:tx>
          <c:cat>
            <c:strRef>
              <c:f>'29'!$D$6:$D$29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COVER</c:v>
                </c:pt>
                <c:pt idx="9">
                  <c:v>ADAPTER</c:v>
                </c:pt>
                <c:pt idx="10">
                  <c:v>ACTUATOR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COVER</c:v>
                </c:pt>
                <c:pt idx="21">
                  <c:v>BASE</c:v>
                </c:pt>
                <c:pt idx="22">
                  <c:v>COVER</c:v>
                </c:pt>
              </c:strCache>
            </c:strRef>
          </c:cat>
          <c:val>
            <c:numRef>
              <c:f>'29'!$J$6:$J$29</c:f>
              <c:numCache>
                <c:formatCode>_(* #,##0_);_(* \(#,##0\);_(* "-"_);_(@_)</c:formatCode>
                <c:ptCount val="24"/>
                <c:pt idx="0">
                  <c:v>20731</c:v>
                </c:pt>
                <c:pt idx="1">
                  <c:v>200</c:v>
                </c:pt>
                <c:pt idx="2">
                  <c:v>300</c:v>
                </c:pt>
                <c:pt idx="3">
                  <c:v>10192</c:v>
                </c:pt>
                <c:pt idx="4">
                  <c:v>4871</c:v>
                </c:pt>
                <c:pt idx="5">
                  <c:v>15201</c:v>
                </c:pt>
                <c:pt idx="6">
                  <c:v>4996</c:v>
                </c:pt>
                <c:pt idx="7">
                  <c:v>2884</c:v>
                </c:pt>
                <c:pt idx="8">
                  <c:v>211</c:v>
                </c:pt>
                <c:pt idx="9">
                  <c:v>11968</c:v>
                </c:pt>
                <c:pt idx="10">
                  <c:v>10764</c:v>
                </c:pt>
                <c:pt idx="11">
                  <c:v>4781</c:v>
                </c:pt>
                <c:pt idx="12">
                  <c:v>3980</c:v>
                </c:pt>
                <c:pt idx="13">
                  <c:v>3103</c:v>
                </c:pt>
                <c:pt idx="14">
                  <c:v>1986</c:v>
                </c:pt>
                <c:pt idx="15">
                  <c:v>42452</c:v>
                </c:pt>
                <c:pt idx="16">
                  <c:v>0</c:v>
                </c:pt>
                <c:pt idx="17">
                  <c:v>7513</c:v>
                </c:pt>
                <c:pt idx="18">
                  <c:v>22300</c:v>
                </c:pt>
                <c:pt idx="19">
                  <c:v>206080</c:v>
                </c:pt>
                <c:pt idx="20">
                  <c:v>13428</c:v>
                </c:pt>
                <c:pt idx="21">
                  <c:v>8984</c:v>
                </c:pt>
                <c:pt idx="22">
                  <c:v>26944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E-47B9-A1E3-D560EA985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'29'!$AD$6:$AD$29</c:f>
              <c:strCache>
                <c:ptCount val="24"/>
                <c:pt idx="0">
                  <c:v>100%</c:v>
                </c:pt>
                <c:pt idx="1">
                  <c:v>17%</c:v>
                </c:pt>
                <c:pt idx="2">
                  <c:v>0%</c:v>
                </c:pt>
                <c:pt idx="3">
                  <c:v>100%</c:v>
                </c:pt>
                <c:pt idx="4">
                  <c:v>92%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21%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58%</c:v>
                </c:pt>
                <c:pt idx="14">
                  <c:v>42%</c:v>
                </c:pt>
                <c:pt idx="15">
                  <c:v>75%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58%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'29'!$D$6:$D$29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COVER</c:v>
                </c:pt>
                <c:pt idx="9">
                  <c:v>ADAPTER</c:v>
                </c:pt>
                <c:pt idx="10">
                  <c:v>ACTUATOR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COVER</c:v>
                </c:pt>
                <c:pt idx="21">
                  <c:v>BASE</c:v>
                </c:pt>
                <c:pt idx="22">
                  <c:v>COVER</c:v>
                </c:pt>
              </c:strCache>
            </c:strRef>
          </c:cat>
          <c:val>
            <c:numRef>
              <c:f>'29'!$AD$6:$AD$29</c:f>
              <c:numCache>
                <c:formatCode>0%</c:formatCode>
                <c:ptCount val="24"/>
                <c:pt idx="0">
                  <c:v>1</c:v>
                </c:pt>
                <c:pt idx="1">
                  <c:v>0.16666666666666666</c:v>
                </c:pt>
                <c:pt idx="2">
                  <c:v>0</c:v>
                </c:pt>
                <c:pt idx="3">
                  <c:v>1</c:v>
                </c:pt>
                <c:pt idx="4">
                  <c:v>0.91666666666666663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0.20833333333333334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0.58333333333333337</c:v>
                </c:pt>
                <c:pt idx="14">
                  <c:v>0.41666666666666669</c:v>
                </c:pt>
                <c:pt idx="15">
                  <c:v>0.75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0.58333333333333337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0B-4D7C-9A8C-0A60ED0F223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0B-4D7C-9A8C-0A60ED0F22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'29'!$D$6:$D$29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COVER</c:v>
                </c:pt>
                <c:pt idx="9">
                  <c:v>ADAPTER</c:v>
                </c:pt>
                <c:pt idx="10">
                  <c:v>ACTUATOR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COVER</c:v>
                </c:pt>
                <c:pt idx="21">
                  <c:v>BASE</c:v>
                </c:pt>
                <c:pt idx="22">
                  <c:v>COVER</c:v>
                </c:pt>
              </c:strCache>
            </c:strRef>
          </c:cat>
          <c:val>
            <c:numRef>
              <c:f>'29'!$AE$6:$AE$29</c:f>
              <c:numCache>
                <c:formatCode>0%</c:formatCode>
                <c:ptCount val="24"/>
                <c:pt idx="0">
                  <c:v>0.44270833333333343</c:v>
                </c:pt>
                <c:pt idx="1">
                  <c:v>0.44270833333333343</c:v>
                </c:pt>
                <c:pt idx="2">
                  <c:v>0.44270833333333343</c:v>
                </c:pt>
                <c:pt idx="3">
                  <c:v>0.44270833333333343</c:v>
                </c:pt>
                <c:pt idx="4">
                  <c:v>0.44270833333333343</c:v>
                </c:pt>
                <c:pt idx="5">
                  <c:v>0.44270833333333343</c:v>
                </c:pt>
                <c:pt idx="6">
                  <c:v>0.44270833333333343</c:v>
                </c:pt>
                <c:pt idx="7">
                  <c:v>0.44270833333333343</c:v>
                </c:pt>
                <c:pt idx="8">
                  <c:v>0.44270833333333343</c:v>
                </c:pt>
                <c:pt idx="9">
                  <c:v>0.44270833333333343</c:v>
                </c:pt>
                <c:pt idx="10">
                  <c:v>0.44270833333333343</c:v>
                </c:pt>
                <c:pt idx="11">
                  <c:v>0.44270833333333343</c:v>
                </c:pt>
                <c:pt idx="12">
                  <c:v>0.44270833333333343</c:v>
                </c:pt>
                <c:pt idx="13">
                  <c:v>0.44270833333333343</c:v>
                </c:pt>
                <c:pt idx="14">
                  <c:v>0.44270833333333343</c:v>
                </c:pt>
                <c:pt idx="15">
                  <c:v>0.44270833333333343</c:v>
                </c:pt>
                <c:pt idx="16">
                  <c:v>0.44270833333333343</c:v>
                </c:pt>
                <c:pt idx="17">
                  <c:v>0.44270833333333343</c:v>
                </c:pt>
                <c:pt idx="18">
                  <c:v>0.44270833333333343</c:v>
                </c:pt>
                <c:pt idx="19">
                  <c:v>0.44270833333333343</c:v>
                </c:pt>
                <c:pt idx="20">
                  <c:v>0.44270833333333343</c:v>
                </c:pt>
                <c:pt idx="21">
                  <c:v>0.44270833333333343</c:v>
                </c:pt>
                <c:pt idx="22">
                  <c:v>0.44270833333333343</c:v>
                </c:pt>
                <c:pt idx="23">
                  <c:v>0.44270833333333343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0B-4D7C-9A8C-0A60ED0F2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864127889076517E-2"/>
          <c:y val="6.4095047578651546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'29'!$D$6:$D$29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COVER</c:v>
                </c:pt>
                <c:pt idx="9">
                  <c:v>ADAPTER</c:v>
                </c:pt>
                <c:pt idx="10">
                  <c:v>ACTUATOR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COVER</c:v>
                </c:pt>
                <c:pt idx="21">
                  <c:v>BASE</c:v>
                </c:pt>
                <c:pt idx="22">
                  <c:v>COVER</c:v>
                </c:pt>
              </c:strCache>
            </c:strRef>
          </c:cat>
          <c:val>
            <c:numRef>
              <c:f>'29'!$L$6:$L$29</c:f>
              <c:numCache>
                <c:formatCode>_(* #,##0_);_(* \(#,##0\);_(* "-"_);_(@_)</c:formatCode>
                <c:ptCount val="24"/>
                <c:pt idx="0">
                  <c:v>20731</c:v>
                </c:pt>
                <c:pt idx="1">
                  <c:v>200</c:v>
                </c:pt>
                <c:pt idx="3">
                  <c:v>10192</c:v>
                </c:pt>
                <c:pt idx="4">
                  <c:v>4871</c:v>
                </c:pt>
                <c:pt idx="5">
                  <c:v>15201</c:v>
                </c:pt>
                <c:pt idx="6">
                  <c:v>4996</c:v>
                </c:pt>
                <c:pt idx="8">
                  <c:v>211</c:v>
                </c:pt>
                <c:pt idx="9">
                  <c:v>11968</c:v>
                </c:pt>
                <c:pt idx="10">
                  <c:v>10764</c:v>
                </c:pt>
                <c:pt idx="11">
                  <c:v>4781</c:v>
                </c:pt>
                <c:pt idx="13">
                  <c:v>3103</c:v>
                </c:pt>
                <c:pt idx="14">
                  <c:v>1986</c:v>
                </c:pt>
                <c:pt idx="15">
                  <c:v>42452</c:v>
                </c:pt>
                <c:pt idx="19">
                  <c:v>206080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08-4ECB-8847-17215DCEC541}"/>
            </c:ext>
          </c:extLst>
        </c:ser>
        <c:ser>
          <c:idx val="1"/>
          <c:order val="1"/>
          <c:tx>
            <c:v>계획</c:v>
          </c:tx>
          <c:cat>
            <c:strRef>
              <c:f>'29'!$D$6:$D$29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COVER</c:v>
                </c:pt>
                <c:pt idx="9">
                  <c:v>ADAPTER</c:v>
                </c:pt>
                <c:pt idx="10">
                  <c:v>ACTUATOR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COVER</c:v>
                </c:pt>
                <c:pt idx="21">
                  <c:v>BASE</c:v>
                </c:pt>
                <c:pt idx="22">
                  <c:v>COVER</c:v>
                </c:pt>
              </c:strCache>
            </c:strRef>
          </c:cat>
          <c:val>
            <c:numRef>
              <c:f>'29'!$J$6:$J$29</c:f>
              <c:numCache>
                <c:formatCode>_(* #,##0_);_(* \(#,##0\);_(* "-"_);_(@_)</c:formatCode>
                <c:ptCount val="24"/>
                <c:pt idx="0">
                  <c:v>20731</c:v>
                </c:pt>
                <c:pt idx="1">
                  <c:v>200</c:v>
                </c:pt>
                <c:pt idx="2">
                  <c:v>300</c:v>
                </c:pt>
                <c:pt idx="3">
                  <c:v>10192</c:v>
                </c:pt>
                <c:pt idx="4">
                  <c:v>4871</c:v>
                </c:pt>
                <c:pt idx="5">
                  <c:v>15201</c:v>
                </c:pt>
                <c:pt idx="6">
                  <c:v>4996</c:v>
                </c:pt>
                <c:pt idx="7">
                  <c:v>2884</c:v>
                </c:pt>
                <c:pt idx="8">
                  <c:v>211</c:v>
                </c:pt>
                <c:pt idx="9">
                  <c:v>11968</c:v>
                </c:pt>
                <c:pt idx="10">
                  <c:v>10764</c:v>
                </c:pt>
                <c:pt idx="11">
                  <c:v>4781</c:v>
                </c:pt>
                <c:pt idx="12">
                  <c:v>3980</c:v>
                </c:pt>
                <c:pt idx="13">
                  <c:v>3103</c:v>
                </c:pt>
                <c:pt idx="14">
                  <c:v>1986</c:v>
                </c:pt>
                <c:pt idx="15">
                  <c:v>42452</c:v>
                </c:pt>
                <c:pt idx="16">
                  <c:v>0</c:v>
                </c:pt>
                <c:pt idx="17">
                  <c:v>7513</c:v>
                </c:pt>
                <c:pt idx="18">
                  <c:v>22300</c:v>
                </c:pt>
                <c:pt idx="19">
                  <c:v>206080</c:v>
                </c:pt>
                <c:pt idx="20">
                  <c:v>13428</c:v>
                </c:pt>
                <c:pt idx="21">
                  <c:v>8984</c:v>
                </c:pt>
                <c:pt idx="22">
                  <c:v>26944</c:v>
                </c:pt>
                <c:pt idx="23">
                  <c:v>79328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08-4ECB-8847-17215DCEC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'29'!$AD$6:$AD$29</c:f>
              <c:strCache>
                <c:ptCount val="24"/>
                <c:pt idx="0">
                  <c:v>100%</c:v>
                </c:pt>
                <c:pt idx="1">
                  <c:v>17%</c:v>
                </c:pt>
                <c:pt idx="2">
                  <c:v>0%</c:v>
                </c:pt>
                <c:pt idx="3">
                  <c:v>100%</c:v>
                </c:pt>
                <c:pt idx="4">
                  <c:v>92%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21%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58%</c:v>
                </c:pt>
                <c:pt idx="14">
                  <c:v>42%</c:v>
                </c:pt>
                <c:pt idx="15">
                  <c:v>75%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58%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'29'!$D$6:$D$29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COVER</c:v>
                </c:pt>
                <c:pt idx="9">
                  <c:v>ADAPTER</c:v>
                </c:pt>
                <c:pt idx="10">
                  <c:v>ACTUATOR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COVER</c:v>
                </c:pt>
                <c:pt idx="21">
                  <c:v>BASE</c:v>
                </c:pt>
                <c:pt idx="22">
                  <c:v>COVER</c:v>
                </c:pt>
              </c:strCache>
            </c:strRef>
          </c:cat>
          <c:val>
            <c:numRef>
              <c:f>'29'!$AD$6:$AD$29</c:f>
              <c:numCache>
                <c:formatCode>0%</c:formatCode>
                <c:ptCount val="24"/>
                <c:pt idx="0">
                  <c:v>1</c:v>
                </c:pt>
                <c:pt idx="1">
                  <c:v>0.16666666666666666</c:v>
                </c:pt>
                <c:pt idx="2">
                  <c:v>0</c:v>
                </c:pt>
                <c:pt idx="3">
                  <c:v>1</c:v>
                </c:pt>
                <c:pt idx="4">
                  <c:v>0.91666666666666663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0.20833333333333334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0.58333333333333337</c:v>
                </c:pt>
                <c:pt idx="14">
                  <c:v>0.41666666666666669</c:v>
                </c:pt>
                <c:pt idx="15">
                  <c:v>0.75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0.58333333333333337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9A-4D79-9301-59C7EE0450B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9A-4D79-9301-59C7EE0450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'29'!$D$6:$D$29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TOP/BOTTOM</c:v>
                </c:pt>
                <c:pt idx="8">
                  <c:v>COVER</c:v>
                </c:pt>
                <c:pt idx="9">
                  <c:v>ADAPTER</c:v>
                </c:pt>
                <c:pt idx="10">
                  <c:v>ACTUATOR</c:v>
                </c:pt>
                <c:pt idx="13">
                  <c:v>STOPPER</c:v>
                </c:pt>
                <c:pt idx="14">
                  <c:v>BASE</c:v>
                </c:pt>
                <c:pt idx="17">
                  <c:v>SEPARATOR</c:v>
                </c:pt>
                <c:pt idx="18">
                  <c:v>BASE</c:v>
                </c:pt>
                <c:pt idx="20">
                  <c:v>COVER</c:v>
                </c:pt>
                <c:pt idx="21">
                  <c:v>BASE</c:v>
                </c:pt>
                <c:pt idx="22">
                  <c:v>COVER</c:v>
                </c:pt>
              </c:strCache>
            </c:strRef>
          </c:cat>
          <c:val>
            <c:numRef>
              <c:f>'29'!$AE$6:$AE$29</c:f>
              <c:numCache>
                <c:formatCode>0%</c:formatCode>
                <c:ptCount val="24"/>
                <c:pt idx="0">
                  <c:v>0.44270833333333343</c:v>
                </c:pt>
                <c:pt idx="1">
                  <c:v>0.44270833333333343</c:v>
                </c:pt>
                <c:pt idx="2">
                  <c:v>0.44270833333333343</c:v>
                </c:pt>
                <c:pt idx="3">
                  <c:v>0.44270833333333343</c:v>
                </c:pt>
                <c:pt idx="4">
                  <c:v>0.44270833333333343</c:v>
                </c:pt>
                <c:pt idx="5">
                  <c:v>0.44270833333333343</c:v>
                </c:pt>
                <c:pt idx="6">
                  <c:v>0.44270833333333343</c:v>
                </c:pt>
                <c:pt idx="7">
                  <c:v>0.44270833333333343</c:v>
                </c:pt>
                <c:pt idx="8">
                  <c:v>0.44270833333333343</c:v>
                </c:pt>
                <c:pt idx="9">
                  <c:v>0.44270833333333343</c:v>
                </c:pt>
                <c:pt idx="10">
                  <c:v>0.44270833333333343</c:v>
                </c:pt>
                <c:pt idx="11">
                  <c:v>0.44270833333333343</c:v>
                </c:pt>
                <c:pt idx="12">
                  <c:v>0.44270833333333343</c:v>
                </c:pt>
                <c:pt idx="13">
                  <c:v>0.44270833333333343</c:v>
                </c:pt>
                <c:pt idx="14">
                  <c:v>0.44270833333333343</c:v>
                </c:pt>
                <c:pt idx="15">
                  <c:v>0.44270833333333343</c:v>
                </c:pt>
                <c:pt idx="16">
                  <c:v>0.44270833333333343</c:v>
                </c:pt>
                <c:pt idx="17">
                  <c:v>0.44270833333333343</c:v>
                </c:pt>
                <c:pt idx="18">
                  <c:v>0.44270833333333343</c:v>
                </c:pt>
                <c:pt idx="19">
                  <c:v>0.44270833333333343</c:v>
                </c:pt>
                <c:pt idx="20">
                  <c:v>0.44270833333333343</c:v>
                </c:pt>
                <c:pt idx="21">
                  <c:v>0.44270833333333343</c:v>
                </c:pt>
                <c:pt idx="22">
                  <c:v>0.44270833333333343</c:v>
                </c:pt>
                <c:pt idx="23">
                  <c:v>0.44270833333333343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A-4D79-9301-59C7EE045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5D4-46CF-B837-188648B1BC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4-46CF-B837-188648B1B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5D4-46CF-B837-188648B1BCE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D4-46CF-B837-188648B1B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10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총괄!$A$27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총괄!$B$27:$AG$27</c:f>
              <c:numCache>
                <c:formatCode>0%</c:formatCode>
                <c:ptCount val="32"/>
                <c:pt idx="0">
                  <c:v>0.48106060606060608</c:v>
                </c:pt>
                <c:pt idx="1">
                  <c:v>0.15909090909090909</c:v>
                </c:pt>
                <c:pt idx="3">
                  <c:v>0.41238468977830683</c:v>
                </c:pt>
                <c:pt idx="4">
                  <c:v>0.39583333333333337</c:v>
                </c:pt>
                <c:pt idx="5">
                  <c:v>0.4045138888888889</c:v>
                </c:pt>
                <c:pt idx="6">
                  <c:v>0.5492424242424242</c:v>
                </c:pt>
                <c:pt idx="7">
                  <c:v>0.49431818181818182</c:v>
                </c:pt>
                <c:pt idx="8">
                  <c:v>0.35227272727272724</c:v>
                </c:pt>
                <c:pt idx="9">
                  <c:v>5.3030303030303032E-2</c:v>
                </c:pt>
                <c:pt idx="10">
                  <c:v>0.41477272727272735</c:v>
                </c:pt>
                <c:pt idx="11">
                  <c:v>0.48863636363636365</c:v>
                </c:pt>
                <c:pt idx="12">
                  <c:v>0.53804347826086962</c:v>
                </c:pt>
                <c:pt idx="13">
                  <c:v>0.61931818181818177</c:v>
                </c:pt>
                <c:pt idx="14">
                  <c:v>0.41</c:v>
                </c:pt>
                <c:pt idx="17">
                  <c:v>0.4079861111111111</c:v>
                </c:pt>
                <c:pt idx="18">
                  <c:v>0.43583333333333335</c:v>
                </c:pt>
                <c:pt idx="19">
                  <c:v>0.56944444444444453</c:v>
                </c:pt>
                <c:pt idx="20">
                  <c:v>0.54833333333333334</c:v>
                </c:pt>
                <c:pt idx="21">
                  <c:v>0.46180555555555552</c:v>
                </c:pt>
                <c:pt idx="24">
                  <c:v>0.36858974358974361</c:v>
                </c:pt>
                <c:pt idx="25">
                  <c:v>0.33833333333333337</c:v>
                </c:pt>
                <c:pt idx="26">
                  <c:v>0.49519230769230771</c:v>
                </c:pt>
                <c:pt idx="27">
                  <c:v>0.57333333333333336</c:v>
                </c:pt>
                <c:pt idx="28">
                  <c:v>0.44270833333333343</c:v>
                </c:pt>
                <c:pt idx="31">
                  <c:v>0.33593798850205331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총괄!$B$28:$AG$28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10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총괄!$A$3:$A$26</c:f>
              <c:strCache>
                <c:ptCount val="24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  <c:pt idx="16">
                  <c:v>17호기</c:v>
                </c:pt>
                <c:pt idx="17">
                  <c:v>18호기</c:v>
                </c:pt>
                <c:pt idx="18">
                  <c:v>31호기</c:v>
                </c:pt>
                <c:pt idx="19">
                  <c:v>32호기</c:v>
                </c:pt>
                <c:pt idx="20">
                  <c:v>33호기</c:v>
                </c:pt>
                <c:pt idx="21">
                  <c:v>34호기</c:v>
                </c:pt>
                <c:pt idx="22">
                  <c:v>35호기</c:v>
                </c:pt>
                <c:pt idx="23">
                  <c:v>36호기</c:v>
                </c:pt>
              </c:strCache>
            </c:strRef>
          </c:cat>
          <c:val>
            <c:numRef>
              <c:f>총괄!$AG$3:$AG$26</c:f>
              <c:numCache>
                <c:formatCode>0%</c:formatCode>
                <c:ptCount val="24"/>
                <c:pt idx="0">
                  <c:v>0.21505376344086022</c:v>
                </c:pt>
                <c:pt idx="1">
                  <c:v>0.49561709167062629</c:v>
                </c:pt>
                <c:pt idx="2">
                  <c:v>0.31249999999999994</c:v>
                </c:pt>
                <c:pt idx="3">
                  <c:v>0.60349462365591378</c:v>
                </c:pt>
                <c:pt idx="4">
                  <c:v>0.52822580645161299</c:v>
                </c:pt>
                <c:pt idx="5">
                  <c:v>0.60215053763440862</c:v>
                </c:pt>
                <c:pt idx="6">
                  <c:v>0.56317204301075274</c:v>
                </c:pt>
                <c:pt idx="7">
                  <c:v>0.48387096774193544</c:v>
                </c:pt>
                <c:pt idx="8">
                  <c:v>0.11827956989247311</c:v>
                </c:pt>
                <c:pt idx="9">
                  <c:v>0.54973118279569899</c:v>
                </c:pt>
                <c:pt idx="10">
                  <c:v>0.59677419354838712</c:v>
                </c:pt>
                <c:pt idx="11">
                  <c:v>0.375</c:v>
                </c:pt>
                <c:pt idx="12">
                  <c:v>0.49327956989247312</c:v>
                </c:pt>
                <c:pt idx="13">
                  <c:v>0.36290322580645162</c:v>
                </c:pt>
                <c:pt idx="14">
                  <c:v>0.60215053763440862</c:v>
                </c:pt>
                <c:pt idx="15">
                  <c:v>0.55376344086021512</c:v>
                </c:pt>
                <c:pt idx="16">
                  <c:v>0</c:v>
                </c:pt>
                <c:pt idx="17">
                  <c:v>5.2419354838709679E-2</c:v>
                </c:pt>
                <c:pt idx="18">
                  <c:v>0</c:v>
                </c:pt>
                <c:pt idx="19">
                  <c:v>5.5107526881720437E-2</c:v>
                </c:pt>
                <c:pt idx="20">
                  <c:v>0.17741935483870969</c:v>
                </c:pt>
                <c:pt idx="21">
                  <c:v>0.13306451612903225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5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7.xml"/><Relationship Id="rId1" Type="http://schemas.openxmlformats.org/officeDocument/2006/relationships/chart" Target="../charts/chart116.xml"/><Relationship Id="rId6" Type="http://schemas.openxmlformats.org/officeDocument/2006/relationships/chart" Target="../charts/chart120.xml"/><Relationship Id="rId5" Type="http://schemas.openxmlformats.org/officeDocument/2006/relationships/chart" Target="../charts/chart119.xml"/><Relationship Id="rId4" Type="http://schemas.openxmlformats.org/officeDocument/2006/relationships/chart" Target="../charts/chart118.xml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2.xml"/><Relationship Id="rId1" Type="http://schemas.openxmlformats.org/officeDocument/2006/relationships/chart" Target="../charts/chart1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1225A1A-124A-4E1F-8A9D-7EF24B22D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9558C60-0CC8-4EFE-84B2-039F39B94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3B69553-57D3-4735-8AC9-0760DD949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111B6D9-2044-40F4-9EF2-CF5535F856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DEFB250-7835-4C0E-BFD4-B57446055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AAD1DB8-BE50-4CAE-8237-247316039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8726B51-59E6-4F5C-A496-2EEE6F89C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C803DC2-FC4C-4782-97EE-D6569C581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F0614CE-30FC-47BA-B24B-F026330F2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A91819A-75BF-4BE8-BF61-4D0A86A03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799AF01-E58B-47F1-93A9-A76769114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A8A1698-A8CD-4077-9A7C-7E42AD4CC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2159D4A-7005-48D5-9C06-8C825CC33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2EDA2FF-70D1-4D43-AD6D-E4ADC40B4C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0CE4B21-F3BC-4844-B5F4-37C23602D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420BF0B-5732-4F42-9893-E50FD34F2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3961263-23D8-4CC8-8129-C381ABD97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DCD9036-839E-47FF-A2AF-587ACCC8F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016F555-ABEA-4E19-AE5E-7086F0CF30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898CD94-D025-4E46-A8AA-A00B258EC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AA865D0-D507-464A-B504-E03B047D3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23708CE-C614-4A72-AD2F-062366D0D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D2814A7-777D-475C-BEB4-C97F505CF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FD4E62F-9164-4CD2-996B-6E3AF1163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74D9305-C3FF-4E78-90B4-6F2F6E3183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5A3672A-ACA3-4B6F-AE90-9ABFBBF0D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DE62782-D2A9-4D91-AE9A-66A4AB28D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328CE42-40B5-4E57-AFA6-CA403BF88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60F7F77-9380-4C79-87CA-F44BC0038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C2DE8DB-9E6C-489F-9504-1AE9F967E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B07DF01-099F-40B2-8243-367BC9036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BB579B5-F75B-420C-A7E3-95356DE78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81F29B1-EA0D-4F65-8CE0-770C5E96A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422097B-7F0E-4572-AEE9-43AD51A4B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46CAEC8-8AE5-4B6C-A82E-EC2FF078BD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0EF20DD-16A8-4090-AA26-211BB2EDB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525E2A7-A9F1-4A11-9441-C352B0866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A1692DD-0F15-4BA8-845A-4070EF625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71997C0-CE6E-4235-9745-A438C92DC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0DA2C04-4B26-4F58-913B-0C13D51B8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959DA61-7F3F-4DCE-8106-1983DDD89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CD8563B-E1B9-43A3-8D4B-AE4CE0632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70760FB-20FE-4797-B2D7-0A6A35D092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780255A-E802-4DD7-A5F5-7B311C80F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CB37A7E-90FE-4AB6-AEBC-B9D045D7A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F66AE45-2785-4E7B-8E0C-F8FFA7E75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3613A88-E0C0-4178-B4D0-5AAE0BF47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2E3DA78-BF5E-40A0-920B-32274A449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6485F42-A3DE-4BAC-8DED-630A5876F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B72E53E-B3F2-4F6F-ACE1-478F4538C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7D2B412-2C15-447B-A717-0912F2B9D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07EC534-FF83-433B-9E84-7EE44CDC8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B014A81-AB56-4B42-939E-23CD92DB8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35DAB1D-398A-4A48-BDB6-B48288AAA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5FAB8A6-F0E5-479F-8520-F223A48BA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44BD5C6-7B4A-4E84-9307-F45B7F26E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BB8A0BB-1677-49A9-A77E-94C248184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4BD7ABD-AA2E-45DC-A644-5907EFD27C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FA80ED5-B793-4415-ACE8-D95F32545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EFA02E4-CA21-40C2-9FE2-66397789F7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47FEAAC-3AB6-43DE-8C6A-E446F8B91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10B84A2-1310-43AB-B2E4-520E667D5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5E2610A-7883-4D5F-A29E-5F86C7817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B380001-BF7E-4432-AB4C-62182FFCF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A08B10A-8E97-4A53-BC0A-BDC0F61AF6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A64200B-D139-4769-B0BB-E43EABBF2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CA2C124-6450-43D6-9895-D8EBC9510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E56AFA3-C9D9-485B-B8C1-37C5F3DDF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C725C12-C120-4239-AA10-D8E5ADEB4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68780A3-895B-428C-9310-F6FFCB2EE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77F0066-D52B-42CD-8BFA-0FDC36D53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14CDBFC-D57D-414F-829D-56073D89A1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2A4E6D8-741B-47A0-866E-6F4177F83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4BD5E74-47F6-4D7A-AA00-E93F3CBF7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F896107-8D73-4B91-8E3B-34E115B45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85C5A95-860E-44AD-84FE-9B72EF683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E11E815-D3D0-4CF3-B388-E4DABF93F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AA2CEAA-8165-486D-A3FA-1907FB041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851FE9F-89EF-472A-A71D-AC0A6D267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81BFCA8-978E-44ED-BD14-B3E44DACF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61AC488-C79E-4038-BF5C-2A3642452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082FF5A-14BB-4B1D-AD83-F4F07E86B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41601B7-9343-463F-A657-08520804A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1607F06-DCA3-44FB-AD51-8446968049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ACBA39F-C1FB-4B2A-81E9-24DE4D4D7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5C41007-013D-4132-B099-3EC6C6EDA9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8606FF3-5758-4B05-BBD1-EC33B6D45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17DE4D2-D78B-4C5E-8D06-EA373EC2B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CA62EDE-D610-4D59-9B58-2AB9115DB4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9358FBB-4384-476A-8113-C3D4B8147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9CB1EC4-01F2-44F7-96C0-584D5DA96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33</xdr:row>
      <xdr:rowOff>0</xdr:rowOff>
    </xdr:from>
    <xdr:to>
      <xdr:col>12</xdr:col>
      <xdr:colOff>1199028</xdr:colOff>
      <xdr:row>46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A8CE599-B435-49D7-9E05-7FB9ADCCD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457200</xdr:colOff>
      <xdr:row>46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B4F3160-8465-4C0C-A93D-7FD820DC7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E642F88-155F-41D7-81E2-9818E9C10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33</xdr:row>
      <xdr:rowOff>0</xdr:rowOff>
    </xdr:from>
    <xdr:to>
      <xdr:col>12</xdr:col>
      <xdr:colOff>1199028</xdr:colOff>
      <xdr:row>46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31EAD4E-686C-4C73-9F85-D841B75CA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457200</xdr:colOff>
      <xdr:row>46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64CA611-9DD7-4791-AD2F-88C0CF9EB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582C598-040D-4ADF-82A7-E2325D4C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47</xdr:row>
      <xdr:rowOff>0</xdr:rowOff>
    </xdr:from>
    <xdr:to>
      <xdr:col>29</xdr:col>
      <xdr:colOff>476250</xdr:colOff>
      <xdr:row>55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32425A1-CC8F-476B-935C-B385F0ED6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D028447-5143-402A-9E6C-8B3CAD94D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03BEDC3-6B1D-4511-A7E9-ECEE29DC8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3724BEB-7FC3-4C5D-BAD2-1116A4339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A225AEF-F473-417C-82AB-4D756D650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60BD7E9-816A-4D2E-BF45-281317BFD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195EE4B-FCA1-44C8-8E9F-F3385899B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38456D2-6821-4728-A9A5-A200ED4FB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33</xdr:row>
      <xdr:rowOff>0</xdr:rowOff>
    </xdr:from>
    <xdr:to>
      <xdr:col>12</xdr:col>
      <xdr:colOff>1199028</xdr:colOff>
      <xdr:row>46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E201436-2136-4B14-BA30-48D42651D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457200</xdr:colOff>
      <xdr:row>46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B6519BC-560F-4135-B094-C238B25B7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0BB323C-F798-4625-8799-F29D58123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33</xdr:row>
      <xdr:rowOff>0</xdr:rowOff>
    </xdr:from>
    <xdr:to>
      <xdr:col>12</xdr:col>
      <xdr:colOff>1199028</xdr:colOff>
      <xdr:row>46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2CA6FC8-4FAE-485F-9E8F-93BC58D9E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457200</xdr:colOff>
      <xdr:row>46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8C68520-63CD-4516-86F4-C6D52ECE2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74D3D71-43DB-4DB2-AD7D-AB6BCD103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47</xdr:row>
      <xdr:rowOff>0</xdr:rowOff>
    </xdr:from>
    <xdr:to>
      <xdr:col>29</xdr:col>
      <xdr:colOff>476250</xdr:colOff>
      <xdr:row>55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EDA47C0-607D-4315-B700-D98C5C4619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9CFDE1F-87C6-4429-B9EC-8CD9CFDAE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3AF0F8-E71D-460A-8AD8-139233E53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181AAE3-9B80-4AEC-8921-E3F33BACA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58D9FA7-6702-4DE8-8C86-D1DDB5EAA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8823E90-B28A-4410-8D09-03442AA3E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1FEB0CC-5457-4182-8B70-5CD84ED22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9F05B88-603D-4F97-B7FF-6613D58E2B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33</xdr:row>
      <xdr:rowOff>0</xdr:rowOff>
    </xdr:from>
    <xdr:to>
      <xdr:col>12</xdr:col>
      <xdr:colOff>1199028</xdr:colOff>
      <xdr:row>46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DDB0DE7-907C-4541-AAED-78090A688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457200</xdr:colOff>
      <xdr:row>46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3B406C8-C7E5-4AD2-9577-E84BB9406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D75A266-36D8-44D9-9C0A-06EA12E2B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33</xdr:row>
      <xdr:rowOff>0</xdr:rowOff>
    </xdr:from>
    <xdr:to>
      <xdr:col>12</xdr:col>
      <xdr:colOff>1199028</xdr:colOff>
      <xdr:row>46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D5421E7-12E6-4073-8478-A43CFBFAB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457200</xdr:colOff>
      <xdr:row>46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CC82896-BD94-41FF-97D1-6AE62CB28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A3E27A8-8320-4EFE-9BD7-0F28C4791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47</xdr:row>
      <xdr:rowOff>0</xdr:rowOff>
    </xdr:from>
    <xdr:to>
      <xdr:col>29</xdr:col>
      <xdr:colOff>476250</xdr:colOff>
      <xdr:row>55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6688081-F51B-49C2-970F-AAE2E939B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E68BFFA-651C-4D78-A299-3D9A47E947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F126BA0-C9E3-4BD4-8E8C-BD622BC62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E8B72C1-9575-4854-BE2B-C11B477DA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D6A2AD4-9061-4CF8-B354-49D7E5B9C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8EEEC3B-91F6-4DF0-A084-482A9C8DC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E8960F4-5CCD-4C84-8D8B-CFD6F8F49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EB9A79B-3B3A-4743-B870-C61E41CDB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34</xdr:row>
      <xdr:rowOff>0</xdr:rowOff>
    </xdr:from>
    <xdr:to>
      <xdr:col>12</xdr:col>
      <xdr:colOff>1199028</xdr:colOff>
      <xdr:row>47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ECB7D4D-821E-4FC3-A8F5-8BA407C8A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29</xdr:col>
      <xdr:colOff>457200</xdr:colOff>
      <xdr:row>47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1615381-B10F-49EA-A0C0-5690D077D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7472ECD-46EA-4E97-8F60-E4AF100E9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34</xdr:row>
      <xdr:rowOff>0</xdr:rowOff>
    </xdr:from>
    <xdr:to>
      <xdr:col>12</xdr:col>
      <xdr:colOff>1199028</xdr:colOff>
      <xdr:row>47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0304753-83F3-44DC-8159-D7876FBCB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29</xdr:col>
      <xdr:colOff>457200</xdr:colOff>
      <xdr:row>47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1B22215-C380-4191-9806-F1E9DA10F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D040D2E-C93D-4190-B99B-372A6D2BD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48</xdr:row>
      <xdr:rowOff>0</xdr:rowOff>
    </xdr:from>
    <xdr:to>
      <xdr:col>29</xdr:col>
      <xdr:colOff>476250</xdr:colOff>
      <xdr:row>56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41726FF-425F-41E2-B880-0DC4B615E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33</xdr:row>
      <xdr:rowOff>0</xdr:rowOff>
    </xdr:from>
    <xdr:to>
      <xdr:col>12</xdr:col>
      <xdr:colOff>1199028</xdr:colOff>
      <xdr:row>46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D58D391-5A07-4FB9-9D1A-B6049C1E9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457200</xdr:colOff>
      <xdr:row>46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478AB50-7E56-489A-9312-503717052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3F44118-58B7-47BA-BF2C-A4DE9E709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33</xdr:row>
      <xdr:rowOff>0</xdr:rowOff>
    </xdr:from>
    <xdr:to>
      <xdr:col>12</xdr:col>
      <xdr:colOff>1199028</xdr:colOff>
      <xdr:row>46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16D2886-B5EC-4EA3-9552-1AEDA0394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457200</xdr:colOff>
      <xdr:row>46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77A6289-8E16-4AF7-83C8-C88E43B30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E3BDAA3-AF7D-4D4D-891F-5B78863E1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47</xdr:row>
      <xdr:rowOff>0</xdr:rowOff>
    </xdr:from>
    <xdr:to>
      <xdr:col>29</xdr:col>
      <xdr:colOff>476250</xdr:colOff>
      <xdr:row>55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C94224E-35F7-4D2E-92EA-369FE29FE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34</xdr:row>
      <xdr:rowOff>0</xdr:rowOff>
    </xdr:from>
    <xdr:to>
      <xdr:col>12</xdr:col>
      <xdr:colOff>1199028</xdr:colOff>
      <xdr:row>47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63C50A7-ACD9-427C-9F4A-F216C6E80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29</xdr:col>
      <xdr:colOff>457200</xdr:colOff>
      <xdr:row>47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45E65D9-A84E-4694-9439-39F64D74F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3C20FE4-28A3-4F6C-BA1B-4647609DD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34</xdr:row>
      <xdr:rowOff>0</xdr:rowOff>
    </xdr:from>
    <xdr:to>
      <xdr:col>12</xdr:col>
      <xdr:colOff>1199028</xdr:colOff>
      <xdr:row>47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E61184C-5DF4-4783-B99B-5FBC783D0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29</xdr:col>
      <xdr:colOff>457200</xdr:colOff>
      <xdr:row>47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390D097-9F01-4036-8A78-44F91A1DB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A04B7B9-5C20-4239-9E99-50393A937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48</xdr:row>
      <xdr:rowOff>0</xdr:rowOff>
    </xdr:from>
    <xdr:to>
      <xdr:col>29</xdr:col>
      <xdr:colOff>476250</xdr:colOff>
      <xdr:row>56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FCBF11E-A37F-4EEA-9115-81A519FE3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33</xdr:row>
      <xdr:rowOff>0</xdr:rowOff>
    </xdr:from>
    <xdr:to>
      <xdr:col>12</xdr:col>
      <xdr:colOff>1199028</xdr:colOff>
      <xdr:row>46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54E1C8E-AA30-4457-BF18-DE78B45D5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457200</xdr:colOff>
      <xdr:row>46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1775CE7-3F8E-4909-AAEE-4D525CCF5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415CEF7-5D21-4A76-8F4B-015EB9210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33</xdr:row>
      <xdr:rowOff>0</xdr:rowOff>
    </xdr:from>
    <xdr:to>
      <xdr:col>12</xdr:col>
      <xdr:colOff>1199028</xdr:colOff>
      <xdr:row>46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94DA40C-240F-471D-B60E-98428681CC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29</xdr:col>
      <xdr:colOff>457200</xdr:colOff>
      <xdr:row>46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57FE302-7578-4155-BE59-2BED59D8D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CE80EC4-82FF-4715-B0F8-AE2B5D0D9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47</xdr:row>
      <xdr:rowOff>0</xdr:rowOff>
    </xdr:from>
    <xdr:to>
      <xdr:col>29</xdr:col>
      <xdr:colOff>476250</xdr:colOff>
      <xdr:row>55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A6FBE79-91C2-4519-96D9-4049518EF0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7E9CDD5-2FB6-4AA5-B8BF-C6EFA6DD2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82B836F-94C2-435A-A946-556810EC1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1BB86C8-D9B5-48E1-AF67-74753F06E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29ABEC9-5483-4363-A580-F60B216BA1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833BDBE-CD39-4E2B-AD98-3AEB1C4C0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FCA3E8B-BEDB-4001-82C8-DB9EC7A5A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62DEA80-EEC5-4F6E-A032-15854289E3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28</xdr:row>
      <xdr:rowOff>104775</xdr:rowOff>
    </xdr:from>
    <xdr:to>
      <xdr:col>16</xdr:col>
      <xdr:colOff>66675</xdr:colOff>
      <xdr:row>40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28</xdr:row>
      <xdr:rowOff>123825</xdr:rowOff>
    </xdr:from>
    <xdr:to>
      <xdr:col>32</xdr:col>
      <xdr:colOff>371474</xdr:colOff>
      <xdr:row>40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753D-BEB4-4CFB-93F0-E7500531DDAB}">
  <sheetPr codeName="Sheet2"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182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127" t="s">
        <v>17</v>
      </c>
      <c r="L5" s="127" t="s">
        <v>18</v>
      </c>
      <c r="M5" s="127" t="s">
        <v>19</v>
      </c>
      <c r="N5" s="12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10312</v>
      </c>
      <c r="K6" s="15">
        <f>L6+5046+2812+7738</f>
        <v>25908</v>
      </c>
      <c r="L6" s="15">
        <f>2595*2+2561*2</f>
        <v>10312</v>
      </c>
      <c r="M6" s="15">
        <f t="shared" ref="M6:M27" si="0">L6-N6</f>
        <v>10312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22</v>
      </c>
      <c r="Q6" s="40">
        <f t="shared" ref="Q6:Q27" si="3">SUM(R6:AA6)</f>
        <v>2</v>
      </c>
      <c r="R6" s="7"/>
      <c r="S6" s="6">
        <v>2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0.91666666666666663</v>
      </c>
      <c r="AD6" s="10">
        <f>AC6*AB6*(1-O6)</f>
        <v>0.91666666666666663</v>
      </c>
      <c r="AE6" s="36">
        <f t="shared" ref="AE6:AE27" si="6">$AD$28</f>
        <v>0.48106060606060608</v>
      </c>
      <c r="AF6" s="81">
        <f t="shared" ref="AF6:AF27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138</v>
      </c>
      <c r="E7" s="53" t="s">
        <v>161</v>
      </c>
      <c r="F7" s="30" t="s">
        <v>137</v>
      </c>
      <c r="G7" s="12">
        <v>1</v>
      </c>
      <c r="H7" s="13">
        <v>24</v>
      </c>
      <c r="I7" s="31">
        <v>55000</v>
      </c>
      <c r="J7" s="14">
        <v>6110</v>
      </c>
      <c r="K7" s="15">
        <f>L7+4962+5479+5974+5609+6074+5975+6110</f>
        <v>40183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ref="AD7:AD27" si="8">AC7*AB7*(1-O7)</f>
        <v>0</v>
      </c>
      <c r="AE7" s="36">
        <f t="shared" si="6"/>
        <v>0.48106060606060608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115</v>
      </c>
      <c r="E8" s="53" t="s">
        <v>181</v>
      </c>
      <c r="F8" s="30" t="s">
        <v>123</v>
      </c>
      <c r="G8" s="12">
        <v>1</v>
      </c>
      <c r="H8" s="13">
        <v>22</v>
      </c>
      <c r="I8" s="31">
        <v>1000</v>
      </c>
      <c r="J8" s="5">
        <v>1000</v>
      </c>
      <c r="K8" s="15">
        <f>L8</f>
        <v>1000</v>
      </c>
      <c r="L8" s="15">
        <v>1000</v>
      </c>
      <c r="M8" s="15">
        <f t="shared" si="0"/>
        <v>1000</v>
      </c>
      <c r="N8" s="15">
        <v>0</v>
      </c>
      <c r="O8" s="58">
        <f t="shared" si="1"/>
        <v>0</v>
      </c>
      <c r="P8" s="39">
        <f t="shared" si="2"/>
        <v>13</v>
      </c>
      <c r="Q8" s="40">
        <f t="shared" si="3"/>
        <v>11</v>
      </c>
      <c r="R8" s="7"/>
      <c r="S8" s="6"/>
      <c r="T8" s="16"/>
      <c r="U8" s="16"/>
      <c r="V8" s="17"/>
      <c r="W8" s="5"/>
      <c r="X8" s="16"/>
      <c r="Y8" s="16"/>
      <c r="Z8" s="16"/>
      <c r="AA8" s="18">
        <v>11</v>
      </c>
      <c r="AB8" s="8">
        <f t="shared" si="4"/>
        <v>1</v>
      </c>
      <c r="AC8" s="9">
        <f t="shared" si="5"/>
        <v>0.54166666666666663</v>
      </c>
      <c r="AD8" s="10">
        <f t="shared" si="8"/>
        <v>0.54166666666666663</v>
      </c>
      <c r="AE8" s="36">
        <f t="shared" si="6"/>
        <v>0.48106060606060608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175</v>
      </c>
      <c r="F9" s="30" t="s">
        <v>141</v>
      </c>
      <c r="G9" s="12">
        <v>1</v>
      </c>
      <c r="H9" s="13">
        <v>24</v>
      </c>
      <c r="I9" s="7">
        <v>20000</v>
      </c>
      <c r="J9" s="14">
        <v>5279</v>
      </c>
      <c r="K9" s="15">
        <f>L9+3984+4530</f>
        <v>13793</v>
      </c>
      <c r="L9" s="15">
        <f>2617+2662</f>
        <v>5279</v>
      </c>
      <c r="M9" s="15">
        <f t="shared" si="0"/>
        <v>5279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8"/>
        <v>0.91666666666666663</v>
      </c>
      <c r="AE9" s="36">
        <f t="shared" si="6"/>
        <v>0.48106060606060608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5658</v>
      </c>
      <c r="K10" s="15">
        <f>L10+5338+5669+5744+4980+3619+1932+309+2790+5660+4715+1739+3127+5884+1203+3638+5732</f>
        <v>67737</v>
      </c>
      <c r="L10" s="15">
        <f>2863+2795</f>
        <v>5658</v>
      </c>
      <c r="M10" s="15">
        <f t="shared" si="0"/>
        <v>5658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0.48106060606060608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157</v>
      </c>
      <c r="E11" s="53" t="s">
        <v>178</v>
      </c>
      <c r="F11" s="30" t="s">
        <v>122</v>
      </c>
      <c r="G11" s="33">
        <v>2</v>
      </c>
      <c r="H11" s="35">
        <v>24</v>
      </c>
      <c r="I11" s="7">
        <v>30000</v>
      </c>
      <c r="J11" s="14">
        <v>11160</v>
      </c>
      <c r="K11" s="15">
        <f>L11+10564</f>
        <v>21724</v>
      </c>
      <c r="L11" s="15">
        <f>2841*2+2739*2</f>
        <v>11160</v>
      </c>
      <c r="M11" s="15">
        <f t="shared" si="0"/>
        <v>11160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0.48106060606060608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112</v>
      </c>
      <c r="D12" s="52" t="s">
        <v>142</v>
      </c>
      <c r="E12" s="53" t="s">
        <v>165</v>
      </c>
      <c r="F12" s="30" t="s">
        <v>158</v>
      </c>
      <c r="G12" s="12">
        <v>1</v>
      </c>
      <c r="H12" s="13">
        <v>22</v>
      </c>
      <c r="I12" s="31">
        <v>40000</v>
      </c>
      <c r="J12" s="5">
        <v>4725</v>
      </c>
      <c r="K12" s="15">
        <f>L12+4452+3191+2676+3717+4759+5028+4406+5174+5212+5276</f>
        <v>48616</v>
      </c>
      <c r="L12" s="15">
        <f>2578+2147</f>
        <v>4725</v>
      </c>
      <c r="M12" s="15">
        <f t="shared" si="0"/>
        <v>4725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0.48106060606060608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116</v>
      </c>
      <c r="D13" s="52" t="s">
        <v>142</v>
      </c>
      <c r="E13" s="53" t="s">
        <v>176</v>
      </c>
      <c r="F13" s="30" t="s">
        <v>136</v>
      </c>
      <c r="G13" s="33">
        <v>1</v>
      </c>
      <c r="H13" s="35">
        <v>22</v>
      </c>
      <c r="I13" s="7">
        <v>17400</v>
      </c>
      <c r="J13" s="14">
        <v>5379</v>
      </c>
      <c r="K13" s="15">
        <f>L13+4060+3612</f>
        <v>13051</v>
      </c>
      <c r="L13" s="15">
        <f>2297+3082</f>
        <v>5379</v>
      </c>
      <c r="M13" s="15">
        <f t="shared" si="0"/>
        <v>5379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0.48106060606060608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171</v>
      </c>
      <c r="D14" s="52"/>
      <c r="E14" s="53" t="s">
        <v>170</v>
      </c>
      <c r="F14" s="30" t="s">
        <v>174</v>
      </c>
      <c r="G14" s="33">
        <v>1</v>
      </c>
      <c r="H14" s="35">
        <v>50</v>
      </c>
      <c r="I14" s="7">
        <v>500</v>
      </c>
      <c r="J14" s="5">
        <v>712</v>
      </c>
      <c r="K14" s="15">
        <f>L14+208+712</f>
        <v>920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0.48106060606060608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163</v>
      </c>
      <c r="D15" s="52" t="s">
        <v>138</v>
      </c>
      <c r="E15" s="53" t="s">
        <v>179</v>
      </c>
      <c r="F15" s="30" t="s">
        <v>137</v>
      </c>
      <c r="G15" s="12">
        <v>1</v>
      </c>
      <c r="H15" s="13">
        <v>24</v>
      </c>
      <c r="I15" s="31">
        <v>10000</v>
      </c>
      <c r="J15" s="14">
        <v>5209</v>
      </c>
      <c r="K15" s="15">
        <f>L15+5812</f>
        <v>11021</v>
      </c>
      <c r="L15" s="15">
        <f>2202+3007</f>
        <v>5209</v>
      </c>
      <c r="M15" s="15">
        <f t="shared" si="0"/>
        <v>5209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0.48106060606060608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127</v>
      </c>
      <c r="E16" s="53" t="s">
        <v>177</v>
      </c>
      <c r="F16" s="30" t="s">
        <v>153</v>
      </c>
      <c r="G16" s="12">
        <v>1</v>
      </c>
      <c r="H16" s="13">
        <v>22</v>
      </c>
      <c r="I16" s="31">
        <v>20000</v>
      </c>
      <c r="J16" s="5">
        <v>5648</v>
      </c>
      <c r="K16" s="15">
        <f>L16+3843+5589</f>
        <v>15080</v>
      </c>
      <c r="L16" s="15">
        <f>2868+2780</f>
        <v>5648</v>
      </c>
      <c r="M16" s="15">
        <f t="shared" si="0"/>
        <v>5648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0.48106060606060608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112</v>
      </c>
      <c r="D17" s="52" t="s">
        <v>138</v>
      </c>
      <c r="E17" s="53" t="s">
        <v>147</v>
      </c>
      <c r="F17" s="30" t="s">
        <v>139</v>
      </c>
      <c r="G17" s="12">
        <v>1</v>
      </c>
      <c r="H17" s="13">
        <v>24</v>
      </c>
      <c r="I17" s="7">
        <v>30000</v>
      </c>
      <c r="J17" s="14">
        <v>7758</v>
      </c>
      <c r="K17" s="15">
        <f>L17+5896+12258</f>
        <v>25912</v>
      </c>
      <c r="L17" s="15">
        <f>890*2+2989*2</f>
        <v>7758</v>
      </c>
      <c r="M17" s="15">
        <f t="shared" si="0"/>
        <v>7758</v>
      </c>
      <c r="N17" s="15">
        <v>0</v>
      </c>
      <c r="O17" s="58">
        <f t="shared" si="1"/>
        <v>0</v>
      </c>
      <c r="P17" s="39">
        <f t="shared" si="2"/>
        <v>19</v>
      </c>
      <c r="Q17" s="40">
        <f t="shared" si="3"/>
        <v>5</v>
      </c>
      <c r="R17" s="7"/>
      <c r="S17" s="6"/>
      <c r="T17" s="16"/>
      <c r="U17" s="16"/>
      <c r="V17" s="17"/>
      <c r="W17" s="5">
        <v>5</v>
      </c>
      <c r="X17" s="16"/>
      <c r="Y17" s="16"/>
      <c r="Z17" s="16"/>
      <c r="AA17" s="18"/>
      <c r="AB17" s="8">
        <f t="shared" si="4"/>
        <v>1</v>
      </c>
      <c r="AC17" s="9">
        <f t="shared" si="5"/>
        <v>0.79166666666666663</v>
      </c>
      <c r="AD17" s="10">
        <f t="shared" si="8"/>
        <v>0.79166666666666663</v>
      </c>
      <c r="AE17" s="36">
        <f t="shared" si="6"/>
        <v>0.48106060606060608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172</v>
      </c>
      <c r="F18" s="30" t="s">
        <v>136</v>
      </c>
      <c r="G18" s="12">
        <v>1</v>
      </c>
      <c r="H18" s="13">
        <v>22</v>
      </c>
      <c r="I18" s="31">
        <v>17000</v>
      </c>
      <c r="J18" s="5">
        <v>2255</v>
      </c>
      <c r="K18" s="15">
        <f>L18+1550+666+3747</f>
        <v>8218</v>
      </c>
      <c r="L18" s="15">
        <v>2255</v>
      </c>
      <c r="M18" s="15">
        <f t="shared" ref="M18" si="9">L18-N18</f>
        <v>2255</v>
      </c>
      <c r="N18" s="15">
        <v>0</v>
      </c>
      <c r="O18" s="58">
        <f t="shared" ref="O18" si="10">IF(L18=0,"0",N18/L18)</f>
        <v>0</v>
      </c>
      <c r="P18" s="39">
        <f t="shared" ref="P18" si="11">IF(L18=0,"0",(24-Q18))</f>
        <v>11</v>
      </c>
      <c r="Q18" s="40">
        <f t="shared" ref="Q18" si="12">SUM(R18:AA18)</f>
        <v>13</v>
      </c>
      <c r="R18" s="7"/>
      <c r="S18" s="6">
        <v>13</v>
      </c>
      <c r="T18" s="16"/>
      <c r="U18" s="16"/>
      <c r="V18" s="17"/>
      <c r="W18" s="5"/>
      <c r="X18" s="16"/>
      <c r="Y18" s="16"/>
      <c r="Z18" s="16"/>
      <c r="AA18" s="18"/>
      <c r="AB18" s="8">
        <f t="shared" ref="AB18" si="13">IF(J18=0,"0",(L18/J18))</f>
        <v>1</v>
      </c>
      <c r="AC18" s="9">
        <f t="shared" ref="AC18" si="14">IF(P18=0,"0",(P18/24))</f>
        <v>0.45833333333333331</v>
      </c>
      <c r="AD18" s="10">
        <f t="shared" ref="AD18" si="15">AC18*AB18*(1-O18)</f>
        <v>0.45833333333333331</v>
      </c>
      <c r="AE18" s="36">
        <f t="shared" si="6"/>
        <v>0.48106060606060608</v>
      </c>
      <c r="AF18" s="81">
        <f t="shared" ref="AF18" si="16">A18</f>
        <v>13</v>
      </c>
    </row>
    <row r="19" spans="1:32" ht="27" customHeight="1">
      <c r="A19" s="92">
        <v>14</v>
      </c>
      <c r="B19" s="11" t="s">
        <v>57</v>
      </c>
      <c r="C19" s="11" t="s">
        <v>112</v>
      </c>
      <c r="D19" s="52" t="s">
        <v>159</v>
      </c>
      <c r="E19" s="53" t="s">
        <v>173</v>
      </c>
      <c r="F19" s="30" t="s">
        <v>123</v>
      </c>
      <c r="G19" s="33">
        <v>1</v>
      </c>
      <c r="H19" s="35">
        <v>24</v>
      </c>
      <c r="I19" s="7">
        <v>35000</v>
      </c>
      <c r="J19" s="14">
        <v>5440</v>
      </c>
      <c r="K19" s="15">
        <f>L19+2187+4152+5440</f>
        <v>11779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0.48106060606060608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112</v>
      </c>
      <c r="D20" s="52" t="s">
        <v>115</v>
      </c>
      <c r="E20" s="53" t="s">
        <v>143</v>
      </c>
      <c r="F20" s="30" t="s">
        <v>136</v>
      </c>
      <c r="G20" s="33">
        <v>2</v>
      </c>
      <c r="H20" s="35">
        <v>24</v>
      </c>
      <c r="I20" s="7">
        <v>190000</v>
      </c>
      <c r="J20" s="14">
        <v>10178</v>
      </c>
      <c r="K20" s="15">
        <f>L20+2429+7472+8688+7444+11036+10988+11010+10896+8170+1188+8544+8600+10428+2136+6276+9709+8542+9846+6657+2519+4495+3045+8000</f>
        <v>178296</v>
      </c>
      <c r="L20" s="15">
        <f>2635*2+2454*2</f>
        <v>10178</v>
      </c>
      <c r="M20" s="15">
        <f t="shared" si="0"/>
        <v>10178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>
        <v>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 t="shared" si="8"/>
        <v>0.95833333333333337</v>
      </c>
      <c r="AE20" s="36">
        <f t="shared" si="6"/>
        <v>0.48106060606060608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146</v>
      </c>
      <c r="F21" s="12" t="s">
        <v>114</v>
      </c>
      <c r="G21" s="12">
        <v>4</v>
      </c>
      <c r="H21" s="35">
        <v>20</v>
      </c>
      <c r="I21" s="7">
        <v>2000000</v>
      </c>
      <c r="J21" s="14">
        <v>30464</v>
      </c>
      <c r="K21" s="15">
        <f>L21+29876+62940+54476+54396+57856+63452+64136+60836+58660+62760+62928+64084+55912+44824+63988+40136+63248+64592+30464</f>
        <v>1059564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0.48106060606060608</v>
      </c>
      <c r="AF21" s="81">
        <f t="shared" si="7"/>
        <v>16</v>
      </c>
    </row>
    <row r="22" spans="1:32" ht="21.75" customHeight="1">
      <c r="A22" s="92">
        <v>31</v>
      </c>
      <c r="B22" s="11" t="s">
        <v>57</v>
      </c>
      <c r="C22" s="11" t="s">
        <v>116</v>
      </c>
      <c r="D22" s="52" t="s">
        <v>115</v>
      </c>
      <c r="E22" s="53" t="s">
        <v>149</v>
      </c>
      <c r="F22" s="12" t="s">
        <v>136</v>
      </c>
      <c r="G22" s="12">
        <v>4</v>
      </c>
      <c r="H22" s="35">
        <v>20</v>
      </c>
      <c r="I22" s="7">
        <v>70000</v>
      </c>
      <c r="J22" s="14">
        <v>22300</v>
      </c>
      <c r="K22" s="15">
        <f>L22+22300</f>
        <v>22300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0.48106060606060608</v>
      </c>
      <c r="AF22" s="81">
        <f t="shared" si="7"/>
        <v>31</v>
      </c>
    </row>
    <row r="23" spans="1:32" ht="21.75" customHeight="1">
      <c r="A23" s="92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" si="17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0.48106060606060608</v>
      </c>
      <c r="AF23" s="81">
        <f t="shared" si="7"/>
        <v>32</v>
      </c>
    </row>
    <row r="24" spans="1:32" ht="21.75" customHeight="1">
      <c r="A24" s="92">
        <v>33</v>
      </c>
      <c r="B24" s="11" t="s">
        <v>57</v>
      </c>
      <c r="C24" s="11" t="s">
        <v>116</v>
      </c>
      <c r="D24" s="52" t="s">
        <v>142</v>
      </c>
      <c r="E24" s="53" t="s">
        <v>151</v>
      </c>
      <c r="F24" s="12" t="s">
        <v>123</v>
      </c>
      <c r="G24" s="12">
        <v>3</v>
      </c>
      <c r="H24" s="35">
        <v>20</v>
      </c>
      <c r="I24" s="7">
        <v>70000</v>
      </c>
      <c r="J24" s="14">
        <v>22300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4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0.48106060606060608</v>
      </c>
      <c r="AF24" s="81">
        <f t="shared" si="7"/>
        <v>33</v>
      </c>
    </row>
    <row r="25" spans="1:32" ht="21.75" customHeight="1">
      <c r="A25" s="92">
        <v>34</v>
      </c>
      <c r="B25" s="11" t="s">
        <v>57</v>
      </c>
      <c r="C25" s="11" t="s">
        <v>116</v>
      </c>
      <c r="D25" s="52" t="s">
        <v>127</v>
      </c>
      <c r="E25" s="53" t="s">
        <v>148</v>
      </c>
      <c r="F25" s="12" t="s">
        <v>124</v>
      </c>
      <c r="G25" s="12">
        <v>4</v>
      </c>
      <c r="H25" s="35">
        <v>20</v>
      </c>
      <c r="I25" s="7">
        <v>50000</v>
      </c>
      <c r="J25" s="14">
        <v>26548</v>
      </c>
      <c r="K25" s="15">
        <f>L25+15172+24432+25280+26548</f>
        <v>91432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4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0.48106060606060608</v>
      </c>
      <c r="AF25" s="81">
        <f t="shared" si="7"/>
        <v>34</v>
      </c>
    </row>
    <row r="26" spans="1:32" ht="21.75" customHeight="1">
      <c r="A26" s="92">
        <v>35</v>
      </c>
      <c r="B26" s="11" t="s">
        <v>57</v>
      </c>
      <c r="C26" s="11" t="s">
        <v>116</v>
      </c>
      <c r="D26" s="52" t="s">
        <v>121</v>
      </c>
      <c r="E26" s="53" t="s">
        <v>125</v>
      </c>
      <c r="F26" s="12" t="s">
        <v>124</v>
      </c>
      <c r="G26" s="12">
        <v>4</v>
      </c>
      <c r="H26" s="35">
        <v>20</v>
      </c>
      <c r="I26" s="7">
        <v>50000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0.48106060606060608</v>
      </c>
      <c r="AF26" s="81">
        <f t="shared" si="7"/>
        <v>35</v>
      </c>
    </row>
    <row r="27" spans="1:32" ht="21.75" customHeight="1" thickBot="1">
      <c r="A27" s="92">
        <v>36</v>
      </c>
      <c r="B27" s="11" t="s">
        <v>57</v>
      </c>
      <c r="C27" s="11" t="s">
        <v>113</v>
      </c>
      <c r="D27" s="52"/>
      <c r="E27" s="53" t="s">
        <v>150</v>
      </c>
      <c r="F27" s="12" t="s">
        <v>114</v>
      </c>
      <c r="G27" s="12">
        <v>4</v>
      </c>
      <c r="H27" s="35">
        <v>20</v>
      </c>
      <c r="I27" s="7">
        <v>1000000</v>
      </c>
      <c r="J27" s="14">
        <v>79328</v>
      </c>
      <c r="K27" s="15">
        <f>L27+28388+70816+76368+81764+83428+47688+53180+83092+82192+79328</f>
        <v>686244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>
        <v>24</v>
      </c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0.48106060606060608</v>
      </c>
      <c r="AF27" s="81">
        <f t="shared" si="7"/>
        <v>36</v>
      </c>
    </row>
    <row r="28" spans="1:32" ht="19.5" thickBot="1">
      <c r="A28" s="478" t="s">
        <v>34</v>
      </c>
      <c r="B28" s="479"/>
      <c r="C28" s="479"/>
      <c r="D28" s="479"/>
      <c r="E28" s="479"/>
      <c r="F28" s="479"/>
      <c r="G28" s="479"/>
      <c r="H28" s="480"/>
      <c r="I28" s="22">
        <f t="shared" ref="I28:N28" si="18">SUM(I6:I27)</f>
        <v>3840900</v>
      </c>
      <c r="J28" s="19">
        <f t="shared" si="18"/>
        <v>294707</v>
      </c>
      <c r="K28" s="20">
        <f t="shared" si="18"/>
        <v>2416030</v>
      </c>
      <c r="L28" s="21">
        <f t="shared" si="18"/>
        <v>74561</v>
      </c>
      <c r="M28" s="20">
        <f t="shared" si="18"/>
        <v>74561</v>
      </c>
      <c r="N28" s="21">
        <f t="shared" si="18"/>
        <v>0</v>
      </c>
      <c r="O28" s="41">
        <f t="shared" si="1"/>
        <v>0</v>
      </c>
      <c r="P28" s="42">
        <f t="shared" ref="P28:AA28" si="19">SUM(P6:P27)</f>
        <v>254</v>
      </c>
      <c r="Q28" s="43">
        <f t="shared" si="19"/>
        <v>274</v>
      </c>
      <c r="R28" s="23">
        <f t="shared" si="19"/>
        <v>0</v>
      </c>
      <c r="S28" s="24">
        <f t="shared" si="19"/>
        <v>66</v>
      </c>
      <c r="T28" s="24">
        <f t="shared" si="19"/>
        <v>0</v>
      </c>
      <c r="U28" s="24">
        <f t="shared" si="19"/>
        <v>0</v>
      </c>
      <c r="V28" s="25">
        <f t="shared" si="19"/>
        <v>72</v>
      </c>
      <c r="W28" s="26">
        <f t="shared" si="19"/>
        <v>101</v>
      </c>
      <c r="X28" s="27">
        <f t="shared" si="19"/>
        <v>0</v>
      </c>
      <c r="Y28" s="27">
        <f t="shared" si="19"/>
        <v>0</v>
      </c>
      <c r="Z28" s="27">
        <f t="shared" si="19"/>
        <v>0</v>
      </c>
      <c r="AA28" s="27">
        <f t="shared" si="19"/>
        <v>35</v>
      </c>
      <c r="AB28" s="28">
        <f>AVERAGE(AB6:AB27)</f>
        <v>0.5714285714285714</v>
      </c>
      <c r="AC28" s="4">
        <f>AVERAGE(AC6:AC27)</f>
        <v>0.48106060606060608</v>
      </c>
      <c r="AD28" s="4">
        <f>AVERAGE(AD6:AD27)</f>
        <v>0.48106060606060608</v>
      </c>
      <c r="AE28" s="29"/>
    </row>
    <row r="29" spans="1:32">
      <c r="T29" s="50" t="s">
        <v>128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129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81" t="s">
        <v>45</v>
      </c>
      <c r="B55" s="481"/>
      <c r="C55" s="481"/>
      <c r="D55" s="481"/>
      <c r="E55" s="48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82" t="s">
        <v>189</v>
      </c>
      <c r="B56" s="483"/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4"/>
      <c r="N56" s="485" t="s">
        <v>190</v>
      </c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7"/>
    </row>
    <row r="57" spans="1:32" ht="27" customHeight="1">
      <c r="A57" s="488" t="s">
        <v>2</v>
      </c>
      <c r="B57" s="489"/>
      <c r="C57" s="126" t="s">
        <v>46</v>
      </c>
      <c r="D57" s="126" t="s">
        <v>47</v>
      </c>
      <c r="E57" s="126" t="s">
        <v>107</v>
      </c>
      <c r="F57" s="490" t="s">
        <v>106</v>
      </c>
      <c r="G57" s="491"/>
      <c r="H57" s="491"/>
      <c r="I57" s="491"/>
      <c r="J57" s="491"/>
      <c r="K57" s="491"/>
      <c r="L57" s="491"/>
      <c r="M57" s="492"/>
      <c r="N57" s="67" t="s">
        <v>110</v>
      </c>
      <c r="O57" s="126" t="s">
        <v>46</v>
      </c>
      <c r="P57" s="490" t="s">
        <v>47</v>
      </c>
      <c r="Q57" s="493"/>
      <c r="R57" s="490" t="s">
        <v>38</v>
      </c>
      <c r="S57" s="491"/>
      <c r="T57" s="491"/>
      <c r="U57" s="493"/>
      <c r="V57" s="490" t="s">
        <v>48</v>
      </c>
      <c r="W57" s="491"/>
      <c r="X57" s="491"/>
      <c r="Y57" s="491"/>
      <c r="Z57" s="491"/>
      <c r="AA57" s="491"/>
      <c r="AB57" s="491"/>
      <c r="AC57" s="491"/>
      <c r="AD57" s="492"/>
    </row>
    <row r="58" spans="1:32" ht="27" customHeight="1">
      <c r="A58" s="455" t="s">
        <v>126</v>
      </c>
      <c r="B58" s="456"/>
      <c r="C58" s="121" t="s">
        <v>140</v>
      </c>
      <c r="D58" s="121" t="s">
        <v>127</v>
      </c>
      <c r="E58" s="121" t="s">
        <v>160</v>
      </c>
      <c r="F58" s="457" t="s">
        <v>184</v>
      </c>
      <c r="G58" s="458"/>
      <c r="H58" s="458"/>
      <c r="I58" s="458"/>
      <c r="J58" s="458"/>
      <c r="K58" s="458"/>
      <c r="L58" s="458"/>
      <c r="M58" s="459"/>
      <c r="N58" s="125" t="s">
        <v>116</v>
      </c>
      <c r="O58" s="119" t="s">
        <v>164</v>
      </c>
      <c r="P58" s="472" t="s">
        <v>115</v>
      </c>
      <c r="Q58" s="473"/>
      <c r="R58" s="472" t="s">
        <v>172</v>
      </c>
      <c r="S58" s="474"/>
      <c r="T58" s="474"/>
      <c r="U58" s="473"/>
      <c r="V58" s="461" t="s">
        <v>144</v>
      </c>
      <c r="W58" s="462"/>
      <c r="X58" s="462"/>
      <c r="Y58" s="462"/>
      <c r="Z58" s="462"/>
      <c r="AA58" s="462"/>
      <c r="AB58" s="462"/>
      <c r="AC58" s="462"/>
      <c r="AD58" s="463"/>
    </row>
    <row r="59" spans="1:32" ht="27" customHeight="1">
      <c r="A59" s="455" t="s">
        <v>116</v>
      </c>
      <c r="B59" s="456"/>
      <c r="C59" s="136" t="s">
        <v>145</v>
      </c>
      <c r="D59" s="136" t="s">
        <v>157</v>
      </c>
      <c r="E59" s="133" t="s">
        <v>175</v>
      </c>
      <c r="F59" s="457" t="s">
        <v>156</v>
      </c>
      <c r="G59" s="458"/>
      <c r="H59" s="458"/>
      <c r="I59" s="458"/>
      <c r="J59" s="458"/>
      <c r="K59" s="458"/>
      <c r="L59" s="458"/>
      <c r="M59" s="459"/>
      <c r="N59" s="125" t="s">
        <v>191</v>
      </c>
      <c r="O59" s="119" t="s">
        <v>192</v>
      </c>
      <c r="P59" s="472" t="s">
        <v>193</v>
      </c>
      <c r="Q59" s="473"/>
      <c r="R59" s="472" t="s">
        <v>194</v>
      </c>
      <c r="S59" s="474"/>
      <c r="T59" s="474"/>
      <c r="U59" s="473"/>
      <c r="V59" s="461" t="s">
        <v>187</v>
      </c>
      <c r="W59" s="462"/>
      <c r="X59" s="462"/>
      <c r="Y59" s="462"/>
      <c r="Z59" s="462"/>
      <c r="AA59" s="462"/>
      <c r="AB59" s="462"/>
      <c r="AC59" s="462"/>
      <c r="AD59" s="463"/>
    </row>
    <row r="60" spans="1:32" ht="27" customHeight="1">
      <c r="A60" s="455" t="s">
        <v>112</v>
      </c>
      <c r="B60" s="456"/>
      <c r="C60" s="136" t="s">
        <v>180</v>
      </c>
      <c r="D60" s="136" t="s">
        <v>115</v>
      </c>
      <c r="E60" s="133" t="s">
        <v>143</v>
      </c>
      <c r="F60" s="457" t="s">
        <v>185</v>
      </c>
      <c r="G60" s="458"/>
      <c r="H60" s="458"/>
      <c r="I60" s="458"/>
      <c r="J60" s="458"/>
      <c r="K60" s="458"/>
      <c r="L60" s="458"/>
      <c r="M60" s="459"/>
      <c r="N60" s="125"/>
      <c r="O60" s="119"/>
      <c r="P60" s="472"/>
      <c r="Q60" s="473"/>
      <c r="R60" s="472"/>
      <c r="S60" s="474"/>
      <c r="T60" s="474"/>
      <c r="U60" s="473"/>
      <c r="V60" s="461"/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116</v>
      </c>
      <c r="B61" s="456"/>
      <c r="C61" s="129" t="s">
        <v>164</v>
      </c>
      <c r="D61" s="129" t="s">
        <v>115</v>
      </c>
      <c r="E61" s="128" t="s">
        <v>172</v>
      </c>
      <c r="F61" s="457" t="s">
        <v>169</v>
      </c>
      <c r="G61" s="458"/>
      <c r="H61" s="458"/>
      <c r="I61" s="458"/>
      <c r="J61" s="458"/>
      <c r="K61" s="458"/>
      <c r="L61" s="458"/>
      <c r="M61" s="459"/>
      <c r="N61" s="125"/>
      <c r="O61" s="119"/>
      <c r="P61" s="472"/>
      <c r="Q61" s="473"/>
      <c r="R61" s="472"/>
      <c r="S61" s="474"/>
      <c r="T61" s="474"/>
      <c r="U61" s="473"/>
      <c r="V61" s="461"/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75" t="s">
        <v>112</v>
      </c>
      <c r="B62" s="460"/>
      <c r="C62" s="122" t="s">
        <v>188</v>
      </c>
      <c r="D62" s="122" t="s">
        <v>115</v>
      </c>
      <c r="E62" s="122" t="s">
        <v>186</v>
      </c>
      <c r="F62" s="457" t="s">
        <v>187</v>
      </c>
      <c r="G62" s="458"/>
      <c r="H62" s="458"/>
      <c r="I62" s="458"/>
      <c r="J62" s="458"/>
      <c r="K62" s="458"/>
      <c r="L62" s="458"/>
      <c r="M62" s="459"/>
      <c r="N62" s="125"/>
      <c r="O62" s="119"/>
      <c r="P62" s="472"/>
      <c r="Q62" s="473"/>
      <c r="R62" s="472"/>
      <c r="S62" s="474"/>
      <c r="T62" s="474"/>
      <c r="U62" s="473"/>
      <c r="V62" s="461"/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/>
      <c r="B63" s="456"/>
      <c r="C63" s="121"/>
      <c r="D63" s="121"/>
      <c r="E63" s="122"/>
      <c r="F63" s="457"/>
      <c r="G63" s="458"/>
      <c r="H63" s="458"/>
      <c r="I63" s="458"/>
      <c r="J63" s="458"/>
      <c r="K63" s="458"/>
      <c r="L63" s="458"/>
      <c r="M63" s="459"/>
      <c r="N63" s="125"/>
      <c r="O63" s="119"/>
      <c r="P63" s="472"/>
      <c r="Q63" s="473"/>
      <c r="R63" s="472"/>
      <c r="S63" s="474"/>
      <c r="T63" s="474"/>
      <c r="U63" s="473"/>
      <c r="V63" s="461"/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/>
      <c r="B64" s="456"/>
      <c r="C64" s="121"/>
      <c r="D64" s="121"/>
      <c r="E64" s="122"/>
      <c r="F64" s="457"/>
      <c r="G64" s="458"/>
      <c r="H64" s="458"/>
      <c r="I64" s="458"/>
      <c r="J64" s="458"/>
      <c r="K64" s="458"/>
      <c r="L64" s="458"/>
      <c r="M64" s="459"/>
      <c r="N64" s="125"/>
      <c r="O64" s="119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/>
      <c r="B65" s="456"/>
      <c r="C65" s="121"/>
      <c r="D65" s="121"/>
      <c r="E65" s="122"/>
      <c r="F65" s="457"/>
      <c r="G65" s="458"/>
      <c r="H65" s="458"/>
      <c r="I65" s="458"/>
      <c r="J65" s="458"/>
      <c r="K65" s="458"/>
      <c r="L65" s="458"/>
      <c r="M65" s="459"/>
      <c r="N65" s="125"/>
      <c r="O65" s="119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121"/>
      <c r="D66" s="121"/>
      <c r="E66" s="122"/>
      <c r="F66" s="457"/>
      <c r="G66" s="458"/>
      <c r="H66" s="458"/>
      <c r="I66" s="458"/>
      <c r="J66" s="458"/>
      <c r="K66" s="458"/>
      <c r="L66" s="458"/>
      <c r="M66" s="459"/>
      <c r="N66" s="125"/>
      <c r="O66" s="119"/>
      <c r="P66" s="460"/>
      <c r="Q66" s="460"/>
      <c r="R66" s="460"/>
      <c r="S66" s="460"/>
      <c r="T66" s="460"/>
      <c r="U66" s="460"/>
      <c r="V66" s="461"/>
      <c r="W66" s="462"/>
      <c r="X66" s="462"/>
      <c r="Y66" s="462"/>
      <c r="Z66" s="462"/>
      <c r="AA66" s="462"/>
      <c r="AB66" s="462"/>
      <c r="AC66" s="462"/>
      <c r="AD66" s="463"/>
      <c r="AF66" s="81">
        <f>8*3000</f>
        <v>24000</v>
      </c>
    </row>
    <row r="67" spans="1:32" ht="27" customHeight="1" thickBot="1">
      <c r="A67" s="464"/>
      <c r="B67" s="465"/>
      <c r="C67" s="123"/>
      <c r="D67" s="124"/>
      <c r="E67" s="123"/>
      <c r="F67" s="466"/>
      <c r="G67" s="467"/>
      <c r="H67" s="467"/>
      <c r="I67" s="467"/>
      <c r="J67" s="467"/>
      <c r="K67" s="467"/>
      <c r="L67" s="467"/>
      <c r="M67" s="468"/>
      <c r="N67" s="105"/>
      <c r="O67" s="97"/>
      <c r="P67" s="469"/>
      <c r="Q67" s="469"/>
      <c r="R67" s="469"/>
      <c r="S67" s="469"/>
      <c r="T67" s="469"/>
      <c r="U67" s="469"/>
      <c r="V67" s="470"/>
      <c r="W67" s="470"/>
      <c r="X67" s="470"/>
      <c r="Y67" s="470"/>
      <c r="Z67" s="470"/>
      <c r="AA67" s="470"/>
      <c r="AB67" s="470"/>
      <c r="AC67" s="470"/>
      <c r="AD67" s="471"/>
      <c r="AF67" s="81">
        <f>16*3000</f>
        <v>48000</v>
      </c>
    </row>
    <row r="68" spans="1:32" ht="27.75" thickBot="1">
      <c r="A68" s="453" t="s">
        <v>195</v>
      </c>
      <c r="B68" s="453"/>
      <c r="C68" s="453"/>
      <c r="D68" s="453"/>
      <c r="E68" s="453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54" t="s">
        <v>111</v>
      </c>
      <c r="B69" s="451"/>
      <c r="C69" s="120" t="s">
        <v>2</v>
      </c>
      <c r="D69" s="120" t="s">
        <v>37</v>
      </c>
      <c r="E69" s="120" t="s">
        <v>3</v>
      </c>
      <c r="F69" s="451" t="s">
        <v>109</v>
      </c>
      <c r="G69" s="451"/>
      <c r="H69" s="451"/>
      <c r="I69" s="451"/>
      <c r="J69" s="451"/>
      <c r="K69" s="451" t="s">
        <v>39</v>
      </c>
      <c r="L69" s="451"/>
      <c r="M69" s="120" t="s">
        <v>40</v>
      </c>
      <c r="N69" s="451" t="s">
        <v>41</v>
      </c>
      <c r="O69" s="451"/>
      <c r="P69" s="448" t="s">
        <v>42</v>
      </c>
      <c r="Q69" s="450"/>
      <c r="R69" s="448" t="s">
        <v>43</v>
      </c>
      <c r="S69" s="449"/>
      <c r="T69" s="449"/>
      <c r="U69" s="449"/>
      <c r="V69" s="449"/>
      <c r="W69" s="449"/>
      <c r="X69" s="449"/>
      <c r="Y69" s="449"/>
      <c r="Z69" s="449"/>
      <c r="AA69" s="450"/>
      <c r="AB69" s="451" t="s">
        <v>44</v>
      </c>
      <c r="AC69" s="451"/>
      <c r="AD69" s="452"/>
      <c r="AF69" s="81">
        <f>SUM(AF66:AF68)</f>
        <v>96000</v>
      </c>
    </row>
    <row r="70" spans="1:32" ht="25.5" customHeight="1">
      <c r="A70" s="439">
        <v>1</v>
      </c>
      <c r="B70" s="440"/>
      <c r="C70" s="98" t="s">
        <v>163</v>
      </c>
      <c r="D70" s="115"/>
      <c r="E70" s="118" t="s">
        <v>115</v>
      </c>
      <c r="F70" s="441" t="s">
        <v>167</v>
      </c>
      <c r="G70" s="431"/>
      <c r="H70" s="431"/>
      <c r="I70" s="431"/>
      <c r="J70" s="431"/>
      <c r="K70" s="431" t="s">
        <v>168</v>
      </c>
      <c r="L70" s="431"/>
      <c r="M70" s="51" t="s">
        <v>154</v>
      </c>
      <c r="N70" s="442" t="s">
        <v>155</v>
      </c>
      <c r="O70" s="442"/>
      <c r="P70" s="443">
        <v>50</v>
      </c>
      <c r="Q70" s="443"/>
      <c r="R70" s="444"/>
      <c r="S70" s="444"/>
      <c r="T70" s="444"/>
      <c r="U70" s="444"/>
      <c r="V70" s="444"/>
      <c r="W70" s="444"/>
      <c r="X70" s="444"/>
      <c r="Y70" s="444"/>
      <c r="Z70" s="444"/>
      <c r="AA70" s="444"/>
      <c r="AB70" s="431"/>
      <c r="AC70" s="431"/>
      <c r="AD70" s="432"/>
      <c r="AF70" s="50"/>
    </row>
    <row r="71" spans="1:32" ht="25.5" customHeight="1">
      <c r="A71" s="439">
        <v>2</v>
      </c>
      <c r="B71" s="440"/>
      <c r="C71" s="98" t="s">
        <v>163</v>
      </c>
      <c r="D71" s="115"/>
      <c r="E71" s="118" t="s">
        <v>115</v>
      </c>
      <c r="F71" s="441" t="s">
        <v>166</v>
      </c>
      <c r="G71" s="431"/>
      <c r="H71" s="431"/>
      <c r="I71" s="431"/>
      <c r="J71" s="431"/>
      <c r="K71" s="431" t="s">
        <v>168</v>
      </c>
      <c r="L71" s="431"/>
      <c r="M71" s="51" t="s">
        <v>154</v>
      </c>
      <c r="N71" s="442" t="s">
        <v>155</v>
      </c>
      <c r="O71" s="442"/>
      <c r="P71" s="443">
        <v>50</v>
      </c>
      <c r="Q71" s="443"/>
      <c r="R71" s="444"/>
      <c r="S71" s="444"/>
      <c r="T71" s="444"/>
      <c r="U71" s="444"/>
      <c r="V71" s="444"/>
      <c r="W71" s="444"/>
      <c r="X71" s="444"/>
      <c r="Y71" s="444"/>
      <c r="Z71" s="444"/>
      <c r="AA71" s="444"/>
      <c r="AB71" s="431"/>
      <c r="AC71" s="431"/>
      <c r="AD71" s="432"/>
      <c r="AF71" s="50"/>
    </row>
    <row r="72" spans="1:32" ht="25.5" customHeight="1">
      <c r="A72" s="439">
        <v>3</v>
      </c>
      <c r="B72" s="440"/>
      <c r="C72" s="98" t="s">
        <v>163</v>
      </c>
      <c r="D72" s="115"/>
      <c r="E72" s="118" t="s">
        <v>115</v>
      </c>
      <c r="F72" s="441" t="s">
        <v>196</v>
      </c>
      <c r="G72" s="431"/>
      <c r="H72" s="431"/>
      <c r="I72" s="431"/>
      <c r="J72" s="431"/>
      <c r="K72" s="431" t="s">
        <v>203</v>
      </c>
      <c r="L72" s="431"/>
      <c r="M72" s="51" t="s">
        <v>154</v>
      </c>
      <c r="N72" s="442" t="s">
        <v>207</v>
      </c>
      <c r="O72" s="442"/>
      <c r="P72" s="443">
        <v>50</v>
      </c>
      <c r="Q72" s="443"/>
      <c r="R72" s="444" t="s">
        <v>208</v>
      </c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4</v>
      </c>
      <c r="B73" s="440"/>
      <c r="C73" s="98" t="s">
        <v>200</v>
      </c>
      <c r="D73" s="115"/>
      <c r="E73" s="118" t="s">
        <v>202</v>
      </c>
      <c r="F73" s="445" t="s">
        <v>197</v>
      </c>
      <c r="G73" s="446"/>
      <c r="H73" s="446"/>
      <c r="I73" s="446"/>
      <c r="J73" s="447"/>
      <c r="K73" s="431" t="s">
        <v>204</v>
      </c>
      <c r="L73" s="431"/>
      <c r="M73" s="51" t="s">
        <v>154</v>
      </c>
      <c r="N73" s="442" t="s">
        <v>207</v>
      </c>
      <c r="O73" s="442"/>
      <c r="P73" s="443">
        <v>50</v>
      </c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5</v>
      </c>
      <c r="B74" s="440"/>
      <c r="C74" s="98" t="s">
        <v>200</v>
      </c>
      <c r="D74" s="115"/>
      <c r="E74" s="118" t="s">
        <v>115</v>
      </c>
      <c r="F74" s="445" t="s">
        <v>198</v>
      </c>
      <c r="G74" s="446"/>
      <c r="H74" s="446"/>
      <c r="I74" s="446"/>
      <c r="J74" s="447"/>
      <c r="K74" s="431" t="s">
        <v>205</v>
      </c>
      <c r="L74" s="431"/>
      <c r="M74" s="51" t="s">
        <v>154</v>
      </c>
      <c r="N74" s="442" t="s">
        <v>188</v>
      </c>
      <c r="O74" s="442"/>
      <c r="P74" s="443">
        <v>50</v>
      </c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6</v>
      </c>
      <c r="B75" s="440"/>
      <c r="C75" s="98" t="s">
        <v>201</v>
      </c>
      <c r="D75" s="115"/>
      <c r="E75" s="118" t="s">
        <v>193</v>
      </c>
      <c r="F75" s="445" t="s">
        <v>199</v>
      </c>
      <c r="G75" s="446"/>
      <c r="H75" s="446"/>
      <c r="I75" s="446"/>
      <c r="J75" s="447"/>
      <c r="K75" s="431" t="s">
        <v>206</v>
      </c>
      <c r="L75" s="431"/>
      <c r="M75" s="51" t="s">
        <v>154</v>
      </c>
      <c r="N75" s="442" t="s">
        <v>188</v>
      </c>
      <c r="O75" s="442"/>
      <c r="P75" s="443">
        <v>50</v>
      </c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7</v>
      </c>
      <c r="B76" s="440"/>
      <c r="C76" s="98"/>
      <c r="D76" s="115"/>
      <c r="E76" s="118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8</v>
      </c>
      <c r="B77" s="440"/>
      <c r="C77" s="98"/>
      <c r="D77" s="115"/>
      <c r="E77" s="118"/>
      <c r="F77" s="441"/>
      <c r="G77" s="431"/>
      <c r="H77" s="431"/>
      <c r="I77" s="431"/>
      <c r="J77" s="431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9</v>
      </c>
      <c r="B78" s="440"/>
      <c r="C78" s="98"/>
      <c r="D78" s="115"/>
      <c r="E78" s="118"/>
      <c r="F78" s="441"/>
      <c r="G78" s="431"/>
      <c r="H78" s="431"/>
      <c r="I78" s="431"/>
      <c r="J78" s="431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10</v>
      </c>
      <c r="B79" s="440"/>
      <c r="C79" s="98"/>
      <c r="D79" s="115"/>
      <c r="E79" s="118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6.25" customHeight="1" thickBot="1">
      <c r="A80" s="411" t="s">
        <v>209</v>
      </c>
      <c r="B80" s="411"/>
      <c r="C80" s="411"/>
      <c r="D80" s="411"/>
      <c r="E80" s="411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33" t="s">
        <v>111</v>
      </c>
      <c r="B81" s="434"/>
      <c r="C81" s="117" t="s">
        <v>2</v>
      </c>
      <c r="D81" s="117" t="s">
        <v>37</v>
      </c>
      <c r="E81" s="117" t="s">
        <v>120</v>
      </c>
      <c r="F81" s="413" t="s">
        <v>38</v>
      </c>
      <c r="G81" s="413"/>
      <c r="H81" s="413"/>
      <c r="I81" s="413"/>
      <c r="J81" s="413"/>
      <c r="K81" s="435" t="s">
        <v>58</v>
      </c>
      <c r="L81" s="436"/>
      <c r="M81" s="436"/>
      <c r="N81" s="436"/>
      <c r="O81" s="436"/>
      <c r="P81" s="436"/>
      <c r="Q81" s="436"/>
      <c r="R81" s="436"/>
      <c r="S81" s="437"/>
      <c r="T81" s="413" t="s">
        <v>49</v>
      </c>
      <c r="U81" s="413"/>
      <c r="V81" s="435" t="s">
        <v>50</v>
      </c>
      <c r="W81" s="437"/>
      <c r="X81" s="436" t="s">
        <v>51</v>
      </c>
      <c r="Y81" s="436"/>
      <c r="Z81" s="436"/>
      <c r="AA81" s="436"/>
      <c r="AB81" s="436"/>
      <c r="AC81" s="436"/>
      <c r="AD81" s="438"/>
      <c r="AF81" s="50"/>
    </row>
    <row r="82" spans="1:32" ht="33.75" customHeight="1">
      <c r="A82" s="405">
        <v>1</v>
      </c>
      <c r="B82" s="406"/>
      <c r="C82" s="116"/>
      <c r="D82" s="116"/>
      <c r="E82" s="65"/>
      <c r="F82" s="420"/>
      <c r="G82" s="421"/>
      <c r="H82" s="421"/>
      <c r="I82" s="421"/>
      <c r="J82" s="422"/>
      <c r="K82" s="423"/>
      <c r="L82" s="424"/>
      <c r="M82" s="424"/>
      <c r="N82" s="424"/>
      <c r="O82" s="424"/>
      <c r="P82" s="424"/>
      <c r="Q82" s="424"/>
      <c r="R82" s="424"/>
      <c r="S82" s="425"/>
      <c r="T82" s="426"/>
      <c r="U82" s="427"/>
      <c r="V82" s="428"/>
      <c r="W82" s="428"/>
      <c r="X82" s="429"/>
      <c r="Y82" s="429"/>
      <c r="Z82" s="429"/>
      <c r="AA82" s="429"/>
      <c r="AB82" s="429"/>
      <c r="AC82" s="429"/>
      <c r="AD82" s="430"/>
      <c r="AF82" s="50"/>
    </row>
    <row r="83" spans="1:32" ht="30" customHeight="1">
      <c r="A83" s="398">
        <f>A82+1</f>
        <v>2</v>
      </c>
      <c r="B83" s="399"/>
      <c r="C83" s="115"/>
      <c r="D83" s="115"/>
      <c r="E83" s="32"/>
      <c r="F83" s="399"/>
      <c r="G83" s="399"/>
      <c r="H83" s="399"/>
      <c r="I83" s="399"/>
      <c r="J83" s="399"/>
      <c r="K83" s="414"/>
      <c r="L83" s="415"/>
      <c r="M83" s="415"/>
      <c r="N83" s="415"/>
      <c r="O83" s="415"/>
      <c r="P83" s="415"/>
      <c r="Q83" s="415"/>
      <c r="R83" s="415"/>
      <c r="S83" s="416"/>
      <c r="T83" s="417"/>
      <c r="U83" s="417"/>
      <c r="V83" s="417"/>
      <c r="W83" s="417"/>
      <c r="X83" s="418"/>
      <c r="Y83" s="418"/>
      <c r="Z83" s="418"/>
      <c r="AA83" s="418"/>
      <c r="AB83" s="418"/>
      <c r="AC83" s="418"/>
      <c r="AD83" s="419"/>
      <c r="AF83" s="50"/>
    </row>
    <row r="84" spans="1:32" ht="30" customHeight="1">
      <c r="A84" s="398">
        <f t="shared" ref="A84:A88" si="20">A83+1</f>
        <v>3</v>
      </c>
      <c r="B84" s="399"/>
      <c r="C84" s="115"/>
      <c r="D84" s="115"/>
      <c r="E84" s="32"/>
      <c r="F84" s="399"/>
      <c r="G84" s="399"/>
      <c r="H84" s="399"/>
      <c r="I84" s="399"/>
      <c r="J84" s="399"/>
      <c r="K84" s="414"/>
      <c r="L84" s="415"/>
      <c r="M84" s="415"/>
      <c r="N84" s="415"/>
      <c r="O84" s="415"/>
      <c r="P84" s="415"/>
      <c r="Q84" s="415"/>
      <c r="R84" s="415"/>
      <c r="S84" s="416"/>
      <c r="T84" s="417"/>
      <c r="U84" s="417"/>
      <c r="V84" s="417"/>
      <c r="W84" s="417"/>
      <c r="X84" s="418"/>
      <c r="Y84" s="418"/>
      <c r="Z84" s="418"/>
      <c r="AA84" s="418"/>
      <c r="AB84" s="418"/>
      <c r="AC84" s="418"/>
      <c r="AD84" s="419"/>
      <c r="AF84" s="50"/>
    </row>
    <row r="85" spans="1:32" ht="30" customHeight="1">
      <c r="A85" s="398">
        <f t="shared" si="20"/>
        <v>4</v>
      </c>
      <c r="B85" s="399"/>
      <c r="C85" s="115"/>
      <c r="D85" s="115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si="20"/>
        <v>5</v>
      </c>
      <c r="B86" s="399"/>
      <c r="C86" s="115"/>
      <c r="D86" s="115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20"/>
        <v>6</v>
      </c>
      <c r="B87" s="399"/>
      <c r="C87" s="115"/>
      <c r="D87" s="115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20"/>
        <v>7</v>
      </c>
      <c r="B88" s="399"/>
      <c r="C88" s="115"/>
      <c r="D88" s="115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6" thickBot="1">
      <c r="A89" s="411" t="s">
        <v>210</v>
      </c>
      <c r="B89" s="411"/>
      <c r="C89" s="411"/>
      <c r="D89" s="411"/>
      <c r="E89" s="411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12" t="s">
        <v>111</v>
      </c>
      <c r="B90" s="413"/>
      <c r="C90" s="403" t="s">
        <v>52</v>
      </c>
      <c r="D90" s="403"/>
      <c r="E90" s="403" t="s">
        <v>53</v>
      </c>
      <c r="F90" s="403"/>
      <c r="G90" s="403"/>
      <c r="H90" s="403"/>
      <c r="I90" s="403"/>
      <c r="J90" s="403"/>
      <c r="K90" s="403" t="s">
        <v>54</v>
      </c>
      <c r="L90" s="403"/>
      <c r="M90" s="403"/>
      <c r="N90" s="403"/>
      <c r="O90" s="403"/>
      <c r="P90" s="403"/>
      <c r="Q90" s="403"/>
      <c r="R90" s="403"/>
      <c r="S90" s="403"/>
      <c r="T90" s="403" t="s">
        <v>55</v>
      </c>
      <c r="U90" s="403"/>
      <c r="V90" s="403" t="s">
        <v>56</v>
      </c>
      <c r="W90" s="403"/>
      <c r="X90" s="403"/>
      <c r="Y90" s="403" t="s">
        <v>51</v>
      </c>
      <c r="Z90" s="403"/>
      <c r="AA90" s="403"/>
      <c r="AB90" s="403"/>
      <c r="AC90" s="403"/>
      <c r="AD90" s="404"/>
      <c r="AF90" s="50"/>
    </row>
    <row r="91" spans="1:32" ht="30.75" customHeight="1">
      <c r="A91" s="405">
        <v>1</v>
      </c>
      <c r="B91" s="406"/>
      <c r="C91" s="407"/>
      <c r="D91" s="407"/>
      <c r="E91" s="407"/>
      <c r="F91" s="407"/>
      <c r="G91" s="407"/>
      <c r="H91" s="407"/>
      <c r="I91" s="407"/>
      <c r="J91" s="407"/>
      <c r="K91" s="407"/>
      <c r="L91" s="407"/>
      <c r="M91" s="407"/>
      <c r="N91" s="407"/>
      <c r="O91" s="407"/>
      <c r="P91" s="407"/>
      <c r="Q91" s="407"/>
      <c r="R91" s="407"/>
      <c r="S91" s="407"/>
      <c r="T91" s="407"/>
      <c r="U91" s="407"/>
      <c r="V91" s="408"/>
      <c r="W91" s="408"/>
      <c r="X91" s="408"/>
      <c r="Y91" s="409"/>
      <c r="Z91" s="409"/>
      <c r="AA91" s="409"/>
      <c r="AB91" s="409"/>
      <c r="AC91" s="409"/>
      <c r="AD91" s="410"/>
      <c r="AF91" s="50"/>
    </row>
    <row r="92" spans="1:32" ht="30.75" customHeight="1">
      <c r="A92" s="398">
        <v>2</v>
      </c>
      <c r="B92" s="399"/>
      <c r="C92" s="400"/>
      <c r="D92" s="400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1"/>
      <c r="U92" s="401"/>
      <c r="V92" s="402"/>
      <c r="W92" s="402"/>
      <c r="X92" s="402"/>
      <c r="Y92" s="390"/>
      <c r="Z92" s="390"/>
      <c r="AA92" s="390"/>
      <c r="AB92" s="390"/>
      <c r="AC92" s="390"/>
      <c r="AD92" s="391"/>
      <c r="AF92" s="50"/>
    </row>
    <row r="93" spans="1:32" ht="30.75" customHeight="1" thickBot="1">
      <c r="A93" s="392">
        <v>3</v>
      </c>
      <c r="B93" s="393"/>
      <c r="C93" s="394"/>
      <c r="D93" s="394"/>
      <c r="E93" s="394"/>
      <c r="F93" s="394"/>
      <c r="G93" s="394"/>
      <c r="H93" s="394"/>
      <c r="I93" s="394"/>
      <c r="J93" s="394"/>
      <c r="K93" s="394"/>
      <c r="L93" s="394"/>
      <c r="M93" s="394"/>
      <c r="N93" s="394"/>
      <c r="O93" s="394"/>
      <c r="P93" s="394"/>
      <c r="Q93" s="394"/>
      <c r="R93" s="394"/>
      <c r="S93" s="394"/>
      <c r="T93" s="394"/>
      <c r="U93" s="394"/>
      <c r="V93" s="395"/>
      <c r="W93" s="395"/>
      <c r="X93" s="395"/>
      <c r="Y93" s="396"/>
      <c r="Z93" s="396"/>
      <c r="AA93" s="396"/>
      <c r="AB93" s="396"/>
      <c r="AC93" s="396"/>
      <c r="AD93" s="397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F807-79DF-44A0-A4F3-4F7360FEC41B}">
  <sheetPr codeName="Sheet3">
    <pageSetUpPr fitToPage="1"/>
  </sheetPr>
  <dimension ref="A1:AF93"/>
  <sheetViews>
    <sheetView view="pageBreakPreview" topLeftCell="A13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211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130" t="s">
        <v>17</v>
      </c>
      <c r="L5" s="130" t="s">
        <v>18</v>
      </c>
      <c r="M5" s="130" t="s">
        <v>19</v>
      </c>
      <c r="N5" s="13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10312</v>
      </c>
      <c r="K6" s="15">
        <f>L6+5046+2812+7738+10312</f>
        <v>25908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>AC6*AB6*(1-O6)</f>
        <v>0</v>
      </c>
      <c r="AE6" s="36">
        <f t="shared" ref="AE6:AE27" si="6">$AD$28</f>
        <v>0.15909090909090909</v>
      </c>
      <c r="AF6" s="81">
        <f t="shared" ref="AF6:AF27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138</v>
      </c>
      <c r="E7" s="53" t="s">
        <v>161</v>
      </c>
      <c r="F7" s="30" t="s">
        <v>137</v>
      </c>
      <c r="G7" s="12">
        <v>1</v>
      </c>
      <c r="H7" s="13">
        <v>24</v>
      </c>
      <c r="I7" s="31">
        <v>55000</v>
      </c>
      <c r="J7" s="14">
        <v>6110</v>
      </c>
      <c r="K7" s="15">
        <f>L7+4962+5479+5974+5609+6074+5975+6110</f>
        <v>40183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ref="AD7:AD27" si="8">AC7*AB7*(1-O7)</f>
        <v>0</v>
      </c>
      <c r="AE7" s="36">
        <f t="shared" si="6"/>
        <v>0.15909090909090909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115</v>
      </c>
      <c r="E8" s="53" t="s">
        <v>181</v>
      </c>
      <c r="F8" s="30" t="s">
        <v>123</v>
      </c>
      <c r="G8" s="12">
        <v>1</v>
      </c>
      <c r="H8" s="13">
        <v>22</v>
      </c>
      <c r="I8" s="31">
        <v>1000</v>
      </c>
      <c r="J8" s="5">
        <v>234</v>
      </c>
      <c r="K8" s="15">
        <f>L8+1000</f>
        <v>1234</v>
      </c>
      <c r="L8" s="15">
        <v>234</v>
      </c>
      <c r="M8" s="15">
        <f t="shared" si="0"/>
        <v>234</v>
      </c>
      <c r="N8" s="15">
        <v>0</v>
      </c>
      <c r="O8" s="58">
        <f t="shared" si="1"/>
        <v>0</v>
      </c>
      <c r="P8" s="39">
        <f t="shared" si="2"/>
        <v>4</v>
      </c>
      <c r="Q8" s="40">
        <f t="shared" si="3"/>
        <v>20</v>
      </c>
      <c r="R8" s="7"/>
      <c r="S8" s="6"/>
      <c r="T8" s="16"/>
      <c r="U8" s="16"/>
      <c r="V8" s="17"/>
      <c r="W8" s="5">
        <v>20</v>
      </c>
      <c r="X8" s="16"/>
      <c r="Y8" s="16"/>
      <c r="Z8" s="16"/>
      <c r="AA8" s="18"/>
      <c r="AB8" s="8">
        <f t="shared" si="4"/>
        <v>1</v>
      </c>
      <c r="AC8" s="9">
        <f t="shared" si="5"/>
        <v>0.16666666666666666</v>
      </c>
      <c r="AD8" s="10">
        <f t="shared" si="8"/>
        <v>0.16666666666666666</v>
      </c>
      <c r="AE8" s="36">
        <f t="shared" si="6"/>
        <v>0.15909090909090909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175</v>
      </c>
      <c r="F9" s="30" t="s">
        <v>141</v>
      </c>
      <c r="G9" s="12">
        <v>1</v>
      </c>
      <c r="H9" s="13">
        <v>24</v>
      </c>
      <c r="I9" s="7">
        <v>20000</v>
      </c>
      <c r="J9" s="14">
        <v>4529</v>
      </c>
      <c r="K9" s="15">
        <f>L9+3984+4530+5279</f>
        <v>18322</v>
      </c>
      <c r="L9" s="15">
        <f>1786+2743</f>
        <v>4529</v>
      </c>
      <c r="M9" s="15">
        <f t="shared" si="0"/>
        <v>4529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/>
      <c r="T9" s="16"/>
      <c r="U9" s="16"/>
      <c r="V9" s="17">
        <v>4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8"/>
        <v>0.83333333333333337</v>
      </c>
      <c r="AE9" s="36">
        <f t="shared" si="6"/>
        <v>0.15909090909090909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5658</v>
      </c>
      <c r="K10" s="15">
        <f>L10+5338+5669+5744+4980+3619+1932+309+2790+5660+4715+1739+3127+5884+1203+3638+5732+5658</f>
        <v>67737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>
        <v>24</v>
      </c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8"/>
        <v>0</v>
      </c>
      <c r="AE10" s="36">
        <f t="shared" si="6"/>
        <v>0.15909090909090909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157</v>
      </c>
      <c r="E11" s="53" t="s">
        <v>178</v>
      </c>
      <c r="F11" s="30" t="s">
        <v>122</v>
      </c>
      <c r="G11" s="33">
        <v>2</v>
      </c>
      <c r="H11" s="35">
        <v>24</v>
      </c>
      <c r="I11" s="7">
        <v>30000</v>
      </c>
      <c r="J11" s="14">
        <v>8914</v>
      </c>
      <c r="K11" s="15">
        <f>L11+10564+11160</f>
        <v>30638</v>
      </c>
      <c r="L11" s="15">
        <f>1785*2+2672*2</f>
        <v>8914</v>
      </c>
      <c r="M11" s="15">
        <f t="shared" si="0"/>
        <v>8914</v>
      </c>
      <c r="N11" s="15">
        <v>0</v>
      </c>
      <c r="O11" s="58">
        <f t="shared" si="1"/>
        <v>0</v>
      </c>
      <c r="P11" s="39">
        <f t="shared" si="2"/>
        <v>21</v>
      </c>
      <c r="Q11" s="40">
        <f t="shared" si="3"/>
        <v>3</v>
      </c>
      <c r="R11" s="7"/>
      <c r="S11" s="6"/>
      <c r="T11" s="16"/>
      <c r="U11" s="16"/>
      <c r="V11" s="17">
        <v>3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0.875</v>
      </c>
      <c r="AD11" s="10">
        <f t="shared" si="8"/>
        <v>0.875</v>
      </c>
      <c r="AE11" s="36">
        <f t="shared" si="6"/>
        <v>0.15909090909090909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112</v>
      </c>
      <c r="D12" s="52" t="s">
        <v>142</v>
      </c>
      <c r="E12" s="53" t="s">
        <v>165</v>
      </c>
      <c r="F12" s="30" t="s">
        <v>158</v>
      </c>
      <c r="G12" s="12">
        <v>1</v>
      </c>
      <c r="H12" s="13">
        <v>22</v>
      </c>
      <c r="I12" s="31">
        <v>40000</v>
      </c>
      <c r="J12" s="5">
        <v>4725</v>
      </c>
      <c r="K12" s="15">
        <f>L12+4452+3191+2676+3717+4759+5028+4406+5174+5212+5276+4725</f>
        <v>48616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8"/>
        <v>0</v>
      </c>
      <c r="AE12" s="36">
        <f t="shared" si="6"/>
        <v>0.15909090909090909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116</v>
      </c>
      <c r="D13" s="52" t="s">
        <v>142</v>
      </c>
      <c r="E13" s="53" t="s">
        <v>176</v>
      </c>
      <c r="F13" s="30" t="s">
        <v>136</v>
      </c>
      <c r="G13" s="33">
        <v>1</v>
      </c>
      <c r="H13" s="35">
        <v>22</v>
      </c>
      <c r="I13" s="7">
        <v>17400</v>
      </c>
      <c r="J13" s="14">
        <v>5379</v>
      </c>
      <c r="K13" s="15">
        <f>L13+4060+3612+5379</f>
        <v>13051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>
        <v>24</v>
      </c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8"/>
        <v>0</v>
      </c>
      <c r="AE13" s="36">
        <f t="shared" si="6"/>
        <v>0.15909090909090909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171</v>
      </c>
      <c r="D14" s="52"/>
      <c r="E14" s="53" t="s">
        <v>170</v>
      </c>
      <c r="F14" s="30" t="s">
        <v>174</v>
      </c>
      <c r="G14" s="33">
        <v>1</v>
      </c>
      <c r="H14" s="35">
        <v>50</v>
      </c>
      <c r="I14" s="7">
        <v>500</v>
      </c>
      <c r="J14" s="5">
        <v>712</v>
      </c>
      <c r="K14" s="15">
        <f>L14+208+712</f>
        <v>920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0.15909090909090909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163</v>
      </c>
      <c r="D15" s="52" t="s">
        <v>138</v>
      </c>
      <c r="E15" s="53" t="s">
        <v>179</v>
      </c>
      <c r="F15" s="30" t="s">
        <v>137</v>
      </c>
      <c r="G15" s="12">
        <v>1</v>
      </c>
      <c r="H15" s="13">
        <v>24</v>
      </c>
      <c r="I15" s="31">
        <v>10000</v>
      </c>
      <c r="J15" s="14">
        <v>5209</v>
      </c>
      <c r="K15" s="15">
        <f>L15+5812+5209</f>
        <v>11021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0.15909090909090909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116</v>
      </c>
      <c r="D16" s="52" t="s">
        <v>127</v>
      </c>
      <c r="E16" s="53" t="s">
        <v>177</v>
      </c>
      <c r="F16" s="30" t="s">
        <v>153</v>
      </c>
      <c r="G16" s="12">
        <v>1</v>
      </c>
      <c r="H16" s="13">
        <v>22</v>
      </c>
      <c r="I16" s="31">
        <v>20000</v>
      </c>
      <c r="J16" s="5">
        <v>5648</v>
      </c>
      <c r="K16" s="15">
        <f>L16+3843+5589+5648</f>
        <v>15080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0.15909090909090909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126</v>
      </c>
      <c r="D17" s="52" t="s">
        <v>212</v>
      </c>
      <c r="E17" s="53" t="s">
        <v>194</v>
      </c>
      <c r="F17" s="30" t="s">
        <v>213</v>
      </c>
      <c r="G17" s="12">
        <v>2</v>
      </c>
      <c r="H17" s="13">
        <v>24</v>
      </c>
      <c r="I17" s="7">
        <v>5000</v>
      </c>
      <c r="J17" s="14">
        <v>9842</v>
      </c>
      <c r="K17" s="15">
        <f>L17</f>
        <v>9842</v>
      </c>
      <c r="L17" s="15">
        <f>3083*2+1838*2</f>
        <v>9842</v>
      </c>
      <c r="M17" s="15">
        <f t="shared" si="0"/>
        <v>9842</v>
      </c>
      <c r="N17" s="15">
        <v>0</v>
      </c>
      <c r="O17" s="58">
        <f t="shared" si="1"/>
        <v>0</v>
      </c>
      <c r="P17" s="39">
        <f t="shared" si="2"/>
        <v>21</v>
      </c>
      <c r="Q17" s="40">
        <f t="shared" si="3"/>
        <v>3</v>
      </c>
      <c r="R17" s="7"/>
      <c r="S17" s="6"/>
      <c r="T17" s="16"/>
      <c r="U17" s="16"/>
      <c r="V17" s="17"/>
      <c r="W17" s="5">
        <v>3</v>
      </c>
      <c r="X17" s="16"/>
      <c r="Y17" s="16"/>
      <c r="Z17" s="16"/>
      <c r="AA17" s="18"/>
      <c r="AB17" s="8">
        <f t="shared" si="4"/>
        <v>1</v>
      </c>
      <c r="AC17" s="9">
        <f t="shared" si="5"/>
        <v>0.875</v>
      </c>
      <c r="AD17" s="10">
        <f t="shared" si="8"/>
        <v>0.875</v>
      </c>
      <c r="AE17" s="36">
        <f t="shared" si="6"/>
        <v>0.15909090909090909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172</v>
      </c>
      <c r="F18" s="30" t="s">
        <v>136</v>
      </c>
      <c r="G18" s="12">
        <v>1</v>
      </c>
      <c r="H18" s="13">
        <v>22</v>
      </c>
      <c r="I18" s="31">
        <v>17000</v>
      </c>
      <c r="J18" s="5">
        <v>3128</v>
      </c>
      <c r="K18" s="15">
        <f>L18+1550+666+3747+2255</f>
        <v>11346</v>
      </c>
      <c r="L18" s="15">
        <f>1565+1563</f>
        <v>3128</v>
      </c>
      <c r="M18" s="15">
        <f t="shared" si="0"/>
        <v>3128</v>
      </c>
      <c r="N18" s="15">
        <v>0</v>
      </c>
      <c r="O18" s="58">
        <f t="shared" si="1"/>
        <v>0</v>
      </c>
      <c r="P18" s="39">
        <f t="shared" si="2"/>
        <v>18</v>
      </c>
      <c r="Q18" s="40">
        <f t="shared" si="3"/>
        <v>6</v>
      </c>
      <c r="R18" s="7"/>
      <c r="S18" s="6">
        <v>6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0.75</v>
      </c>
      <c r="AD18" s="10">
        <f t="shared" si="8"/>
        <v>0.75</v>
      </c>
      <c r="AE18" s="36">
        <f t="shared" si="6"/>
        <v>0.15909090909090909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112</v>
      </c>
      <c r="D19" s="52" t="s">
        <v>159</v>
      </c>
      <c r="E19" s="53" t="s">
        <v>173</v>
      </c>
      <c r="F19" s="30" t="s">
        <v>123</v>
      </c>
      <c r="G19" s="33">
        <v>1</v>
      </c>
      <c r="H19" s="35">
        <v>24</v>
      </c>
      <c r="I19" s="7">
        <v>35000</v>
      </c>
      <c r="J19" s="14">
        <v>5440</v>
      </c>
      <c r="K19" s="15">
        <f>L19+2187+4152+5440</f>
        <v>11779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0.15909090909090909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112</v>
      </c>
      <c r="D20" s="52" t="s">
        <v>115</v>
      </c>
      <c r="E20" s="53" t="s">
        <v>143</v>
      </c>
      <c r="F20" s="30" t="s">
        <v>136</v>
      </c>
      <c r="G20" s="33">
        <v>2</v>
      </c>
      <c r="H20" s="35">
        <v>24</v>
      </c>
      <c r="I20" s="7">
        <v>190000</v>
      </c>
      <c r="J20" s="14">
        <v>10178</v>
      </c>
      <c r="K20" s="15">
        <f>L20+2429+7472+8688+7444+11036+10988+11010+10896+8170+1188+8544+8600+10428+2136+6276+9709+8542+9846+6657+2519+4495+3045+8000+10178</f>
        <v>178296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8"/>
        <v>0</v>
      </c>
      <c r="AE20" s="36">
        <f t="shared" si="6"/>
        <v>0.15909090909090909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146</v>
      </c>
      <c r="F21" s="12" t="s">
        <v>114</v>
      </c>
      <c r="G21" s="12">
        <v>4</v>
      </c>
      <c r="H21" s="35">
        <v>20</v>
      </c>
      <c r="I21" s="7">
        <v>2000000</v>
      </c>
      <c r="J21" s="14">
        <v>30464</v>
      </c>
      <c r="K21" s="15">
        <f>L21+29876+62940+54476+54396+57856+63452+64136+60836+58660+62760+62928+64084+55912+44824+63988+40136+63248+64592+30464</f>
        <v>1059564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0.15909090909090909</v>
      </c>
      <c r="AF21" s="81">
        <f t="shared" si="7"/>
        <v>16</v>
      </c>
    </row>
    <row r="22" spans="1:32" ht="21.75" customHeight="1">
      <c r="A22" s="92">
        <v>31</v>
      </c>
      <c r="B22" s="11" t="s">
        <v>57</v>
      </c>
      <c r="C22" s="11" t="s">
        <v>116</v>
      </c>
      <c r="D22" s="52" t="s">
        <v>115</v>
      </c>
      <c r="E22" s="53" t="s">
        <v>149</v>
      </c>
      <c r="F22" s="12" t="s">
        <v>136</v>
      </c>
      <c r="G22" s="12">
        <v>4</v>
      </c>
      <c r="H22" s="35">
        <v>20</v>
      </c>
      <c r="I22" s="7">
        <v>70000</v>
      </c>
      <c r="J22" s="14">
        <v>22300</v>
      </c>
      <c r="K22" s="15">
        <f>L22+22300</f>
        <v>22300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0.15909090909090909</v>
      </c>
      <c r="AF22" s="81">
        <f t="shared" si="7"/>
        <v>31</v>
      </c>
    </row>
    <row r="23" spans="1:32" ht="21.75" customHeight="1">
      <c r="A23" s="92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" si="9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0.15909090909090909</v>
      </c>
      <c r="AF23" s="81">
        <f t="shared" si="7"/>
        <v>32</v>
      </c>
    </row>
    <row r="24" spans="1:32" ht="21.75" customHeight="1">
      <c r="A24" s="92">
        <v>33</v>
      </c>
      <c r="B24" s="11" t="s">
        <v>57</v>
      </c>
      <c r="C24" s="11" t="s">
        <v>116</v>
      </c>
      <c r="D24" s="52" t="s">
        <v>142</v>
      </c>
      <c r="E24" s="53" t="s">
        <v>151</v>
      </c>
      <c r="F24" s="12" t="s">
        <v>123</v>
      </c>
      <c r="G24" s="12">
        <v>3</v>
      </c>
      <c r="H24" s="35">
        <v>20</v>
      </c>
      <c r="I24" s="7">
        <v>70000</v>
      </c>
      <c r="J24" s="14">
        <v>22300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4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0.15909090909090909</v>
      </c>
      <c r="AF24" s="81">
        <f t="shared" si="7"/>
        <v>33</v>
      </c>
    </row>
    <row r="25" spans="1:32" ht="21.75" customHeight="1">
      <c r="A25" s="92">
        <v>34</v>
      </c>
      <c r="B25" s="11" t="s">
        <v>57</v>
      </c>
      <c r="C25" s="11" t="s">
        <v>116</v>
      </c>
      <c r="D25" s="52" t="s">
        <v>127</v>
      </c>
      <c r="E25" s="53" t="s">
        <v>148</v>
      </c>
      <c r="F25" s="12" t="s">
        <v>124</v>
      </c>
      <c r="G25" s="12">
        <v>4</v>
      </c>
      <c r="H25" s="35">
        <v>20</v>
      </c>
      <c r="I25" s="7">
        <v>50000</v>
      </c>
      <c r="J25" s="14">
        <v>26548</v>
      </c>
      <c r="K25" s="15">
        <f>L25+15172+24432+25280+26548</f>
        <v>91432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4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0.15909090909090909</v>
      </c>
      <c r="AF25" s="81">
        <f t="shared" si="7"/>
        <v>34</v>
      </c>
    </row>
    <row r="26" spans="1:32" ht="21.75" customHeight="1">
      <c r="A26" s="92">
        <v>35</v>
      </c>
      <c r="B26" s="11" t="s">
        <v>57</v>
      </c>
      <c r="C26" s="11" t="s">
        <v>116</v>
      </c>
      <c r="D26" s="52" t="s">
        <v>121</v>
      </c>
      <c r="E26" s="53" t="s">
        <v>125</v>
      </c>
      <c r="F26" s="12" t="s">
        <v>124</v>
      </c>
      <c r="G26" s="12">
        <v>4</v>
      </c>
      <c r="H26" s="35">
        <v>20</v>
      </c>
      <c r="I26" s="7">
        <v>50000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0.15909090909090909</v>
      </c>
      <c r="AF26" s="81">
        <f t="shared" si="7"/>
        <v>35</v>
      </c>
    </row>
    <row r="27" spans="1:32" ht="21.75" customHeight="1" thickBot="1">
      <c r="A27" s="92">
        <v>36</v>
      </c>
      <c r="B27" s="11" t="s">
        <v>57</v>
      </c>
      <c r="C27" s="11" t="s">
        <v>113</v>
      </c>
      <c r="D27" s="52"/>
      <c r="E27" s="53" t="s">
        <v>150</v>
      </c>
      <c r="F27" s="12" t="s">
        <v>114</v>
      </c>
      <c r="G27" s="12">
        <v>4</v>
      </c>
      <c r="H27" s="35">
        <v>20</v>
      </c>
      <c r="I27" s="7">
        <v>1000000</v>
      </c>
      <c r="J27" s="14">
        <v>79328</v>
      </c>
      <c r="K27" s="15">
        <f>L27+28388+70816+76368+81764+83428+47688+53180+83092+82192+79328</f>
        <v>686244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>
        <v>24</v>
      </c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0.15909090909090909</v>
      </c>
      <c r="AF27" s="81">
        <f t="shared" si="7"/>
        <v>36</v>
      </c>
    </row>
    <row r="28" spans="1:32" ht="19.5" thickBot="1">
      <c r="A28" s="478" t="s">
        <v>34</v>
      </c>
      <c r="B28" s="479"/>
      <c r="C28" s="479"/>
      <c r="D28" s="479"/>
      <c r="E28" s="479"/>
      <c r="F28" s="479"/>
      <c r="G28" s="479"/>
      <c r="H28" s="480"/>
      <c r="I28" s="22">
        <f t="shared" ref="I28:N28" si="10">SUM(I6:I27)</f>
        <v>3815900</v>
      </c>
      <c r="J28" s="19">
        <f t="shared" si="10"/>
        <v>293902</v>
      </c>
      <c r="K28" s="20">
        <f t="shared" si="10"/>
        <v>2416765</v>
      </c>
      <c r="L28" s="21">
        <f t="shared" si="10"/>
        <v>26647</v>
      </c>
      <c r="M28" s="20">
        <f t="shared" si="10"/>
        <v>26647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84</v>
      </c>
      <c r="Q28" s="43">
        <f t="shared" si="11"/>
        <v>444</v>
      </c>
      <c r="R28" s="23">
        <f t="shared" si="11"/>
        <v>0</v>
      </c>
      <c r="S28" s="24">
        <f t="shared" si="11"/>
        <v>102</v>
      </c>
      <c r="T28" s="24">
        <f t="shared" si="11"/>
        <v>0</v>
      </c>
      <c r="U28" s="24">
        <f t="shared" si="11"/>
        <v>0</v>
      </c>
      <c r="V28" s="25">
        <f t="shared" si="11"/>
        <v>151</v>
      </c>
      <c r="W28" s="26">
        <f t="shared" si="11"/>
        <v>167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24</v>
      </c>
      <c r="AB28" s="28">
        <f>AVERAGE(AB6:AB27)</f>
        <v>0.23809523809523808</v>
      </c>
      <c r="AC28" s="4">
        <f>AVERAGE(AC6:AC27)</f>
        <v>0.15909090909090909</v>
      </c>
      <c r="AD28" s="4">
        <f>AVERAGE(AD6:AD27)</f>
        <v>0.15909090909090909</v>
      </c>
      <c r="AE28" s="29"/>
    </row>
    <row r="29" spans="1:32">
      <c r="T29" s="50" t="s">
        <v>128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129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81" t="s">
        <v>45</v>
      </c>
      <c r="B55" s="481"/>
      <c r="C55" s="481"/>
      <c r="D55" s="481"/>
      <c r="E55" s="48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82" t="s">
        <v>214</v>
      </c>
      <c r="B56" s="483"/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4"/>
      <c r="N56" s="485" t="s">
        <v>216</v>
      </c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7"/>
    </row>
    <row r="57" spans="1:32" ht="27" customHeight="1">
      <c r="A57" s="488" t="s">
        <v>2</v>
      </c>
      <c r="B57" s="489"/>
      <c r="C57" s="131" t="s">
        <v>46</v>
      </c>
      <c r="D57" s="131" t="s">
        <v>47</v>
      </c>
      <c r="E57" s="131" t="s">
        <v>107</v>
      </c>
      <c r="F57" s="490" t="s">
        <v>106</v>
      </c>
      <c r="G57" s="491"/>
      <c r="H57" s="491"/>
      <c r="I57" s="491"/>
      <c r="J57" s="491"/>
      <c r="K57" s="491"/>
      <c r="L57" s="491"/>
      <c r="M57" s="492"/>
      <c r="N57" s="67" t="s">
        <v>110</v>
      </c>
      <c r="O57" s="131" t="s">
        <v>46</v>
      </c>
      <c r="P57" s="490" t="s">
        <v>47</v>
      </c>
      <c r="Q57" s="493"/>
      <c r="R57" s="490" t="s">
        <v>38</v>
      </c>
      <c r="S57" s="491"/>
      <c r="T57" s="491"/>
      <c r="U57" s="493"/>
      <c r="V57" s="490" t="s">
        <v>48</v>
      </c>
      <c r="W57" s="491"/>
      <c r="X57" s="491"/>
      <c r="Y57" s="491"/>
      <c r="Z57" s="491"/>
      <c r="AA57" s="491"/>
      <c r="AB57" s="491"/>
      <c r="AC57" s="491"/>
      <c r="AD57" s="492"/>
    </row>
    <row r="58" spans="1:32" ht="27" customHeight="1">
      <c r="A58" s="455" t="s">
        <v>126</v>
      </c>
      <c r="B58" s="456"/>
      <c r="C58" s="136" t="s">
        <v>192</v>
      </c>
      <c r="D58" s="136" t="s">
        <v>212</v>
      </c>
      <c r="E58" s="136" t="s">
        <v>194</v>
      </c>
      <c r="F58" s="457" t="s">
        <v>187</v>
      </c>
      <c r="G58" s="458"/>
      <c r="H58" s="458"/>
      <c r="I58" s="458"/>
      <c r="J58" s="458"/>
      <c r="K58" s="458"/>
      <c r="L58" s="458"/>
      <c r="M58" s="459"/>
      <c r="N58" s="132" t="s">
        <v>116</v>
      </c>
      <c r="O58" s="139" t="s">
        <v>164</v>
      </c>
      <c r="P58" s="472" t="s">
        <v>115</v>
      </c>
      <c r="Q58" s="473"/>
      <c r="R58" s="472" t="s">
        <v>172</v>
      </c>
      <c r="S58" s="474"/>
      <c r="T58" s="474"/>
      <c r="U58" s="473"/>
      <c r="V58" s="461" t="s">
        <v>144</v>
      </c>
      <c r="W58" s="462"/>
      <c r="X58" s="462"/>
      <c r="Y58" s="462"/>
      <c r="Z58" s="462"/>
      <c r="AA58" s="462"/>
      <c r="AB58" s="462"/>
      <c r="AC58" s="462"/>
      <c r="AD58" s="463"/>
    </row>
    <row r="59" spans="1:32" ht="27" customHeight="1">
      <c r="A59" s="455" t="s">
        <v>116</v>
      </c>
      <c r="B59" s="456"/>
      <c r="C59" s="149" t="s">
        <v>164</v>
      </c>
      <c r="D59" s="149" t="s">
        <v>115</v>
      </c>
      <c r="E59" s="150" t="s">
        <v>172</v>
      </c>
      <c r="F59" s="457" t="s">
        <v>215</v>
      </c>
      <c r="G59" s="458"/>
      <c r="H59" s="458"/>
      <c r="I59" s="458"/>
      <c r="J59" s="458"/>
      <c r="K59" s="458"/>
      <c r="L59" s="458"/>
      <c r="M59" s="459"/>
      <c r="N59" s="132" t="s">
        <v>219</v>
      </c>
      <c r="O59" s="139" t="s">
        <v>220</v>
      </c>
      <c r="P59" s="472" t="s">
        <v>221</v>
      </c>
      <c r="Q59" s="473"/>
      <c r="R59" s="472" t="s">
        <v>217</v>
      </c>
      <c r="S59" s="474"/>
      <c r="T59" s="474"/>
      <c r="U59" s="473"/>
      <c r="V59" s="461" t="s">
        <v>218</v>
      </c>
      <c r="W59" s="462"/>
      <c r="X59" s="462"/>
      <c r="Y59" s="462"/>
      <c r="Z59" s="462"/>
      <c r="AA59" s="462"/>
      <c r="AB59" s="462"/>
      <c r="AC59" s="462"/>
      <c r="AD59" s="463"/>
    </row>
    <row r="60" spans="1:32" ht="27" customHeight="1">
      <c r="A60" s="455"/>
      <c r="B60" s="456"/>
      <c r="C60" s="136"/>
      <c r="D60" s="136"/>
      <c r="E60" s="133"/>
      <c r="F60" s="457"/>
      <c r="G60" s="458"/>
      <c r="H60" s="458"/>
      <c r="I60" s="458"/>
      <c r="J60" s="458"/>
      <c r="K60" s="458"/>
      <c r="L60" s="458"/>
      <c r="M60" s="459"/>
      <c r="N60" s="132" t="s">
        <v>116</v>
      </c>
      <c r="O60" s="139" t="s">
        <v>223</v>
      </c>
      <c r="P60" s="472" t="s">
        <v>115</v>
      </c>
      <c r="Q60" s="473"/>
      <c r="R60" s="472" t="s">
        <v>222</v>
      </c>
      <c r="S60" s="474"/>
      <c r="T60" s="474"/>
      <c r="U60" s="473"/>
      <c r="V60" s="461" t="s">
        <v>218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/>
      <c r="B61" s="456"/>
      <c r="C61" s="136"/>
      <c r="D61" s="136"/>
      <c r="E61" s="133"/>
      <c r="F61" s="457"/>
      <c r="G61" s="458"/>
      <c r="H61" s="458"/>
      <c r="I61" s="458"/>
      <c r="J61" s="458"/>
      <c r="K61" s="458"/>
      <c r="L61" s="458"/>
      <c r="M61" s="459"/>
      <c r="N61" s="132" t="s">
        <v>219</v>
      </c>
      <c r="O61" s="139" t="s">
        <v>225</v>
      </c>
      <c r="P61" s="472" t="s">
        <v>226</v>
      </c>
      <c r="Q61" s="473"/>
      <c r="R61" s="472" t="s">
        <v>224</v>
      </c>
      <c r="S61" s="474"/>
      <c r="T61" s="474"/>
      <c r="U61" s="473"/>
      <c r="V61" s="461" t="s">
        <v>144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75"/>
      <c r="B62" s="460"/>
      <c r="C62" s="133"/>
      <c r="D62" s="133"/>
      <c r="E62" s="133"/>
      <c r="F62" s="457"/>
      <c r="G62" s="458"/>
      <c r="H62" s="458"/>
      <c r="I62" s="458"/>
      <c r="J62" s="458"/>
      <c r="K62" s="458"/>
      <c r="L62" s="458"/>
      <c r="M62" s="459"/>
      <c r="N62" s="132"/>
      <c r="O62" s="139"/>
      <c r="P62" s="472"/>
      <c r="Q62" s="473"/>
      <c r="R62" s="472"/>
      <c r="S62" s="474"/>
      <c r="T62" s="474"/>
      <c r="U62" s="473"/>
      <c r="V62" s="461"/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/>
      <c r="B63" s="456"/>
      <c r="C63" s="136"/>
      <c r="D63" s="136"/>
      <c r="E63" s="133"/>
      <c r="F63" s="457"/>
      <c r="G63" s="458"/>
      <c r="H63" s="458"/>
      <c r="I63" s="458"/>
      <c r="J63" s="458"/>
      <c r="K63" s="458"/>
      <c r="L63" s="458"/>
      <c r="M63" s="459"/>
      <c r="N63" s="132"/>
      <c r="O63" s="139"/>
      <c r="P63" s="472"/>
      <c r="Q63" s="473"/>
      <c r="R63" s="472"/>
      <c r="S63" s="474"/>
      <c r="T63" s="474"/>
      <c r="U63" s="473"/>
      <c r="V63" s="461"/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/>
      <c r="B64" s="456"/>
      <c r="C64" s="136"/>
      <c r="D64" s="136"/>
      <c r="E64" s="133"/>
      <c r="F64" s="457"/>
      <c r="G64" s="458"/>
      <c r="H64" s="458"/>
      <c r="I64" s="458"/>
      <c r="J64" s="458"/>
      <c r="K64" s="458"/>
      <c r="L64" s="458"/>
      <c r="M64" s="459"/>
      <c r="N64" s="132"/>
      <c r="O64" s="139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/>
      <c r="B65" s="456"/>
      <c r="C65" s="136"/>
      <c r="D65" s="136"/>
      <c r="E65" s="133"/>
      <c r="F65" s="457"/>
      <c r="G65" s="458"/>
      <c r="H65" s="458"/>
      <c r="I65" s="458"/>
      <c r="J65" s="458"/>
      <c r="K65" s="458"/>
      <c r="L65" s="458"/>
      <c r="M65" s="459"/>
      <c r="N65" s="132"/>
      <c r="O65" s="139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136"/>
      <c r="D66" s="136"/>
      <c r="E66" s="133"/>
      <c r="F66" s="457"/>
      <c r="G66" s="458"/>
      <c r="H66" s="458"/>
      <c r="I66" s="458"/>
      <c r="J66" s="458"/>
      <c r="K66" s="458"/>
      <c r="L66" s="458"/>
      <c r="M66" s="459"/>
      <c r="N66" s="132"/>
      <c r="O66" s="139"/>
      <c r="P66" s="460"/>
      <c r="Q66" s="460"/>
      <c r="R66" s="460"/>
      <c r="S66" s="460"/>
      <c r="T66" s="460"/>
      <c r="U66" s="460"/>
      <c r="V66" s="461"/>
      <c r="W66" s="462"/>
      <c r="X66" s="462"/>
      <c r="Y66" s="462"/>
      <c r="Z66" s="462"/>
      <c r="AA66" s="462"/>
      <c r="AB66" s="462"/>
      <c r="AC66" s="462"/>
      <c r="AD66" s="463"/>
      <c r="AF66" s="81">
        <f>8*3000</f>
        <v>24000</v>
      </c>
    </row>
    <row r="67" spans="1:32" ht="27" customHeight="1" thickBot="1">
      <c r="A67" s="464"/>
      <c r="B67" s="465"/>
      <c r="C67" s="134"/>
      <c r="D67" s="135"/>
      <c r="E67" s="134"/>
      <c r="F67" s="466"/>
      <c r="G67" s="467"/>
      <c r="H67" s="467"/>
      <c r="I67" s="467"/>
      <c r="J67" s="467"/>
      <c r="K67" s="467"/>
      <c r="L67" s="467"/>
      <c r="M67" s="468"/>
      <c r="N67" s="105"/>
      <c r="O67" s="97"/>
      <c r="P67" s="469"/>
      <c r="Q67" s="469"/>
      <c r="R67" s="469"/>
      <c r="S67" s="469"/>
      <c r="T67" s="469"/>
      <c r="U67" s="469"/>
      <c r="V67" s="470"/>
      <c r="W67" s="470"/>
      <c r="X67" s="470"/>
      <c r="Y67" s="470"/>
      <c r="Z67" s="470"/>
      <c r="AA67" s="470"/>
      <c r="AB67" s="470"/>
      <c r="AC67" s="470"/>
      <c r="AD67" s="471"/>
      <c r="AF67" s="81">
        <f>16*3000</f>
        <v>48000</v>
      </c>
    </row>
    <row r="68" spans="1:32" ht="27.75" thickBot="1">
      <c r="A68" s="453" t="s">
        <v>227</v>
      </c>
      <c r="B68" s="453"/>
      <c r="C68" s="453"/>
      <c r="D68" s="453"/>
      <c r="E68" s="453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54" t="s">
        <v>111</v>
      </c>
      <c r="B69" s="451"/>
      <c r="C69" s="137" t="s">
        <v>2</v>
      </c>
      <c r="D69" s="137" t="s">
        <v>37</v>
      </c>
      <c r="E69" s="137" t="s">
        <v>3</v>
      </c>
      <c r="F69" s="451" t="s">
        <v>109</v>
      </c>
      <c r="G69" s="451"/>
      <c r="H69" s="451"/>
      <c r="I69" s="451"/>
      <c r="J69" s="451"/>
      <c r="K69" s="451" t="s">
        <v>39</v>
      </c>
      <c r="L69" s="451"/>
      <c r="M69" s="137" t="s">
        <v>40</v>
      </c>
      <c r="N69" s="451" t="s">
        <v>41</v>
      </c>
      <c r="O69" s="451"/>
      <c r="P69" s="448" t="s">
        <v>42</v>
      </c>
      <c r="Q69" s="450"/>
      <c r="R69" s="448" t="s">
        <v>43</v>
      </c>
      <c r="S69" s="449"/>
      <c r="T69" s="449"/>
      <c r="U69" s="449"/>
      <c r="V69" s="449"/>
      <c r="W69" s="449"/>
      <c r="X69" s="449"/>
      <c r="Y69" s="449"/>
      <c r="Z69" s="449"/>
      <c r="AA69" s="450"/>
      <c r="AB69" s="451" t="s">
        <v>44</v>
      </c>
      <c r="AC69" s="451"/>
      <c r="AD69" s="452"/>
      <c r="AF69" s="81">
        <f>SUM(AF66:AF68)</f>
        <v>96000</v>
      </c>
    </row>
    <row r="70" spans="1:32" ht="25.5" customHeight="1">
      <c r="A70" s="439">
        <v>1</v>
      </c>
      <c r="B70" s="440"/>
      <c r="C70" s="98" t="s">
        <v>116</v>
      </c>
      <c r="D70" s="141"/>
      <c r="E70" s="138" t="s">
        <v>138</v>
      </c>
      <c r="F70" s="441" t="s">
        <v>228</v>
      </c>
      <c r="G70" s="431"/>
      <c r="H70" s="431"/>
      <c r="I70" s="431"/>
      <c r="J70" s="431"/>
      <c r="K70" s="431">
        <v>8301</v>
      </c>
      <c r="L70" s="431"/>
      <c r="M70" s="51" t="s">
        <v>154</v>
      </c>
      <c r="N70" s="442" t="s">
        <v>229</v>
      </c>
      <c r="O70" s="442"/>
      <c r="P70" s="443">
        <v>50</v>
      </c>
      <c r="Q70" s="443"/>
      <c r="R70" s="444"/>
      <c r="S70" s="444"/>
      <c r="T70" s="444"/>
      <c r="U70" s="444"/>
      <c r="V70" s="444"/>
      <c r="W70" s="444"/>
      <c r="X70" s="444"/>
      <c r="Y70" s="444"/>
      <c r="Z70" s="444"/>
      <c r="AA70" s="444"/>
      <c r="AB70" s="431"/>
      <c r="AC70" s="431"/>
      <c r="AD70" s="432"/>
      <c r="AF70" s="50"/>
    </row>
    <row r="71" spans="1:32" ht="25.5" customHeight="1">
      <c r="A71" s="439">
        <v>2</v>
      </c>
      <c r="B71" s="440"/>
      <c r="C71" s="98"/>
      <c r="D71" s="141"/>
      <c r="E71" s="138"/>
      <c r="F71" s="441"/>
      <c r="G71" s="431"/>
      <c r="H71" s="431"/>
      <c r="I71" s="431"/>
      <c r="J71" s="431"/>
      <c r="K71" s="431"/>
      <c r="L71" s="431"/>
      <c r="M71" s="51"/>
      <c r="N71" s="442"/>
      <c r="O71" s="442"/>
      <c r="P71" s="443"/>
      <c r="Q71" s="443"/>
      <c r="R71" s="444"/>
      <c r="S71" s="444"/>
      <c r="T71" s="444"/>
      <c r="U71" s="444"/>
      <c r="V71" s="444"/>
      <c r="W71" s="444"/>
      <c r="X71" s="444"/>
      <c r="Y71" s="444"/>
      <c r="Z71" s="444"/>
      <c r="AA71" s="444"/>
      <c r="AB71" s="431"/>
      <c r="AC71" s="431"/>
      <c r="AD71" s="432"/>
      <c r="AF71" s="50"/>
    </row>
    <row r="72" spans="1:32" ht="25.5" customHeight="1">
      <c r="A72" s="439">
        <v>3</v>
      </c>
      <c r="B72" s="440"/>
      <c r="C72" s="98"/>
      <c r="D72" s="141"/>
      <c r="E72" s="138"/>
      <c r="F72" s="441"/>
      <c r="G72" s="431"/>
      <c r="H72" s="431"/>
      <c r="I72" s="431"/>
      <c r="J72" s="431"/>
      <c r="K72" s="431"/>
      <c r="L72" s="431"/>
      <c r="M72" s="51"/>
      <c r="N72" s="442"/>
      <c r="O72" s="442"/>
      <c r="P72" s="443"/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4</v>
      </c>
      <c r="B73" s="440"/>
      <c r="C73" s="98"/>
      <c r="D73" s="141"/>
      <c r="E73" s="138"/>
      <c r="F73" s="445"/>
      <c r="G73" s="446"/>
      <c r="H73" s="446"/>
      <c r="I73" s="446"/>
      <c r="J73" s="447"/>
      <c r="K73" s="431"/>
      <c r="L73" s="431"/>
      <c r="M73" s="51"/>
      <c r="N73" s="442"/>
      <c r="O73" s="442"/>
      <c r="P73" s="443"/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5</v>
      </c>
      <c r="B74" s="440"/>
      <c r="C74" s="98"/>
      <c r="D74" s="141"/>
      <c r="E74" s="138"/>
      <c r="F74" s="445"/>
      <c r="G74" s="446"/>
      <c r="H74" s="446"/>
      <c r="I74" s="446"/>
      <c r="J74" s="447"/>
      <c r="K74" s="431"/>
      <c r="L74" s="431"/>
      <c r="M74" s="51"/>
      <c r="N74" s="442"/>
      <c r="O74" s="442"/>
      <c r="P74" s="443"/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6</v>
      </c>
      <c r="B75" s="440"/>
      <c r="C75" s="98"/>
      <c r="D75" s="141"/>
      <c r="E75" s="138"/>
      <c r="F75" s="445"/>
      <c r="G75" s="446"/>
      <c r="H75" s="446"/>
      <c r="I75" s="446"/>
      <c r="J75" s="447"/>
      <c r="K75" s="431"/>
      <c r="L75" s="431"/>
      <c r="M75" s="51"/>
      <c r="N75" s="442"/>
      <c r="O75" s="442"/>
      <c r="P75" s="443"/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7</v>
      </c>
      <c r="B76" s="440"/>
      <c r="C76" s="98"/>
      <c r="D76" s="141"/>
      <c r="E76" s="138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8</v>
      </c>
      <c r="B77" s="440"/>
      <c r="C77" s="98"/>
      <c r="D77" s="141"/>
      <c r="E77" s="138"/>
      <c r="F77" s="441"/>
      <c r="G77" s="431"/>
      <c r="H77" s="431"/>
      <c r="I77" s="431"/>
      <c r="J77" s="431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9</v>
      </c>
      <c r="B78" s="440"/>
      <c r="C78" s="98"/>
      <c r="D78" s="141"/>
      <c r="E78" s="138"/>
      <c r="F78" s="441"/>
      <c r="G78" s="431"/>
      <c r="H78" s="431"/>
      <c r="I78" s="431"/>
      <c r="J78" s="431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10</v>
      </c>
      <c r="B79" s="440"/>
      <c r="C79" s="98"/>
      <c r="D79" s="141"/>
      <c r="E79" s="138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6.25" customHeight="1" thickBot="1">
      <c r="A80" s="411" t="s">
        <v>230</v>
      </c>
      <c r="B80" s="411"/>
      <c r="C80" s="411"/>
      <c r="D80" s="411"/>
      <c r="E80" s="411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33" t="s">
        <v>111</v>
      </c>
      <c r="B81" s="434"/>
      <c r="C81" s="140" t="s">
        <v>2</v>
      </c>
      <c r="D81" s="140" t="s">
        <v>37</v>
      </c>
      <c r="E81" s="140" t="s">
        <v>120</v>
      </c>
      <c r="F81" s="413" t="s">
        <v>38</v>
      </c>
      <c r="G81" s="413"/>
      <c r="H81" s="413"/>
      <c r="I81" s="413"/>
      <c r="J81" s="413"/>
      <c r="K81" s="435" t="s">
        <v>58</v>
      </c>
      <c r="L81" s="436"/>
      <c r="M81" s="436"/>
      <c r="N81" s="436"/>
      <c r="O81" s="436"/>
      <c r="P81" s="436"/>
      <c r="Q81" s="436"/>
      <c r="R81" s="436"/>
      <c r="S81" s="437"/>
      <c r="T81" s="413" t="s">
        <v>49</v>
      </c>
      <c r="U81" s="413"/>
      <c r="V81" s="435" t="s">
        <v>50</v>
      </c>
      <c r="W81" s="437"/>
      <c r="X81" s="436" t="s">
        <v>51</v>
      </c>
      <c r="Y81" s="436"/>
      <c r="Z81" s="436"/>
      <c r="AA81" s="436"/>
      <c r="AB81" s="436"/>
      <c r="AC81" s="436"/>
      <c r="AD81" s="438"/>
      <c r="AF81" s="50"/>
    </row>
    <row r="82" spans="1:32" ht="33.75" customHeight="1">
      <c r="A82" s="405">
        <v>1</v>
      </c>
      <c r="B82" s="406"/>
      <c r="C82" s="142"/>
      <c r="D82" s="142"/>
      <c r="E82" s="65"/>
      <c r="F82" s="420"/>
      <c r="G82" s="421"/>
      <c r="H82" s="421"/>
      <c r="I82" s="421"/>
      <c r="J82" s="422"/>
      <c r="K82" s="423"/>
      <c r="L82" s="424"/>
      <c r="M82" s="424"/>
      <c r="N82" s="424"/>
      <c r="O82" s="424"/>
      <c r="P82" s="424"/>
      <c r="Q82" s="424"/>
      <c r="R82" s="424"/>
      <c r="S82" s="425"/>
      <c r="T82" s="426"/>
      <c r="U82" s="427"/>
      <c r="V82" s="428"/>
      <c r="W82" s="428"/>
      <c r="X82" s="429"/>
      <c r="Y82" s="429"/>
      <c r="Z82" s="429"/>
      <c r="AA82" s="429"/>
      <c r="AB82" s="429"/>
      <c r="AC82" s="429"/>
      <c r="AD82" s="430"/>
      <c r="AF82" s="50"/>
    </row>
    <row r="83" spans="1:32" ht="30" customHeight="1">
      <c r="A83" s="398">
        <f>A82+1</f>
        <v>2</v>
      </c>
      <c r="B83" s="399"/>
      <c r="C83" s="141"/>
      <c r="D83" s="141"/>
      <c r="E83" s="32"/>
      <c r="F83" s="399"/>
      <c r="G83" s="399"/>
      <c r="H83" s="399"/>
      <c r="I83" s="399"/>
      <c r="J83" s="399"/>
      <c r="K83" s="414"/>
      <c r="L83" s="415"/>
      <c r="M83" s="415"/>
      <c r="N83" s="415"/>
      <c r="O83" s="415"/>
      <c r="P83" s="415"/>
      <c r="Q83" s="415"/>
      <c r="R83" s="415"/>
      <c r="S83" s="416"/>
      <c r="T83" s="417"/>
      <c r="U83" s="417"/>
      <c r="V83" s="417"/>
      <c r="W83" s="417"/>
      <c r="X83" s="418"/>
      <c r="Y83" s="418"/>
      <c r="Z83" s="418"/>
      <c r="AA83" s="418"/>
      <c r="AB83" s="418"/>
      <c r="AC83" s="418"/>
      <c r="AD83" s="419"/>
      <c r="AF83" s="50"/>
    </row>
    <row r="84" spans="1:32" ht="30" customHeight="1">
      <c r="A84" s="398">
        <f t="shared" ref="A84:A88" si="12">A83+1</f>
        <v>3</v>
      </c>
      <c r="B84" s="399"/>
      <c r="C84" s="141"/>
      <c r="D84" s="141"/>
      <c r="E84" s="32"/>
      <c r="F84" s="399"/>
      <c r="G84" s="399"/>
      <c r="H84" s="399"/>
      <c r="I84" s="399"/>
      <c r="J84" s="399"/>
      <c r="K84" s="414"/>
      <c r="L84" s="415"/>
      <c r="M84" s="415"/>
      <c r="N84" s="415"/>
      <c r="O84" s="415"/>
      <c r="P84" s="415"/>
      <c r="Q84" s="415"/>
      <c r="R84" s="415"/>
      <c r="S84" s="416"/>
      <c r="T84" s="417"/>
      <c r="U84" s="417"/>
      <c r="V84" s="417"/>
      <c r="W84" s="417"/>
      <c r="X84" s="418"/>
      <c r="Y84" s="418"/>
      <c r="Z84" s="418"/>
      <c r="AA84" s="418"/>
      <c r="AB84" s="418"/>
      <c r="AC84" s="418"/>
      <c r="AD84" s="419"/>
      <c r="AF84" s="50"/>
    </row>
    <row r="85" spans="1:32" ht="30" customHeight="1">
      <c r="A85" s="398">
        <f t="shared" si="12"/>
        <v>4</v>
      </c>
      <c r="B85" s="399"/>
      <c r="C85" s="141"/>
      <c r="D85" s="141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si="12"/>
        <v>5</v>
      </c>
      <c r="B86" s="399"/>
      <c r="C86" s="141"/>
      <c r="D86" s="141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12"/>
        <v>6</v>
      </c>
      <c r="B87" s="399"/>
      <c r="C87" s="141"/>
      <c r="D87" s="141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2"/>
        <v>7</v>
      </c>
      <c r="B88" s="399"/>
      <c r="C88" s="141"/>
      <c r="D88" s="141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6" thickBot="1">
      <c r="A89" s="411" t="s">
        <v>231</v>
      </c>
      <c r="B89" s="411"/>
      <c r="C89" s="411"/>
      <c r="D89" s="411"/>
      <c r="E89" s="411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12" t="s">
        <v>111</v>
      </c>
      <c r="B90" s="413"/>
      <c r="C90" s="403" t="s">
        <v>52</v>
      </c>
      <c r="D90" s="403"/>
      <c r="E90" s="403" t="s">
        <v>53</v>
      </c>
      <c r="F90" s="403"/>
      <c r="G90" s="403"/>
      <c r="H90" s="403"/>
      <c r="I90" s="403"/>
      <c r="J90" s="403"/>
      <c r="K90" s="403" t="s">
        <v>54</v>
      </c>
      <c r="L90" s="403"/>
      <c r="M90" s="403"/>
      <c r="N90" s="403"/>
      <c r="O90" s="403"/>
      <c r="P90" s="403"/>
      <c r="Q90" s="403"/>
      <c r="R90" s="403"/>
      <c r="S90" s="403"/>
      <c r="T90" s="403" t="s">
        <v>55</v>
      </c>
      <c r="U90" s="403"/>
      <c r="V90" s="403" t="s">
        <v>56</v>
      </c>
      <c r="W90" s="403"/>
      <c r="X90" s="403"/>
      <c r="Y90" s="403" t="s">
        <v>51</v>
      </c>
      <c r="Z90" s="403"/>
      <c r="AA90" s="403"/>
      <c r="AB90" s="403"/>
      <c r="AC90" s="403"/>
      <c r="AD90" s="404"/>
      <c r="AF90" s="50"/>
    </row>
    <row r="91" spans="1:32" ht="30.75" customHeight="1">
      <c r="A91" s="405">
        <v>1</v>
      </c>
      <c r="B91" s="406"/>
      <c r="C91" s="407"/>
      <c r="D91" s="407"/>
      <c r="E91" s="407"/>
      <c r="F91" s="407"/>
      <c r="G91" s="407"/>
      <c r="H91" s="407"/>
      <c r="I91" s="407"/>
      <c r="J91" s="407"/>
      <c r="K91" s="407"/>
      <c r="L91" s="407"/>
      <c r="M91" s="407"/>
      <c r="N91" s="407"/>
      <c r="O91" s="407"/>
      <c r="P91" s="407"/>
      <c r="Q91" s="407"/>
      <c r="R91" s="407"/>
      <c r="S91" s="407"/>
      <c r="T91" s="407"/>
      <c r="U91" s="407"/>
      <c r="V91" s="408"/>
      <c r="W91" s="408"/>
      <c r="X91" s="408"/>
      <c r="Y91" s="409"/>
      <c r="Z91" s="409"/>
      <c r="AA91" s="409"/>
      <c r="AB91" s="409"/>
      <c r="AC91" s="409"/>
      <c r="AD91" s="410"/>
      <c r="AF91" s="50"/>
    </row>
    <row r="92" spans="1:32" ht="30.75" customHeight="1">
      <c r="A92" s="398">
        <v>2</v>
      </c>
      <c r="B92" s="399"/>
      <c r="C92" s="400"/>
      <c r="D92" s="400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1"/>
      <c r="U92" s="401"/>
      <c r="V92" s="402"/>
      <c r="W92" s="402"/>
      <c r="X92" s="402"/>
      <c r="Y92" s="390"/>
      <c r="Z92" s="390"/>
      <c r="AA92" s="390"/>
      <c r="AB92" s="390"/>
      <c r="AC92" s="390"/>
      <c r="AD92" s="391"/>
      <c r="AF92" s="50"/>
    </row>
    <row r="93" spans="1:32" ht="30.75" customHeight="1" thickBot="1">
      <c r="A93" s="392">
        <v>3</v>
      </c>
      <c r="B93" s="393"/>
      <c r="C93" s="394"/>
      <c r="D93" s="394"/>
      <c r="E93" s="394"/>
      <c r="F93" s="394"/>
      <c r="G93" s="394"/>
      <c r="H93" s="394"/>
      <c r="I93" s="394"/>
      <c r="J93" s="394"/>
      <c r="K93" s="394"/>
      <c r="L93" s="394"/>
      <c r="M93" s="394"/>
      <c r="N93" s="394"/>
      <c r="O93" s="394"/>
      <c r="P93" s="394"/>
      <c r="Q93" s="394"/>
      <c r="R93" s="394"/>
      <c r="S93" s="394"/>
      <c r="T93" s="394"/>
      <c r="U93" s="394"/>
      <c r="V93" s="395"/>
      <c r="W93" s="395"/>
      <c r="X93" s="395"/>
      <c r="Y93" s="396"/>
      <c r="Z93" s="396"/>
      <c r="AA93" s="396"/>
      <c r="AB93" s="396"/>
      <c r="AC93" s="396"/>
      <c r="AD93" s="397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DC87-0AD1-4801-9EE9-6FD7EEBFFDE4}">
  <sheetPr codeName="Sheet4"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232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155" t="s">
        <v>17</v>
      </c>
      <c r="L5" s="155" t="s">
        <v>18</v>
      </c>
      <c r="M5" s="155" t="s">
        <v>19</v>
      </c>
      <c r="N5" s="15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10312</v>
      </c>
      <c r="K6" s="15">
        <f>L6+5046+2812+7738+10312</f>
        <v>25908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>AC6*AB6*(1-O6)</f>
        <v>0</v>
      </c>
      <c r="AE6" s="36">
        <f t="shared" ref="AE6:AE27" si="6">$AD$28</f>
        <v>0.41238468977830683</v>
      </c>
      <c r="AF6" s="81">
        <f t="shared" ref="AF6:AF27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138</v>
      </c>
      <c r="E7" s="53" t="s">
        <v>161</v>
      </c>
      <c r="F7" s="30" t="s">
        <v>137</v>
      </c>
      <c r="G7" s="12">
        <v>1</v>
      </c>
      <c r="H7" s="13">
        <v>24</v>
      </c>
      <c r="I7" s="31">
        <v>55000</v>
      </c>
      <c r="J7" s="14">
        <v>6110</v>
      </c>
      <c r="K7" s="15">
        <f>L7+4962+5479+5974+5609+6074+5975+6110</f>
        <v>45972</v>
      </c>
      <c r="L7" s="15">
        <f>3018+2771</f>
        <v>5789</v>
      </c>
      <c r="M7" s="15">
        <f t="shared" si="0"/>
        <v>5789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0.94746317512274958</v>
      </c>
      <c r="AC7" s="9">
        <f t="shared" si="5"/>
        <v>1</v>
      </c>
      <c r="AD7" s="10">
        <f t="shared" ref="AD7:AD27" si="8">AC7*AB7*(1-O7)</f>
        <v>0.94746317512274958</v>
      </c>
      <c r="AE7" s="36">
        <f t="shared" si="6"/>
        <v>0.41238468977830683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115</v>
      </c>
      <c r="E8" s="53" t="s">
        <v>181</v>
      </c>
      <c r="F8" s="30" t="s">
        <v>123</v>
      </c>
      <c r="G8" s="12">
        <v>1</v>
      </c>
      <c r="H8" s="13">
        <v>22</v>
      </c>
      <c r="I8" s="31">
        <v>1000</v>
      </c>
      <c r="J8" s="5">
        <v>234</v>
      </c>
      <c r="K8" s="15">
        <f>L8+1000+234</f>
        <v>1234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8"/>
        <v>0</v>
      </c>
      <c r="AE8" s="36">
        <f t="shared" si="6"/>
        <v>0.41238468977830683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175</v>
      </c>
      <c r="F9" s="30" t="s">
        <v>141</v>
      </c>
      <c r="G9" s="12">
        <v>1</v>
      </c>
      <c r="H9" s="13">
        <v>24</v>
      </c>
      <c r="I9" s="7">
        <v>20000</v>
      </c>
      <c r="J9" s="14">
        <v>5180</v>
      </c>
      <c r="K9" s="15">
        <f>L9+3984+4530+5279+4529</f>
        <v>23502</v>
      </c>
      <c r="L9" s="15">
        <f>2643+2537</f>
        <v>5180</v>
      </c>
      <c r="M9" s="15">
        <f t="shared" si="0"/>
        <v>5180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0.41238468977830683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5217</v>
      </c>
      <c r="K10" s="15">
        <f>L10+5338+5669+5744+4980+3619+1932+309+2790+5660+4715+1739+3127+5884+1203+3638+5732+5658</f>
        <v>72954</v>
      </c>
      <c r="L10" s="15">
        <f>2661+2556</f>
        <v>5217</v>
      </c>
      <c r="M10" s="15">
        <f t="shared" si="0"/>
        <v>5217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0.41238468977830683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157</v>
      </c>
      <c r="E11" s="53" t="s">
        <v>178</v>
      </c>
      <c r="F11" s="30" t="s">
        <v>122</v>
      </c>
      <c r="G11" s="33">
        <v>2</v>
      </c>
      <c r="H11" s="35">
        <v>24</v>
      </c>
      <c r="I11" s="7">
        <v>30000</v>
      </c>
      <c r="J11" s="14">
        <v>9666</v>
      </c>
      <c r="K11" s="15">
        <f>L11+10564+11160+8914</f>
        <v>40304</v>
      </c>
      <c r="L11" s="15">
        <f>2300*2+2533*2</f>
        <v>9666</v>
      </c>
      <c r="M11" s="15">
        <f t="shared" si="0"/>
        <v>9666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0.41238468977830683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233</v>
      </c>
      <c r="F12" s="30" t="s">
        <v>205</v>
      </c>
      <c r="G12" s="12">
        <v>1</v>
      </c>
      <c r="H12" s="13">
        <v>22</v>
      </c>
      <c r="I12" s="31">
        <v>32000</v>
      </c>
      <c r="J12" s="5">
        <v>3264</v>
      </c>
      <c r="K12" s="15">
        <f>L12</f>
        <v>3264</v>
      </c>
      <c r="L12" s="15">
        <f>898+2366</f>
        <v>3264</v>
      </c>
      <c r="M12" s="15">
        <f t="shared" si="0"/>
        <v>3264</v>
      </c>
      <c r="N12" s="15">
        <v>0</v>
      </c>
      <c r="O12" s="58">
        <f t="shared" si="1"/>
        <v>0</v>
      </c>
      <c r="P12" s="39">
        <f t="shared" si="2"/>
        <v>18</v>
      </c>
      <c r="Q12" s="40">
        <f t="shared" si="3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0.75</v>
      </c>
      <c r="AD12" s="10">
        <f t="shared" si="8"/>
        <v>0.75</v>
      </c>
      <c r="AE12" s="36">
        <f t="shared" si="6"/>
        <v>0.41238468977830683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116</v>
      </c>
      <c r="D13" s="52" t="s">
        <v>142</v>
      </c>
      <c r="E13" s="53" t="s">
        <v>176</v>
      </c>
      <c r="F13" s="30" t="s">
        <v>136</v>
      </c>
      <c r="G13" s="33">
        <v>1</v>
      </c>
      <c r="H13" s="35">
        <v>22</v>
      </c>
      <c r="I13" s="7">
        <v>17400</v>
      </c>
      <c r="J13" s="14">
        <v>6118</v>
      </c>
      <c r="K13" s="15">
        <f>L13+4060+3612+5379</f>
        <v>19169</v>
      </c>
      <c r="L13" s="15">
        <f>3317+2801</f>
        <v>6118</v>
      </c>
      <c r="M13" s="15">
        <f t="shared" si="0"/>
        <v>6118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0.41238468977830683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171</v>
      </c>
      <c r="D14" s="52"/>
      <c r="E14" s="53" t="s">
        <v>170</v>
      </c>
      <c r="F14" s="30" t="s">
        <v>174</v>
      </c>
      <c r="G14" s="33">
        <v>1</v>
      </c>
      <c r="H14" s="35">
        <v>50</v>
      </c>
      <c r="I14" s="7">
        <v>500</v>
      </c>
      <c r="J14" s="5">
        <v>712</v>
      </c>
      <c r="K14" s="15">
        <f>L14+208+712</f>
        <v>920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0.41238468977830683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163</v>
      </c>
      <c r="D15" s="52" t="s">
        <v>138</v>
      </c>
      <c r="E15" s="53" t="s">
        <v>179</v>
      </c>
      <c r="F15" s="30" t="s">
        <v>137</v>
      </c>
      <c r="G15" s="12">
        <v>1</v>
      </c>
      <c r="H15" s="13">
        <v>24</v>
      </c>
      <c r="I15" s="31">
        <v>10000</v>
      </c>
      <c r="J15" s="14">
        <v>5209</v>
      </c>
      <c r="K15" s="15">
        <f>L15+5812+5209</f>
        <v>11021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0.41238468977830683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234</v>
      </c>
      <c r="F16" s="30" t="s">
        <v>235</v>
      </c>
      <c r="G16" s="12">
        <v>1</v>
      </c>
      <c r="H16" s="13">
        <v>22</v>
      </c>
      <c r="I16" s="31">
        <v>30000</v>
      </c>
      <c r="J16" s="5">
        <v>5720</v>
      </c>
      <c r="K16" s="15">
        <f>L16</f>
        <v>5720</v>
      </c>
      <c r="L16" s="15">
        <f>2860*2</f>
        <v>5720</v>
      </c>
      <c r="M16" s="15">
        <f t="shared" si="0"/>
        <v>5720</v>
      </c>
      <c r="N16" s="15">
        <v>0</v>
      </c>
      <c r="O16" s="58">
        <f t="shared" si="1"/>
        <v>0</v>
      </c>
      <c r="P16" s="39">
        <f t="shared" si="2"/>
        <v>13</v>
      </c>
      <c r="Q16" s="40">
        <f t="shared" si="3"/>
        <v>11</v>
      </c>
      <c r="R16" s="7"/>
      <c r="S16" s="6">
        <v>11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0.54166666666666663</v>
      </c>
      <c r="AD16" s="10">
        <f t="shared" si="8"/>
        <v>0.54166666666666663</v>
      </c>
      <c r="AE16" s="36">
        <f t="shared" si="6"/>
        <v>0.41238468977830683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126</v>
      </c>
      <c r="D17" s="52" t="s">
        <v>236</v>
      </c>
      <c r="E17" s="53" t="s">
        <v>237</v>
      </c>
      <c r="F17" s="30" t="s">
        <v>213</v>
      </c>
      <c r="G17" s="12">
        <v>1</v>
      </c>
      <c r="H17" s="13">
        <v>24</v>
      </c>
      <c r="I17" s="7">
        <v>1000</v>
      </c>
      <c r="J17" s="14">
        <v>3627</v>
      </c>
      <c r="K17" s="15">
        <f>L17</f>
        <v>3627</v>
      </c>
      <c r="L17" s="15">
        <f>1624+2003</f>
        <v>3627</v>
      </c>
      <c r="M17" s="15">
        <f t="shared" si="0"/>
        <v>3627</v>
      </c>
      <c r="N17" s="15">
        <v>0</v>
      </c>
      <c r="O17" s="58">
        <f t="shared" si="1"/>
        <v>0</v>
      </c>
      <c r="P17" s="39">
        <f t="shared" si="2"/>
        <v>20</v>
      </c>
      <c r="Q17" s="40">
        <f t="shared" si="3"/>
        <v>4</v>
      </c>
      <c r="R17" s="7"/>
      <c r="S17" s="6"/>
      <c r="T17" s="16"/>
      <c r="U17" s="16"/>
      <c r="V17" s="17"/>
      <c r="W17" s="5">
        <v>4</v>
      </c>
      <c r="X17" s="16"/>
      <c r="Y17" s="16"/>
      <c r="Z17" s="16"/>
      <c r="AA17" s="18"/>
      <c r="AB17" s="8">
        <f t="shared" si="4"/>
        <v>1</v>
      </c>
      <c r="AC17" s="9">
        <f t="shared" si="5"/>
        <v>0.83333333333333337</v>
      </c>
      <c r="AD17" s="10">
        <f t="shared" si="8"/>
        <v>0.83333333333333337</v>
      </c>
      <c r="AE17" s="36">
        <f t="shared" si="6"/>
        <v>0.41238468977830683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172</v>
      </c>
      <c r="F18" s="30" t="s">
        <v>136</v>
      </c>
      <c r="G18" s="12">
        <v>1</v>
      </c>
      <c r="H18" s="13">
        <v>22</v>
      </c>
      <c r="I18" s="31">
        <v>17000</v>
      </c>
      <c r="J18" s="5">
        <v>450</v>
      </c>
      <c r="K18" s="15">
        <f>L18+1550+666+3747+2255+3128</f>
        <v>11796</v>
      </c>
      <c r="L18" s="15">
        <v>450</v>
      </c>
      <c r="M18" s="15">
        <f t="shared" si="0"/>
        <v>450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>
        <v>20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8"/>
        <v>0.16666666666666666</v>
      </c>
      <c r="AE18" s="36">
        <f t="shared" si="6"/>
        <v>0.41238468977830683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112</v>
      </c>
      <c r="D19" s="52" t="s">
        <v>159</v>
      </c>
      <c r="E19" s="53" t="s">
        <v>173</v>
      </c>
      <c r="F19" s="30" t="s">
        <v>123</v>
      </c>
      <c r="G19" s="33">
        <v>1</v>
      </c>
      <c r="H19" s="35">
        <v>24</v>
      </c>
      <c r="I19" s="7">
        <v>35000</v>
      </c>
      <c r="J19" s="14">
        <v>5251</v>
      </c>
      <c r="K19" s="15">
        <f>L19+2187+4152+5440</f>
        <v>17030</v>
      </c>
      <c r="L19" s="15">
        <f>2783+2468</f>
        <v>5251</v>
      </c>
      <c r="M19" s="15">
        <f t="shared" si="0"/>
        <v>5251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0.41238468977830683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112</v>
      </c>
      <c r="D20" s="52" t="s">
        <v>115</v>
      </c>
      <c r="E20" s="53" t="s">
        <v>143</v>
      </c>
      <c r="F20" s="30" t="s">
        <v>136</v>
      </c>
      <c r="G20" s="33">
        <v>2</v>
      </c>
      <c r="H20" s="35">
        <v>24</v>
      </c>
      <c r="I20" s="7">
        <v>190000</v>
      </c>
      <c r="J20" s="14">
        <v>8242</v>
      </c>
      <c r="K20" s="15">
        <f>L20+2429+7472+8688+7444+11036+10988+11010+10896+8170+1188+8544+8600+10428+2136+6276+9709+8542+9846+6657+2519+4495+3045+8000+10178</f>
        <v>186538</v>
      </c>
      <c r="L20" s="15">
        <f>2680*2+1441*2</f>
        <v>8242</v>
      </c>
      <c r="M20" s="15">
        <f t="shared" si="0"/>
        <v>8242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>
        <v>4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8"/>
        <v>0.83333333333333337</v>
      </c>
      <c r="AE20" s="36">
        <f t="shared" si="6"/>
        <v>0.41238468977830683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146</v>
      </c>
      <c r="F21" s="12" t="s">
        <v>114</v>
      </c>
      <c r="G21" s="12">
        <v>4</v>
      </c>
      <c r="H21" s="35">
        <v>20</v>
      </c>
      <c r="I21" s="7">
        <v>2000000</v>
      </c>
      <c r="J21" s="14">
        <v>30464</v>
      </c>
      <c r="K21" s="15">
        <f>L21+29876+62940+54476+54396+57856+63452+64136+60836+58660+62760+62928+64084+55912+44824+63988+40136+63248+64592+30464</f>
        <v>1059564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0.41238468977830683</v>
      </c>
      <c r="AF21" s="81">
        <f t="shared" si="7"/>
        <v>16</v>
      </c>
    </row>
    <row r="22" spans="1:32" ht="21.75" customHeight="1">
      <c r="A22" s="92">
        <v>31</v>
      </c>
      <c r="B22" s="11" t="s">
        <v>57</v>
      </c>
      <c r="C22" s="11" t="s">
        <v>116</v>
      </c>
      <c r="D22" s="52" t="s">
        <v>115</v>
      </c>
      <c r="E22" s="53" t="s">
        <v>149</v>
      </c>
      <c r="F22" s="12" t="s">
        <v>136</v>
      </c>
      <c r="G22" s="12">
        <v>4</v>
      </c>
      <c r="H22" s="35">
        <v>20</v>
      </c>
      <c r="I22" s="7">
        <v>70000</v>
      </c>
      <c r="J22" s="14">
        <v>22300</v>
      </c>
      <c r="K22" s="15">
        <f>L22+22300</f>
        <v>22300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0.41238468977830683</v>
      </c>
      <c r="AF22" s="81">
        <f t="shared" si="7"/>
        <v>31</v>
      </c>
    </row>
    <row r="23" spans="1:32" ht="21.75" customHeight="1">
      <c r="A23" s="92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" si="9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0.41238468977830683</v>
      </c>
      <c r="AF23" s="81">
        <f t="shared" si="7"/>
        <v>32</v>
      </c>
    </row>
    <row r="24" spans="1:32" ht="21.75" customHeight="1">
      <c r="A24" s="92">
        <v>33</v>
      </c>
      <c r="B24" s="11" t="s">
        <v>57</v>
      </c>
      <c r="C24" s="11" t="s">
        <v>116</v>
      </c>
      <c r="D24" s="52" t="s">
        <v>142</v>
      </c>
      <c r="E24" s="53" t="s">
        <v>151</v>
      </c>
      <c r="F24" s="12" t="s">
        <v>123</v>
      </c>
      <c r="G24" s="12">
        <v>3</v>
      </c>
      <c r="H24" s="35">
        <v>20</v>
      </c>
      <c r="I24" s="7">
        <v>70000</v>
      </c>
      <c r="J24" s="14">
        <v>22300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4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0.41238468977830683</v>
      </c>
      <c r="AF24" s="81">
        <f t="shared" si="7"/>
        <v>33</v>
      </c>
    </row>
    <row r="25" spans="1:32" ht="21.75" customHeight="1">
      <c r="A25" s="92">
        <v>34</v>
      </c>
      <c r="B25" s="11" t="s">
        <v>57</v>
      </c>
      <c r="C25" s="11" t="s">
        <v>116</v>
      </c>
      <c r="D25" s="52" t="s">
        <v>127</v>
      </c>
      <c r="E25" s="53" t="s">
        <v>148</v>
      </c>
      <c r="F25" s="12" t="s">
        <v>124</v>
      </c>
      <c r="G25" s="12">
        <v>4</v>
      </c>
      <c r="H25" s="35">
        <v>20</v>
      </c>
      <c r="I25" s="7">
        <v>50000</v>
      </c>
      <c r="J25" s="14">
        <v>26548</v>
      </c>
      <c r="K25" s="15">
        <f>L25+15172+24432+25280+26548</f>
        <v>91432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4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0.41238468977830683</v>
      </c>
      <c r="AF25" s="81">
        <f t="shared" si="7"/>
        <v>34</v>
      </c>
    </row>
    <row r="26" spans="1:32" ht="21.75" customHeight="1">
      <c r="A26" s="92">
        <v>35</v>
      </c>
      <c r="B26" s="11" t="s">
        <v>57</v>
      </c>
      <c r="C26" s="11" t="s">
        <v>116</v>
      </c>
      <c r="D26" s="52" t="s">
        <v>121</v>
      </c>
      <c r="E26" s="53" t="s">
        <v>125</v>
      </c>
      <c r="F26" s="12" t="s">
        <v>124</v>
      </c>
      <c r="G26" s="12">
        <v>4</v>
      </c>
      <c r="H26" s="35">
        <v>20</v>
      </c>
      <c r="I26" s="7">
        <v>50000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0.41238468977830683</v>
      </c>
      <c r="AF26" s="81">
        <f t="shared" si="7"/>
        <v>35</v>
      </c>
    </row>
    <row r="27" spans="1:32" ht="21.75" customHeight="1" thickBot="1">
      <c r="A27" s="92">
        <v>36</v>
      </c>
      <c r="B27" s="11" t="s">
        <v>57</v>
      </c>
      <c r="C27" s="11" t="s">
        <v>113</v>
      </c>
      <c r="D27" s="52"/>
      <c r="E27" s="53" t="s">
        <v>150</v>
      </c>
      <c r="F27" s="12" t="s">
        <v>114</v>
      </c>
      <c r="G27" s="12">
        <v>4</v>
      </c>
      <c r="H27" s="35">
        <v>20</v>
      </c>
      <c r="I27" s="7">
        <v>1000000</v>
      </c>
      <c r="J27" s="14">
        <v>79328</v>
      </c>
      <c r="K27" s="15">
        <f>L27+28388+70816+76368+81764+83428+47688+53180+83092+82192+79328</f>
        <v>686244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>
        <v>24</v>
      </c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0.41238468977830683</v>
      </c>
      <c r="AF27" s="81">
        <f t="shared" si="7"/>
        <v>36</v>
      </c>
    </row>
    <row r="28" spans="1:32" ht="19.5" thickBot="1">
      <c r="A28" s="478" t="s">
        <v>34</v>
      </c>
      <c r="B28" s="479"/>
      <c r="C28" s="479"/>
      <c r="D28" s="479"/>
      <c r="E28" s="479"/>
      <c r="F28" s="479"/>
      <c r="G28" s="479"/>
      <c r="H28" s="480"/>
      <c r="I28" s="22">
        <f t="shared" ref="I28:N28" si="10">SUM(I6:I27)</f>
        <v>3813900</v>
      </c>
      <c r="J28" s="19">
        <f t="shared" si="10"/>
        <v>283196</v>
      </c>
      <c r="K28" s="20">
        <f t="shared" si="10"/>
        <v>2401751</v>
      </c>
      <c r="L28" s="21">
        <f t="shared" si="10"/>
        <v>58524</v>
      </c>
      <c r="M28" s="20">
        <f t="shared" si="10"/>
        <v>58524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219</v>
      </c>
      <c r="Q28" s="43">
        <f t="shared" si="11"/>
        <v>309</v>
      </c>
      <c r="R28" s="23">
        <f t="shared" si="11"/>
        <v>4</v>
      </c>
      <c r="S28" s="24">
        <f t="shared" si="11"/>
        <v>85</v>
      </c>
      <c r="T28" s="24">
        <f t="shared" si="11"/>
        <v>0</v>
      </c>
      <c r="U28" s="24">
        <f t="shared" si="11"/>
        <v>0</v>
      </c>
      <c r="V28" s="25">
        <f t="shared" si="11"/>
        <v>72</v>
      </c>
      <c r="W28" s="26">
        <f t="shared" si="11"/>
        <v>124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24</v>
      </c>
      <c r="AB28" s="28">
        <f>AVERAGE(AB6:AB27)</f>
        <v>0.52130777024394048</v>
      </c>
      <c r="AC28" s="4">
        <f>AVERAGE(AC6:AC27)</f>
        <v>0.41477272727272735</v>
      </c>
      <c r="AD28" s="4">
        <f>AVERAGE(AD6:AD27)</f>
        <v>0.41238468977830683</v>
      </c>
      <c r="AE28" s="29"/>
    </row>
    <row r="29" spans="1:32">
      <c r="T29" s="50" t="s">
        <v>128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129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81" t="s">
        <v>45</v>
      </c>
      <c r="B55" s="481"/>
      <c r="C55" s="481"/>
      <c r="D55" s="481"/>
      <c r="E55" s="48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82" t="s">
        <v>238</v>
      </c>
      <c r="B56" s="483"/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4"/>
      <c r="N56" s="485" t="s">
        <v>250</v>
      </c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7"/>
    </row>
    <row r="57" spans="1:32" ht="27" customHeight="1">
      <c r="A57" s="488" t="s">
        <v>2</v>
      </c>
      <c r="B57" s="489"/>
      <c r="C57" s="154" t="s">
        <v>46</v>
      </c>
      <c r="D57" s="154" t="s">
        <v>47</v>
      </c>
      <c r="E57" s="154" t="s">
        <v>107</v>
      </c>
      <c r="F57" s="490" t="s">
        <v>106</v>
      </c>
      <c r="G57" s="491"/>
      <c r="H57" s="491"/>
      <c r="I57" s="491"/>
      <c r="J57" s="491"/>
      <c r="K57" s="491"/>
      <c r="L57" s="491"/>
      <c r="M57" s="492"/>
      <c r="N57" s="67" t="s">
        <v>110</v>
      </c>
      <c r="O57" s="154" t="s">
        <v>46</v>
      </c>
      <c r="P57" s="490" t="s">
        <v>47</v>
      </c>
      <c r="Q57" s="493"/>
      <c r="R57" s="490" t="s">
        <v>38</v>
      </c>
      <c r="S57" s="491"/>
      <c r="T57" s="491"/>
      <c r="U57" s="493"/>
      <c r="V57" s="490" t="s">
        <v>48</v>
      </c>
      <c r="W57" s="491"/>
      <c r="X57" s="491"/>
      <c r="Y57" s="491"/>
      <c r="Z57" s="491"/>
      <c r="AA57" s="491"/>
      <c r="AB57" s="491"/>
      <c r="AC57" s="491"/>
      <c r="AD57" s="492"/>
    </row>
    <row r="58" spans="1:32" ht="27" customHeight="1">
      <c r="A58" s="455" t="s">
        <v>126</v>
      </c>
      <c r="B58" s="456"/>
      <c r="C58" s="149" t="s">
        <v>192</v>
      </c>
      <c r="D58" s="149" t="s">
        <v>236</v>
      </c>
      <c r="E58" s="149" t="s">
        <v>239</v>
      </c>
      <c r="F58" s="457" t="s">
        <v>187</v>
      </c>
      <c r="G58" s="458"/>
      <c r="H58" s="458"/>
      <c r="I58" s="458"/>
      <c r="J58" s="458"/>
      <c r="K58" s="458"/>
      <c r="L58" s="458"/>
      <c r="M58" s="459"/>
      <c r="N58" s="153" t="s">
        <v>116</v>
      </c>
      <c r="O58" s="147" t="s">
        <v>164</v>
      </c>
      <c r="P58" s="472" t="s">
        <v>115</v>
      </c>
      <c r="Q58" s="473"/>
      <c r="R58" s="472" t="s">
        <v>172</v>
      </c>
      <c r="S58" s="474"/>
      <c r="T58" s="474"/>
      <c r="U58" s="473"/>
      <c r="V58" s="461" t="s">
        <v>144</v>
      </c>
      <c r="W58" s="462"/>
      <c r="X58" s="462"/>
      <c r="Y58" s="462"/>
      <c r="Z58" s="462"/>
      <c r="AA58" s="462"/>
      <c r="AB58" s="462"/>
      <c r="AC58" s="462"/>
      <c r="AD58" s="463"/>
    </row>
    <row r="59" spans="1:32" ht="27" customHeight="1">
      <c r="A59" s="455" t="s">
        <v>116</v>
      </c>
      <c r="B59" s="456"/>
      <c r="C59" s="149" t="s">
        <v>164</v>
      </c>
      <c r="D59" s="149" t="s">
        <v>115</v>
      </c>
      <c r="E59" s="150" t="s">
        <v>172</v>
      </c>
      <c r="F59" s="457" t="s">
        <v>240</v>
      </c>
      <c r="G59" s="458"/>
      <c r="H59" s="458"/>
      <c r="I59" s="458"/>
      <c r="J59" s="458"/>
      <c r="K59" s="458"/>
      <c r="L59" s="458"/>
      <c r="M59" s="459"/>
      <c r="N59" s="153" t="s">
        <v>112</v>
      </c>
      <c r="O59" s="147" t="s">
        <v>254</v>
      </c>
      <c r="P59" s="472" t="s">
        <v>255</v>
      </c>
      <c r="Q59" s="473"/>
      <c r="R59" s="472" t="s">
        <v>253</v>
      </c>
      <c r="S59" s="474"/>
      <c r="T59" s="474"/>
      <c r="U59" s="473"/>
      <c r="V59" s="461" t="s">
        <v>187</v>
      </c>
      <c r="W59" s="462"/>
      <c r="X59" s="462"/>
      <c r="Y59" s="462"/>
      <c r="Z59" s="462"/>
      <c r="AA59" s="462"/>
      <c r="AB59" s="462"/>
      <c r="AC59" s="462"/>
      <c r="AD59" s="463"/>
    </row>
    <row r="60" spans="1:32" ht="27" customHeight="1">
      <c r="A60" s="455" t="s">
        <v>243</v>
      </c>
      <c r="B60" s="456"/>
      <c r="C60" s="149" t="s">
        <v>244</v>
      </c>
      <c r="D60" s="149" t="s">
        <v>245</v>
      </c>
      <c r="E60" s="150" t="s">
        <v>241</v>
      </c>
      <c r="F60" s="457" t="s">
        <v>242</v>
      </c>
      <c r="G60" s="458"/>
      <c r="H60" s="458"/>
      <c r="I60" s="458"/>
      <c r="J60" s="458"/>
      <c r="K60" s="458"/>
      <c r="L60" s="458"/>
      <c r="M60" s="459"/>
      <c r="N60" s="153" t="s">
        <v>258</v>
      </c>
      <c r="O60" s="147" t="s">
        <v>259</v>
      </c>
      <c r="P60" s="472" t="s">
        <v>260</v>
      </c>
      <c r="Q60" s="473"/>
      <c r="R60" s="472" t="s">
        <v>256</v>
      </c>
      <c r="S60" s="474"/>
      <c r="T60" s="474"/>
      <c r="U60" s="473"/>
      <c r="V60" s="461" t="s">
        <v>187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116</v>
      </c>
      <c r="B61" s="456"/>
      <c r="C61" s="149" t="s">
        <v>246</v>
      </c>
      <c r="D61" s="149" t="s">
        <v>115</v>
      </c>
      <c r="E61" s="150" t="s">
        <v>233</v>
      </c>
      <c r="F61" s="457" t="s">
        <v>187</v>
      </c>
      <c r="G61" s="458"/>
      <c r="H61" s="458"/>
      <c r="I61" s="458"/>
      <c r="J61" s="458"/>
      <c r="K61" s="458"/>
      <c r="L61" s="458"/>
      <c r="M61" s="459"/>
      <c r="N61" s="153" t="s">
        <v>116</v>
      </c>
      <c r="O61" s="147" t="s">
        <v>262</v>
      </c>
      <c r="P61" s="472" t="s">
        <v>261</v>
      </c>
      <c r="Q61" s="473"/>
      <c r="R61" s="472" t="s">
        <v>257</v>
      </c>
      <c r="S61" s="474"/>
      <c r="T61" s="474"/>
      <c r="U61" s="473"/>
      <c r="V61" s="461" t="s">
        <v>187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75" t="s">
        <v>243</v>
      </c>
      <c r="B62" s="460"/>
      <c r="C62" s="150" t="s">
        <v>248</v>
      </c>
      <c r="D62" s="150" t="s">
        <v>249</v>
      </c>
      <c r="E62" s="150" t="s">
        <v>247</v>
      </c>
      <c r="F62" s="457" t="s">
        <v>144</v>
      </c>
      <c r="G62" s="458"/>
      <c r="H62" s="458"/>
      <c r="I62" s="458"/>
      <c r="J62" s="458"/>
      <c r="K62" s="458"/>
      <c r="L62" s="458"/>
      <c r="M62" s="459"/>
      <c r="N62" s="153" t="s">
        <v>112</v>
      </c>
      <c r="O62" s="147" t="s">
        <v>264</v>
      </c>
      <c r="P62" s="472" t="s">
        <v>115</v>
      </c>
      <c r="Q62" s="473"/>
      <c r="R62" s="472" t="s">
        <v>263</v>
      </c>
      <c r="S62" s="474"/>
      <c r="T62" s="474"/>
      <c r="U62" s="473"/>
      <c r="V62" s="461" t="s">
        <v>187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243</v>
      </c>
      <c r="B63" s="456"/>
      <c r="C63" s="149" t="s">
        <v>252</v>
      </c>
      <c r="D63" s="149" t="s">
        <v>245</v>
      </c>
      <c r="E63" s="150" t="s">
        <v>251</v>
      </c>
      <c r="F63" s="457" t="s">
        <v>144</v>
      </c>
      <c r="G63" s="458"/>
      <c r="H63" s="458"/>
      <c r="I63" s="458"/>
      <c r="J63" s="458"/>
      <c r="K63" s="458"/>
      <c r="L63" s="458"/>
      <c r="M63" s="459"/>
      <c r="N63" s="153"/>
      <c r="O63" s="147"/>
      <c r="P63" s="472"/>
      <c r="Q63" s="473"/>
      <c r="R63" s="472"/>
      <c r="S63" s="474"/>
      <c r="T63" s="474"/>
      <c r="U63" s="473"/>
      <c r="V63" s="461"/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/>
      <c r="B64" s="456"/>
      <c r="C64" s="149"/>
      <c r="D64" s="149"/>
      <c r="E64" s="150"/>
      <c r="F64" s="457"/>
      <c r="G64" s="458"/>
      <c r="H64" s="458"/>
      <c r="I64" s="458"/>
      <c r="J64" s="458"/>
      <c r="K64" s="458"/>
      <c r="L64" s="458"/>
      <c r="M64" s="459"/>
      <c r="N64" s="153"/>
      <c r="O64" s="147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/>
      <c r="B65" s="456"/>
      <c r="C65" s="149"/>
      <c r="D65" s="149"/>
      <c r="E65" s="150"/>
      <c r="F65" s="457"/>
      <c r="G65" s="458"/>
      <c r="H65" s="458"/>
      <c r="I65" s="458"/>
      <c r="J65" s="458"/>
      <c r="K65" s="458"/>
      <c r="L65" s="458"/>
      <c r="M65" s="459"/>
      <c r="N65" s="153"/>
      <c r="O65" s="147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149"/>
      <c r="D66" s="149"/>
      <c r="E66" s="150"/>
      <c r="F66" s="457"/>
      <c r="G66" s="458"/>
      <c r="H66" s="458"/>
      <c r="I66" s="458"/>
      <c r="J66" s="458"/>
      <c r="K66" s="458"/>
      <c r="L66" s="458"/>
      <c r="M66" s="459"/>
      <c r="N66" s="153"/>
      <c r="O66" s="147"/>
      <c r="P66" s="460"/>
      <c r="Q66" s="460"/>
      <c r="R66" s="460"/>
      <c r="S66" s="460"/>
      <c r="T66" s="460"/>
      <c r="U66" s="460"/>
      <c r="V66" s="461"/>
      <c r="W66" s="462"/>
      <c r="X66" s="462"/>
      <c r="Y66" s="462"/>
      <c r="Z66" s="462"/>
      <c r="AA66" s="462"/>
      <c r="AB66" s="462"/>
      <c r="AC66" s="462"/>
      <c r="AD66" s="463"/>
      <c r="AF66" s="81">
        <f>8*3000</f>
        <v>24000</v>
      </c>
    </row>
    <row r="67" spans="1:32" ht="27" customHeight="1" thickBot="1">
      <c r="A67" s="464"/>
      <c r="B67" s="465"/>
      <c r="C67" s="151"/>
      <c r="D67" s="152"/>
      <c r="E67" s="151"/>
      <c r="F67" s="466"/>
      <c r="G67" s="467"/>
      <c r="H67" s="467"/>
      <c r="I67" s="467"/>
      <c r="J67" s="467"/>
      <c r="K67" s="467"/>
      <c r="L67" s="467"/>
      <c r="M67" s="468"/>
      <c r="N67" s="105"/>
      <c r="O67" s="97"/>
      <c r="P67" s="469"/>
      <c r="Q67" s="469"/>
      <c r="R67" s="469"/>
      <c r="S67" s="469"/>
      <c r="T67" s="469"/>
      <c r="U67" s="469"/>
      <c r="V67" s="470"/>
      <c r="W67" s="470"/>
      <c r="X67" s="470"/>
      <c r="Y67" s="470"/>
      <c r="Z67" s="470"/>
      <c r="AA67" s="470"/>
      <c r="AB67" s="470"/>
      <c r="AC67" s="470"/>
      <c r="AD67" s="471"/>
      <c r="AF67" s="81">
        <f>16*3000</f>
        <v>48000</v>
      </c>
    </row>
    <row r="68" spans="1:32" ht="27.75" thickBot="1">
      <c r="A68" s="453" t="s">
        <v>265</v>
      </c>
      <c r="B68" s="453"/>
      <c r="C68" s="453"/>
      <c r="D68" s="453"/>
      <c r="E68" s="453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54" t="s">
        <v>111</v>
      </c>
      <c r="B69" s="451"/>
      <c r="C69" s="148" t="s">
        <v>2</v>
      </c>
      <c r="D69" s="148" t="s">
        <v>37</v>
      </c>
      <c r="E69" s="148" t="s">
        <v>3</v>
      </c>
      <c r="F69" s="451" t="s">
        <v>109</v>
      </c>
      <c r="G69" s="451"/>
      <c r="H69" s="451"/>
      <c r="I69" s="451"/>
      <c r="J69" s="451"/>
      <c r="K69" s="451" t="s">
        <v>39</v>
      </c>
      <c r="L69" s="451"/>
      <c r="M69" s="148" t="s">
        <v>40</v>
      </c>
      <c r="N69" s="451" t="s">
        <v>41</v>
      </c>
      <c r="O69" s="451"/>
      <c r="P69" s="448" t="s">
        <v>42</v>
      </c>
      <c r="Q69" s="450"/>
      <c r="R69" s="448" t="s">
        <v>43</v>
      </c>
      <c r="S69" s="449"/>
      <c r="T69" s="449"/>
      <c r="U69" s="449"/>
      <c r="V69" s="449"/>
      <c r="W69" s="449"/>
      <c r="X69" s="449"/>
      <c r="Y69" s="449"/>
      <c r="Z69" s="449"/>
      <c r="AA69" s="450"/>
      <c r="AB69" s="451" t="s">
        <v>44</v>
      </c>
      <c r="AC69" s="451"/>
      <c r="AD69" s="452"/>
      <c r="AF69" s="81">
        <f>SUM(AF66:AF68)</f>
        <v>96000</v>
      </c>
    </row>
    <row r="70" spans="1:32" ht="25.5" customHeight="1">
      <c r="A70" s="439">
        <v>1</v>
      </c>
      <c r="B70" s="440"/>
      <c r="C70" s="98" t="s">
        <v>126</v>
      </c>
      <c r="D70" s="143"/>
      <c r="E70" s="146" t="s">
        <v>115</v>
      </c>
      <c r="F70" s="441" t="s">
        <v>266</v>
      </c>
      <c r="G70" s="431"/>
      <c r="H70" s="431"/>
      <c r="I70" s="431"/>
      <c r="J70" s="431"/>
      <c r="K70" s="431" t="s">
        <v>267</v>
      </c>
      <c r="L70" s="431"/>
      <c r="M70" s="51" t="s">
        <v>154</v>
      </c>
      <c r="N70" s="442" t="s">
        <v>155</v>
      </c>
      <c r="O70" s="442"/>
      <c r="P70" s="443">
        <v>10</v>
      </c>
      <c r="Q70" s="443"/>
      <c r="R70" s="444" t="s">
        <v>268</v>
      </c>
      <c r="S70" s="444"/>
      <c r="T70" s="444"/>
      <c r="U70" s="444"/>
      <c r="V70" s="444"/>
      <c r="W70" s="444"/>
      <c r="X70" s="444"/>
      <c r="Y70" s="444"/>
      <c r="Z70" s="444"/>
      <c r="AA70" s="444"/>
      <c r="AB70" s="431"/>
      <c r="AC70" s="431"/>
      <c r="AD70" s="432"/>
      <c r="AF70" s="50"/>
    </row>
    <row r="71" spans="1:32" ht="25.5" customHeight="1">
      <c r="A71" s="439">
        <v>2</v>
      </c>
      <c r="B71" s="440"/>
      <c r="C71" s="98"/>
      <c r="D71" s="143"/>
      <c r="E71" s="146"/>
      <c r="F71" s="441"/>
      <c r="G71" s="431"/>
      <c r="H71" s="431"/>
      <c r="I71" s="431"/>
      <c r="J71" s="431"/>
      <c r="K71" s="431"/>
      <c r="L71" s="431"/>
      <c r="M71" s="51"/>
      <c r="N71" s="442"/>
      <c r="O71" s="442"/>
      <c r="P71" s="443"/>
      <c r="Q71" s="443"/>
      <c r="R71" s="444"/>
      <c r="S71" s="444"/>
      <c r="T71" s="444"/>
      <c r="U71" s="444"/>
      <c r="V71" s="444"/>
      <c r="W71" s="444"/>
      <c r="X71" s="444"/>
      <c r="Y71" s="444"/>
      <c r="Z71" s="444"/>
      <c r="AA71" s="444"/>
      <c r="AB71" s="431"/>
      <c r="AC71" s="431"/>
      <c r="AD71" s="432"/>
      <c r="AF71" s="50"/>
    </row>
    <row r="72" spans="1:32" ht="25.5" customHeight="1">
      <c r="A72" s="439">
        <v>3</v>
      </c>
      <c r="B72" s="440"/>
      <c r="C72" s="98"/>
      <c r="D72" s="143"/>
      <c r="E72" s="146"/>
      <c r="F72" s="441"/>
      <c r="G72" s="431"/>
      <c r="H72" s="431"/>
      <c r="I72" s="431"/>
      <c r="J72" s="431"/>
      <c r="K72" s="431"/>
      <c r="L72" s="431"/>
      <c r="M72" s="51"/>
      <c r="N72" s="442"/>
      <c r="O72" s="442"/>
      <c r="P72" s="443"/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4</v>
      </c>
      <c r="B73" s="440"/>
      <c r="C73" s="98"/>
      <c r="D73" s="143"/>
      <c r="E73" s="146"/>
      <c r="F73" s="445"/>
      <c r="G73" s="446"/>
      <c r="H73" s="446"/>
      <c r="I73" s="446"/>
      <c r="J73" s="447"/>
      <c r="K73" s="431"/>
      <c r="L73" s="431"/>
      <c r="M73" s="51"/>
      <c r="N73" s="442"/>
      <c r="O73" s="442"/>
      <c r="P73" s="443"/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5</v>
      </c>
      <c r="B74" s="440"/>
      <c r="C74" s="98"/>
      <c r="D74" s="143"/>
      <c r="E74" s="146"/>
      <c r="F74" s="445"/>
      <c r="G74" s="446"/>
      <c r="H74" s="446"/>
      <c r="I74" s="446"/>
      <c r="J74" s="447"/>
      <c r="K74" s="431"/>
      <c r="L74" s="431"/>
      <c r="M74" s="51"/>
      <c r="N74" s="442"/>
      <c r="O74" s="442"/>
      <c r="P74" s="443"/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6</v>
      </c>
      <c r="B75" s="440"/>
      <c r="C75" s="98"/>
      <c r="D75" s="143"/>
      <c r="E75" s="146"/>
      <c r="F75" s="445"/>
      <c r="G75" s="446"/>
      <c r="H75" s="446"/>
      <c r="I75" s="446"/>
      <c r="J75" s="447"/>
      <c r="K75" s="431"/>
      <c r="L75" s="431"/>
      <c r="M75" s="51"/>
      <c r="N75" s="442"/>
      <c r="O75" s="442"/>
      <c r="P75" s="443"/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7</v>
      </c>
      <c r="B76" s="440"/>
      <c r="C76" s="98"/>
      <c r="D76" s="143"/>
      <c r="E76" s="146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8</v>
      </c>
      <c r="B77" s="440"/>
      <c r="C77" s="98"/>
      <c r="D77" s="143"/>
      <c r="E77" s="146"/>
      <c r="F77" s="441"/>
      <c r="G77" s="431"/>
      <c r="H77" s="431"/>
      <c r="I77" s="431"/>
      <c r="J77" s="431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9</v>
      </c>
      <c r="B78" s="440"/>
      <c r="C78" s="98"/>
      <c r="D78" s="143"/>
      <c r="E78" s="146"/>
      <c r="F78" s="441"/>
      <c r="G78" s="431"/>
      <c r="H78" s="431"/>
      <c r="I78" s="431"/>
      <c r="J78" s="431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10</v>
      </c>
      <c r="B79" s="440"/>
      <c r="C79" s="98"/>
      <c r="D79" s="143"/>
      <c r="E79" s="146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6.25" customHeight="1" thickBot="1">
      <c r="A80" s="411" t="s">
        <v>269</v>
      </c>
      <c r="B80" s="411"/>
      <c r="C80" s="411"/>
      <c r="D80" s="411"/>
      <c r="E80" s="411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33" t="s">
        <v>111</v>
      </c>
      <c r="B81" s="434"/>
      <c r="C81" s="145" t="s">
        <v>2</v>
      </c>
      <c r="D81" s="145" t="s">
        <v>37</v>
      </c>
      <c r="E81" s="145" t="s">
        <v>120</v>
      </c>
      <c r="F81" s="413" t="s">
        <v>38</v>
      </c>
      <c r="G81" s="413"/>
      <c r="H81" s="413"/>
      <c r="I81" s="413"/>
      <c r="J81" s="413"/>
      <c r="K81" s="435" t="s">
        <v>58</v>
      </c>
      <c r="L81" s="436"/>
      <c r="M81" s="436"/>
      <c r="N81" s="436"/>
      <c r="O81" s="436"/>
      <c r="P81" s="436"/>
      <c r="Q81" s="436"/>
      <c r="R81" s="436"/>
      <c r="S81" s="437"/>
      <c r="T81" s="413" t="s">
        <v>49</v>
      </c>
      <c r="U81" s="413"/>
      <c r="V81" s="435" t="s">
        <v>50</v>
      </c>
      <c r="W81" s="437"/>
      <c r="X81" s="436" t="s">
        <v>51</v>
      </c>
      <c r="Y81" s="436"/>
      <c r="Z81" s="436"/>
      <c r="AA81" s="436"/>
      <c r="AB81" s="436"/>
      <c r="AC81" s="436"/>
      <c r="AD81" s="438"/>
      <c r="AF81" s="50"/>
    </row>
    <row r="82" spans="1:32" ht="33.75" customHeight="1">
      <c r="A82" s="405">
        <v>1</v>
      </c>
      <c r="B82" s="406"/>
      <c r="C82" s="144"/>
      <c r="D82" s="144"/>
      <c r="E82" s="65"/>
      <c r="F82" s="420"/>
      <c r="G82" s="421"/>
      <c r="H82" s="421"/>
      <c r="I82" s="421"/>
      <c r="J82" s="422"/>
      <c r="K82" s="423"/>
      <c r="L82" s="424"/>
      <c r="M82" s="424"/>
      <c r="N82" s="424"/>
      <c r="O82" s="424"/>
      <c r="P82" s="424"/>
      <c r="Q82" s="424"/>
      <c r="R82" s="424"/>
      <c r="S82" s="425"/>
      <c r="T82" s="426"/>
      <c r="U82" s="427"/>
      <c r="V82" s="428"/>
      <c r="W82" s="428"/>
      <c r="X82" s="429"/>
      <c r="Y82" s="429"/>
      <c r="Z82" s="429"/>
      <c r="AA82" s="429"/>
      <c r="AB82" s="429"/>
      <c r="AC82" s="429"/>
      <c r="AD82" s="430"/>
      <c r="AF82" s="50"/>
    </row>
    <row r="83" spans="1:32" ht="30" customHeight="1">
      <c r="A83" s="398">
        <f>A82+1</f>
        <v>2</v>
      </c>
      <c r="B83" s="399"/>
      <c r="C83" s="143"/>
      <c r="D83" s="143"/>
      <c r="E83" s="32"/>
      <c r="F83" s="399"/>
      <c r="G83" s="399"/>
      <c r="H83" s="399"/>
      <c r="I83" s="399"/>
      <c r="J83" s="399"/>
      <c r="K83" s="414"/>
      <c r="L83" s="415"/>
      <c r="M83" s="415"/>
      <c r="N83" s="415"/>
      <c r="O83" s="415"/>
      <c r="P83" s="415"/>
      <c r="Q83" s="415"/>
      <c r="R83" s="415"/>
      <c r="S83" s="416"/>
      <c r="T83" s="417"/>
      <c r="U83" s="417"/>
      <c r="V83" s="417"/>
      <c r="W83" s="417"/>
      <c r="X83" s="418"/>
      <c r="Y83" s="418"/>
      <c r="Z83" s="418"/>
      <c r="AA83" s="418"/>
      <c r="AB83" s="418"/>
      <c r="AC83" s="418"/>
      <c r="AD83" s="419"/>
      <c r="AF83" s="50"/>
    </row>
    <row r="84" spans="1:32" ht="30" customHeight="1">
      <c r="A84" s="398">
        <f t="shared" ref="A84:A88" si="12">A83+1</f>
        <v>3</v>
      </c>
      <c r="B84" s="399"/>
      <c r="C84" s="143"/>
      <c r="D84" s="143"/>
      <c r="E84" s="32"/>
      <c r="F84" s="399"/>
      <c r="G84" s="399"/>
      <c r="H84" s="399"/>
      <c r="I84" s="399"/>
      <c r="J84" s="399"/>
      <c r="K84" s="414"/>
      <c r="L84" s="415"/>
      <c r="M84" s="415"/>
      <c r="N84" s="415"/>
      <c r="O84" s="415"/>
      <c r="P84" s="415"/>
      <c r="Q84" s="415"/>
      <c r="R84" s="415"/>
      <c r="S84" s="416"/>
      <c r="T84" s="417"/>
      <c r="U84" s="417"/>
      <c r="V84" s="417"/>
      <c r="W84" s="417"/>
      <c r="X84" s="418"/>
      <c r="Y84" s="418"/>
      <c r="Z84" s="418"/>
      <c r="AA84" s="418"/>
      <c r="AB84" s="418"/>
      <c r="AC84" s="418"/>
      <c r="AD84" s="419"/>
      <c r="AF84" s="50"/>
    </row>
    <row r="85" spans="1:32" ht="30" customHeight="1">
      <c r="A85" s="398">
        <f t="shared" si="12"/>
        <v>4</v>
      </c>
      <c r="B85" s="399"/>
      <c r="C85" s="143"/>
      <c r="D85" s="143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si="12"/>
        <v>5</v>
      </c>
      <c r="B86" s="399"/>
      <c r="C86" s="143"/>
      <c r="D86" s="143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12"/>
        <v>6</v>
      </c>
      <c r="B87" s="399"/>
      <c r="C87" s="143"/>
      <c r="D87" s="143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2"/>
        <v>7</v>
      </c>
      <c r="B88" s="399"/>
      <c r="C88" s="143"/>
      <c r="D88" s="143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6" thickBot="1">
      <c r="A89" s="411" t="s">
        <v>270</v>
      </c>
      <c r="B89" s="411"/>
      <c r="C89" s="411"/>
      <c r="D89" s="411"/>
      <c r="E89" s="411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12" t="s">
        <v>111</v>
      </c>
      <c r="B90" s="413"/>
      <c r="C90" s="403" t="s">
        <v>52</v>
      </c>
      <c r="D90" s="403"/>
      <c r="E90" s="403" t="s">
        <v>53</v>
      </c>
      <c r="F90" s="403"/>
      <c r="G90" s="403"/>
      <c r="H90" s="403"/>
      <c r="I90" s="403"/>
      <c r="J90" s="403"/>
      <c r="K90" s="403" t="s">
        <v>54</v>
      </c>
      <c r="L90" s="403"/>
      <c r="M90" s="403"/>
      <c r="N90" s="403"/>
      <c r="O90" s="403"/>
      <c r="P90" s="403"/>
      <c r="Q90" s="403"/>
      <c r="R90" s="403"/>
      <c r="S90" s="403"/>
      <c r="T90" s="403" t="s">
        <v>55</v>
      </c>
      <c r="U90" s="403"/>
      <c r="V90" s="403" t="s">
        <v>56</v>
      </c>
      <c r="W90" s="403"/>
      <c r="X90" s="403"/>
      <c r="Y90" s="403" t="s">
        <v>51</v>
      </c>
      <c r="Z90" s="403"/>
      <c r="AA90" s="403"/>
      <c r="AB90" s="403"/>
      <c r="AC90" s="403"/>
      <c r="AD90" s="404"/>
      <c r="AF90" s="50"/>
    </row>
    <row r="91" spans="1:32" ht="30.75" customHeight="1">
      <c r="A91" s="405">
        <v>1</v>
      </c>
      <c r="B91" s="406"/>
      <c r="C91" s="407"/>
      <c r="D91" s="407"/>
      <c r="E91" s="407"/>
      <c r="F91" s="407"/>
      <c r="G91" s="407"/>
      <c r="H91" s="407"/>
      <c r="I91" s="407"/>
      <c r="J91" s="407"/>
      <c r="K91" s="407"/>
      <c r="L91" s="407"/>
      <c r="M91" s="407"/>
      <c r="N91" s="407"/>
      <c r="O91" s="407"/>
      <c r="P91" s="407"/>
      <c r="Q91" s="407"/>
      <c r="R91" s="407"/>
      <c r="S91" s="407"/>
      <c r="T91" s="407"/>
      <c r="U91" s="407"/>
      <c r="V91" s="408"/>
      <c r="W91" s="408"/>
      <c r="X91" s="408"/>
      <c r="Y91" s="409"/>
      <c r="Z91" s="409"/>
      <c r="AA91" s="409"/>
      <c r="AB91" s="409"/>
      <c r="AC91" s="409"/>
      <c r="AD91" s="410"/>
      <c r="AF91" s="50"/>
    </row>
    <row r="92" spans="1:32" ht="30.75" customHeight="1">
      <c r="A92" s="398">
        <v>2</v>
      </c>
      <c r="B92" s="399"/>
      <c r="C92" s="400"/>
      <c r="D92" s="400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1"/>
      <c r="U92" s="401"/>
      <c r="V92" s="402"/>
      <c r="W92" s="402"/>
      <c r="X92" s="402"/>
      <c r="Y92" s="390"/>
      <c r="Z92" s="390"/>
      <c r="AA92" s="390"/>
      <c r="AB92" s="390"/>
      <c r="AC92" s="390"/>
      <c r="AD92" s="391"/>
      <c r="AF92" s="50"/>
    </row>
    <row r="93" spans="1:32" ht="30.75" customHeight="1" thickBot="1">
      <c r="A93" s="392">
        <v>3</v>
      </c>
      <c r="B93" s="393"/>
      <c r="C93" s="394"/>
      <c r="D93" s="394"/>
      <c r="E93" s="394"/>
      <c r="F93" s="394"/>
      <c r="G93" s="394"/>
      <c r="H93" s="394"/>
      <c r="I93" s="394"/>
      <c r="J93" s="394"/>
      <c r="K93" s="394"/>
      <c r="L93" s="394"/>
      <c r="M93" s="394"/>
      <c r="N93" s="394"/>
      <c r="O93" s="394"/>
      <c r="P93" s="394"/>
      <c r="Q93" s="394"/>
      <c r="R93" s="394"/>
      <c r="S93" s="394"/>
      <c r="T93" s="394"/>
      <c r="U93" s="394"/>
      <c r="V93" s="395"/>
      <c r="W93" s="395"/>
      <c r="X93" s="395"/>
      <c r="Y93" s="396"/>
      <c r="Z93" s="396"/>
      <c r="AA93" s="396"/>
      <c r="AB93" s="396"/>
      <c r="AC93" s="396"/>
      <c r="AD93" s="397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91C1-687F-4DEC-82F1-C1184F936B02}">
  <sheetPr codeName="Sheet5">
    <pageSetUpPr fitToPage="1"/>
  </sheetPr>
  <dimension ref="A1:AF93"/>
  <sheetViews>
    <sheetView view="pageBreakPreview" topLeftCell="A67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271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156" t="s">
        <v>17</v>
      </c>
      <c r="L5" s="156" t="s">
        <v>18</v>
      </c>
      <c r="M5" s="156" t="s">
        <v>19</v>
      </c>
      <c r="N5" s="15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10312</v>
      </c>
      <c r="K6" s="15">
        <f>L6+5046+2812+7738+10312</f>
        <v>25908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>AC6*AB6*(1-O6)</f>
        <v>0</v>
      </c>
      <c r="AE6" s="36">
        <f t="shared" ref="AE6:AE27" si="6">$AD$28</f>
        <v>0.39583333333333337</v>
      </c>
      <c r="AF6" s="81">
        <f t="shared" ref="AF6:AF27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138</v>
      </c>
      <c r="E7" s="53" t="s">
        <v>161</v>
      </c>
      <c r="F7" s="30" t="s">
        <v>137</v>
      </c>
      <c r="G7" s="12">
        <v>1</v>
      </c>
      <c r="H7" s="13">
        <v>24</v>
      </c>
      <c r="I7" s="31">
        <v>55000</v>
      </c>
      <c r="J7" s="14">
        <v>6131</v>
      </c>
      <c r="K7" s="15">
        <f>L7+4962+5479+5974+5609+6074+5975+6110+5789</f>
        <v>52103</v>
      </c>
      <c r="L7" s="15">
        <f>3110+3021</f>
        <v>6131</v>
      </c>
      <c r="M7" s="15">
        <f t="shared" si="0"/>
        <v>6131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7" si="8">AC7*AB7*(1-O7)</f>
        <v>1</v>
      </c>
      <c r="AE7" s="36">
        <f t="shared" si="6"/>
        <v>0.39583333333333337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142</v>
      </c>
      <c r="E8" s="53" t="s">
        <v>253</v>
      </c>
      <c r="F8" s="30" t="s">
        <v>158</v>
      </c>
      <c r="G8" s="12">
        <v>1</v>
      </c>
      <c r="H8" s="13">
        <v>22</v>
      </c>
      <c r="I8" s="31">
        <v>1000</v>
      </c>
      <c r="J8" s="5">
        <v>3161</v>
      </c>
      <c r="K8" s="15">
        <f>L8</f>
        <v>3161</v>
      </c>
      <c r="L8" s="15">
        <f>1836+1325</f>
        <v>3161</v>
      </c>
      <c r="M8" s="15">
        <f t="shared" si="0"/>
        <v>3161</v>
      </c>
      <c r="N8" s="15">
        <v>0</v>
      </c>
      <c r="O8" s="58">
        <f t="shared" si="1"/>
        <v>0</v>
      </c>
      <c r="P8" s="39">
        <f t="shared" si="2"/>
        <v>20</v>
      </c>
      <c r="Q8" s="40">
        <f t="shared" si="3"/>
        <v>4</v>
      </c>
      <c r="R8" s="7"/>
      <c r="S8" s="6"/>
      <c r="T8" s="16"/>
      <c r="U8" s="16"/>
      <c r="V8" s="17"/>
      <c r="W8" s="5">
        <v>4</v>
      </c>
      <c r="X8" s="16"/>
      <c r="Y8" s="16"/>
      <c r="Z8" s="16"/>
      <c r="AA8" s="18"/>
      <c r="AB8" s="8">
        <f t="shared" si="4"/>
        <v>1</v>
      </c>
      <c r="AC8" s="9">
        <f t="shared" si="5"/>
        <v>0.83333333333333337</v>
      </c>
      <c r="AD8" s="10">
        <f t="shared" si="8"/>
        <v>0.83333333333333337</v>
      </c>
      <c r="AE8" s="36">
        <f t="shared" si="6"/>
        <v>0.39583333333333337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257</v>
      </c>
      <c r="F9" s="30" t="s">
        <v>122</v>
      </c>
      <c r="G9" s="12">
        <v>1</v>
      </c>
      <c r="H9" s="13">
        <v>24</v>
      </c>
      <c r="I9" s="7">
        <v>50000</v>
      </c>
      <c r="J9" s="14">
        <v>5224</v>
      </c>
      <c r="K9" s="15">
        <f>L9</f>
        <v>5224</v>
      </c>
      <c r="L9" s="15">
        <f>2918+2306</f>
        <v>5224</v>
      </c>
      <c r="M9" s="15">
        <f t="shared" si="0"/>
        <v>5224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0.39583333333333337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2430</v>
      </c>
      <c r="K10" s="15">
        <f>L10+5338+5669+5744+4980+3619+1932+309+2790+5660+4715+1739+3127+5884+1203+3638+5732+5658+5217</f>
        <v>75384</v>
      </c>
      <c r="L10" s="15">
        <v>2430</v>
      </c>
      <c r="M10" s="15">
        <f t="shared" si="0"/>
        <v>2430</v>
      </c>
      <c r="N10" s="15">
        <v>0</v>
      </c>
      <c r="O10" s="58">
        <f t="shared" si="1"/>
        <v>0</v>
      </c>
      <c r="P10" s="39">
        <f t="shared" si="2"/>
        <v>11</v>
      </c>
      <c r="Q10" s="40">
        <f t="shared" si="3"/>
        <v>13</v>
      </c>
      <c r="R10" s="7"/>
      <c r="S10" s="6">
        <v>13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0.45833333333333331</v>
      </c>
      <c r="AD10" s="10">
        <f t="shared" si="8"/>
        <v>0.45833333333333331</v>
      </c>
      <c r="AE10" s="36">
        <f t="shared" si="6"/>
        <v>0.39583333333333337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126</v>
      </c>
      <c r="D11" s="52" t="s">
        <v>272</v>
      </c>
      <c r="E11" s="53" t="s">
        <v>256</v>
      </c>
      <c r="F11" s="30" t="s">
        <v>273</v>
      </c>
      <c r="G11" s="33">
        <v>1</v>
      </c>
      <c r="H11" s="35">
        <v>24</v>
      </c>
      <c r="I11" s="7">
        <v>1000</v>
      </c>
      <c r="J11" s="14">
        <v>4545</v>
      </c>
      <c r="K11" s="15">
        <f>L11</f>
        <v>4545</v>
      </c>
      <c r="L11" s="15">
        <f>2352+2193</f>
        <v>4545</v>
      </c>
      <c r="M11" s="15">
        <f t="shared" si="0"/>
        <v>4545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/>
      <c r="T11" s="16">
        <v>2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si="8"/>
        <v>0.91666666666666663</v>
      </c>
      <c r="AE11" s="36">
        <f t="shared" si="6"/>
        <v>0.39583333333333337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233</v>
      </c>
      <c r="F12" s="30" t="s">
        <v>205</v>
      </c>
      <c r="G12" s="12">
        <v>1</v>
      </c>
      <c r="H12" s="13">
        <v>22</v>
      </c>
      <c r="I12" s="31">
        <v>32000</v>
      </c>
      <c r="J12" s="5">
        <v>4993</v>
      </c>
      <c r="K12" s="15">
        <f>L12+3264</f>
        <v>8257</v>
      </c>
      <c r="L12" s="15">
        <f>2518+2475</f>
        <v>4993</v>
      </c>
      <c r="M12" s="15">
        <f t="shared" si="0"/>
        <v>4993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0.39583333333333337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116</v>
      </c>
      <c r="D13" s="52" t="s">
        <v>142</v>
      </c>
      <c r="E13" s="53" t="s">
        <v>176</v>
      </c>
      <c r="F13" s="30" t="s">
        <v>136</v>
      </c>
      <c r="G13" s="33">
        <v>1</v>
      </c>
      <c r="H13" s="35">
        <v>22</v>
      </c>
      <c r="I13" s="7">
        <v>17400</v>
      </c>
      <c r="J13" s="14">
        <v>6378</v>
      </c>
      <c r="K13" s="15">
        <f>L13+4060+3612+5379+6118</f>
        <v>25547</v>
      </c>
      <c r="L13" s="15">
        <f>3030+3348</f>
        <v>6378</v>
      </c>
      <c r="M13" s="15">
        <f t="shared" si="0"/>
        <v>6378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0.39583333333333337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171</v>
      </c>
      <c r="D14" s="52"/>
      <c r="E14" s="53" t="s">
        <v>170</v>
      </c>
      <c r="F14" s="30" t="s">
        <v>174</v>
      </c>
      <c r="G14" s="33">
        <v>1</v>
      </c>
      <c r="H14" s="35">
        <v>50</v>
      </c>
      <c r="I14" s="7">
        <v>500</v>
      </c>
      <c r="J14" s="5">
        <v>712</v>
      </c>
      <c r="K14" s="15">
        <f>L14+208+712</f>
        <v>920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0.39583333333333337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163</v>
      </c>
      <c r="D15" s="52" t="s">
        <v>138</v>
      </c>
      <c r="E15" s="53" t="s">
        <v>179</v>
      </c>
      <c r="F15" s="30" t="s">
        <v>137</v>
      </c>
      <c r="G15" s="12">
        <v>1</v>
      </c>
      <c r="H15" s="13">
        <v>24</v>
      </c>
      <c r="I15" s="31">
        <v>10000</v>
      </c>
      <c r="J15" s="14">
        <v>5209</v>
      </c>
      <c r="K15" s="15">
        <f>L15+5812+5209</f>
        <v>11021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0.39583333333333337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234</v>
      </c>
      <c r="F16" s="30" t="s">
        <v>235</v>
      </c>
      <c r="G16" s="12">
        <v>1</v>
      </c>
      <c r="H16" s="13">
        <v>22</v>
      </c>
      <c r="I16" s="31">
        <v>30000</v>
      </c>
      <c r="J16" s="5">
        <v>10986</v>
      </c>
      <c r="K16" s="15">
        <f>L16+5720</f>
        <v>16706</v>
      </c>
      <c r="L16" s="15">
        <f>2794*2+2699*2</f>
        <v>10986</v>
      </c>
      <c r="M16" s="15">
        <f t="shared" si="0"/>
        <v>10986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0.39583333333333337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126</v>
      </c>
      <c r="D17" s="52" t="s">
        <v>236</v>
      </c>
      <c r="E17" s="53" t="s">
        <v>237</v>
      </c>
      <c r="F17" s="30" t="s">
        <v>213</v>
      </c>
      <c r="G17" s="12">
        <v>1</v>
      </c>
      <c r="H17" s="13">
        <v>24</v>
      </c>
      <c r="I17" s="7">
        <v>1000</v>
      </c>
      <c r="J17" s="14">
        <v>3627</v>
      </c>
      <c r="K17" s="15">
        <f>L17+3627</f>
        <v>3627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0.39583333333333337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172</v>
      </c>
      <c r="F18" s="30" t="s">
        <v>136</v>
      </c>
      <c r="G18" s="12">
        <v>1</v>
      </c>
      <c r="H18" s="13">
        <v>22</v>
      </c>
      <c r="I18" s="31">
        <v>17000</v>
      </c>
      <c r="J18" s="5">
        <v>1534</v>
      </c>
      <c r="K18" s="15">
        <f>L18+1550+666+3747+2255+3128+450</f>
        <v>13330</v>
      </c>
      <c r="L18" s="15">
        <v>1534</v>
      </c>
      <c r="M18" s="15">
        <f t="shared" si="0"/>
        <v>1534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>
        <v>18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0.25</v>
      </c>
      <c r="AD18" s="10">
        <f t="shared" si="8"/>
        <v>0.25</v>
      </c>
      <c r="AE18" s="36">
        <f t="shared" si="6"/>
        <v>0.39583333333333337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112</v>
      </c>
      <c r="D19" s="52" t="s">
        <v>159</v>
      </c>
      <c r="E19" s="53" t="s">
        <v>173</v>
      </c>
      <c r="F19" s="30" t="s">
        <v>123</v>
      </c>
      <c r="G19" s="33">
        <v>1</v>
      </c>
      <c r="H19" s="35">
        <v>24</v>
      </c>
      <c r="I19" s="7">
        <v>35000</v>
      </c>
      <c r="J19" s="14">
        <v>5627</v>
      </c>
      <c r="K19" s="15">
        <f>L19+2187+4152+5440+5251</f>
        <v>22657</v>
      </c>
      <c r="L19" s="15">
        <f>2861+2766</f>
        <v>5627</v>
      </c>
      <c r="M19" s="15">
        <f t="shared" si="0"/>
        <v>5627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0.39583333333333337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112</v>
      </c>
      <c r="D20" s="52" t="s">
        <v>115</v>
      </c>
      <c r="E20" s="53" t="s">
        <v>143</v>
      </c>
      <c r="F20" s="30" t="s">
        <v>136</v>
      </c>
      <c r="G20" s="33">
        <v>2</v>
      </c>
      <c r="H20" s="35">
        <v>24</v>
      </c>
      <c r="I20" s="7">
        <v>190000</v>
      </c>
      <c r="J20" s="14">
        <v>2638</v>
      </c>
      <c r="K20" s="15">
        <f>L20+2429+7472+8688+7444+11036+10988+11010+10896+8170+1188+8544+8600+10428+2136+6276+9709+8542+9846+6657+2519+4495+3045+8000+10178+8242</f>
        <v>189176</v>
      </c>
      <c r="L20" s="15">
        <f>1319*2</f>
        <v>2638</v>
      </c>
      <c r="M20" s="15">
        <f t="shared" si="0"/>
        <v>2638</v>
      </c>
      <c r="N20" s="15">
        <v>0</v>
      </c>
      <c r="O20" s="58">
        <f t="shared" si="1"/>
        <v>0</v>
      </c>
      <c r="P20" s="39">
        <f t="shared" si="2"/>
        <v>6</v>
      </c>
      <c r="Q20" s="40">
        <f t="shared" si="3"/>
        <v>18</v>
      </c>
      <c r="R20" s="7"/>
      <c r="S20" s="6">
        <v>18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0.25</v>
      </c>
      <c r="AD20" s="10">
        <f t="shared" si="8"/>
        <v>0.25</v>
      </c>
      <c r="AE20" s="36">
        <f t="shared" si="6"/>
        <v>0.39583333333333337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146</v>
      </c>
      <c r="F21" s="12" t="s">
        <v>114</v>
      </c>
      <c r="G21" s="12">
        <v>4</v>
      </c>
      <c r="H21" s="35">
        <v>20</v>
      </c>
      <c r="I21" s="7">
        <v>2000000</v>
      </c>
      <c r="J21" s="14">
        <v>30464</v>
      </c>
      <c r="K21" s="15">
        <f>L21+29876+62940+54476+54396+57856+63452+64136+60836+58660+62760+62928+64084+55912+44824+63988+40136+63248+64592+30464</f>
        <v>1059564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0.39583333333333337</v>
      </c>
      <c r="AF21" s="81">
        <f t="shared" si="7"/>
        <v>16</v>
      </c>
    </row>
    <row r="22" spans="1:32" ht="21.75" customHeight="1">
      <c r="A22" s="92">
        <v>31</v>
      </c>
      <c r="B22" s="11" t="s">
        <v>57</v>
      </c>
      <c r="C22" s="11" t="s">
        <v>116</v>
      </c>
      <c r="D22" s="52" t="s">
        <v>115</v>
      </c>
      <c r="E22" s="53" t="s">
        <v>149</v>
      </c>
      <c r="F22" s="12" t="s">
        <v>136</v>
      </c>
      <c r="G22" s="12">
        <v>4</v>
      </c>
      <c r="H22" s="35">
        <v>20</v>
      </c>
      <c r="I22" s="7">
        <v>70000</v>
      </c>
      <c r="J22" s="14">
        <v>22300</v>
      </c>
      <c r="K22" s="15">
        <f>L22+22300</f>
        <v>22300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0.39583333333333337</v>
      </c>
      <c r="AF22" s="81">
        <f t="shared" si="7"/>
        <v>31</v>
      </c>
    </row>
    <row r="23" spans="1:32" ht="21.75" customHeight="1">
      <c r="A23" s="92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" si="9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0.39583333333333337</v>
      </c>
      <c r="AF23" s="81">
        <f t="shared" si="7"/>
        <v>32</v>
      </c>
    </row>
    <row r="24" spans="1:32" ht="21.75" customHeight="1">
      <c r="A24" s="92">
        <v>33</v>
      </c>
      <c r="B24" s="11" t="s">
        <v>57</v>
      </c>
      <c r="C24" s="11" t="s">
        <v>116</v>
      </c>
      <c r="D24" s="52" t="s">
        <v>142</v>
      </c>
      <c r="E24" s="53" t="s">
        <v>151</v>
      </c>
      <c r="F24" s="12" t="s">
        <v>123</v>
      </c>
      <c r="G24" s="12">
        <v>3</v>
      </c>
      <c r="H24" s="35">
        <v>20</v>
      </c>
      <c r="I24" s="7">
        <v>70000</v>
      </c>
      <c r="J24" s="14">
        <v>22300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4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0.39583333333333337</v>
      </c>
      <c r="AF24" s="81">
        <f t="shared" si="7"/>
        <v>33</v>
      </c>
    </row>
    <row r="25" spans="1:32" ht="21.75" customHeight="1">
      <c r="A25" s="92">
        <v>34</v>
      </c>
      <c r="B25" s="11" t="s">
        <v>57</v>
      </c>
      <c r="C25" s="11" t="s">
        <v>116</v>
      </c>
      <c r="D25" s="52" t="s">
        <v>127</v>
      </c>
      <c r="E25" s="53" t="s">
        <v>148</v>
      </c>
      <c r="F25" s="12" t="s">
        <v>124</v>
      </c>
      <c r="G25" s="12">
        <v>4</v>
      </c>
      <c r="H25" s="35">
        <v>20</v>
      </c>
      <c r="I25" s="7">
        <v>50000</v>
      </c>
      <c r="J25" s="14">
        <v>26548</v>
      </c>
      <c r="K25" s="15">
        <f>L25+15172+24432+25280+26548</f>
        <v>91432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4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0.39583333333333337</v>
      </c>
      <c r="AF25" s="81">
        <f t="shared" si="7"/>
        <v>34</v>
      </c>
    </row>
    <row r="26" spans="1:32" ht="21.75" customHeight="1">
      <c r="A26" s="92">
        <v>35</v>
      </c>
      <c r="B26" s="11" t="s">
        <v>57</v>
      </c>
      <c r="C26" s="11" t="s">
        <v>116</v>
      </c>
      <c r="D26" s="52" t="s">
        <v>121</v>
      </c>
      <c r="E26" s="53" t="s">
        <v>125</v>
      </c>
      <c r="F26" s="12" t="s">
        <v>124</v>
      </c>
      <c r="G26" s="12">
        <v>4</v>
      </c>
      <c r="H26" s="35">
        <v>20</v>
      </c>
      <c r="I26" s="7">
        <v>50000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0.39583333333333337</v>
      </c>
      <c r="AF26" s="81">
        <f t="shared" si="7"/>
        <v>35</v>
      </c>
    </row>
    <row r="27" spans="1:32" ht="21.75" customHeight="1" thickBot="1">
      <c r="A27" s="92">
        <v>36</v>
      </c>
      <c r="B27" s="11" t="s">
        <v>57</v>
      </c>
      <c r="C27" s="11" t="s">
        <v>113</v>
      </c>
      <c r="D27" s="52"/>
      <c r="E27" s="53" t="s">
        <v>150</v>
      </c>
      <c r="F27" s="12" t="s">
        <v>114</v>
      </c>
      <c r="G27" s="12">
        <v>4</v>
      </c>
      <c r="H27" s="35">
        <v>20</v>
      </c>
      <c r="I27" s="7">
        <v>1000000</v>
      </c>
      <c r="J27" s="14">
        <v>79328</v>
      </c>
      <c r="K27" s="15">
        <f>L27+28388+70816+76368+81764+83428+47688+53180+83092+82192+79328</f>
        <v>686244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>
        <v>24</v>
      </c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0.39583333333333337</v>
      </c>
      <c r="AF27" s="81">
        <f t="shared" si="7"/>
        <v>36</v>
      </c>
    </row>
    <row r="28" spans="1:32" ht="19.5" thickBot="1">
      <c r="A28" s="478" t="s">
        <v>34</v>
      </c>
      <c r="B28" s="479"/>
      <c r="C28" s="479"/>
      <c r="D28" s="479"/>
      <c r="E28" s="479"/>
      <c r="F28" s="479"/>
      <c r="G28" s="479"/>
      <c r="H28" s="480"/>
      <c r="I28" s="22">
        <f t="shared" ref="I28:N28" si="10">SUM(I6:I27)</f>
        <v>3814900</v>
      </c>
      <c r="J28" s="19">
        <f t="shared" si="10"/>
        <v>281391</v>
      </c>
      <c r="K28" s="20">
        <f t="shared" si="10"/>
        <v>2390358</v>
      </c>
      <c r="L28" s="21">
        <f t="shared" si="10"/>
        <v>53647</v>
      </c>
      <c r="M28" s="20">
        <f t="shared" si="10"/>
        <v>53647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209</v>
      </c>
      <c r="Q28" s="43">
        <f t="shared" si="11"/>
        <v>319</v>
      </c>
      <c r="R28" s="23">
        <f t="shared" si="11"/>
        <v>0</v>
      </c>
      <c r="S28" s="24">
        <f t="shared" si="11"/>
        <v>97</v>
      </c>
      <c r="T28" s="24">
        <f t="shared" si="11"/>
        <v>2</v>
      </c>
      <c r="U28" s="24">
        <f t="shared" si="11"/>
        <v>0</v>
      </c>
      <c r="V28" s="25">
        <f t="shared" si="11"/>
        <v>72</v>
      </c>
      <c r="W28" s="26">
        <f t="shared" si="11"/>
        <v>124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24</v>
      </c>
      <c r="AB28" s="28">
        <f>AVERAGE(AB6:AB27)</f>
        <v>0.52380952380952384</v>
      </c>
      <c r="AC28" s="4">
        <f>AVERAGE(AC6:AC27)</f>
        <v>0.39583333333333337</v>
      </c>
      <c r="AD28" s="4">
        <f>AVERAGE(AD6:AD27)</f>
        <v>0.39583333333333337</v>
      </c>
      <c r="AE28" s="29"/>
    </row>
    <row r="29" spans="1:32">
      <c r="T29" s="50" t="s">
        <v>128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129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81" t="s">
        <v>45</v>
      </c>
      <c r="B55" s="481"/>
      <c r="C55" s="481"/>
      <c r="D55" s="481"/>
      <c r="E55" s="48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82" t="s">
        <v>274</v>
      </c>
      <c r="B56" s="483"/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4"/>
      <c r="N56" s="485" t="s">
        <v>282</v>
      </c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7"/>
    </row>
    <row r="57" spans="1:32" ht="27" customHeight="1">
      <c r="A57" s="488" t="s">
        <v>2</v>
      </c>
      <c r="B57" s="489"/>
      <c r="C57" s="157" t="s">
        <v>46</v>
      </c>
      <c r="D57" s="157" t="s">
        <v>47</v>
      </c>
      <c r="E57" s="157" t="s">
        <v>107</v>
      </c>
      <c r="F57" s="490" t="s">
        <v>106</v>
      </c>
      <c r="G57" s="491"/>
      <c r="H57" s="491"/>
      <c r="I57" s="491"/>
      <c r="J57" s="491"/>
      <c r="K57" s="491"/>
      <c r="L57" s="491"/>
      <c r="M57" s="492"/>
      <c r="N57" s="67" t="s">
        <v>110</v>
      </c>
      <c r="O57" s="157" t="s">
        <v>46</v>
      </c>
      <c r="P57" s="490" t="s">
        <v>47</v>
      </c>
      <c r="Q57" s="493"/>
      <c r="R57" s="490" t="s">
        <v>38</v>
      </c>
      <c r="S57" s="491"/>
      <c r="T57" s="491"/>
      <c r="U57" s="493"/>
      <c r="V57" s="490" t="s">
        <v>48</v>
      </c>
      <c r="W57" s="491"/>
      <c r="X57" s="491"/>
      <c r="Y57" s="491"/>
      <c r="Z57" s="491"/>
      <c r="AA57" s="491"/>
      <c r="AB57" s="491"/>
      <c r="AC57" s="491"/>
      <c r="AD57" s="492"/>
    </row>
    <row r="58" spans="1:32" ht="27" customHeight="1">
      <c r="A58" s="455" t="s">
        <v>116</v>
      </c>
      <c r="B58" s="456"/>
      <c r="C58" s="158" t="s">
        <v>145</v>
      </c>
      <c r="D58" s="158" t="s">
        <v>157</v>
      </c>
      <c r="E58" s="158" t="s">
        <v>257</v>
      </c>
      <c r="F58" s="457" t="s">
        <v>187</v>
      </c>
      <c r="G58" s="458"/>
      <c r="H58" s="458"/>
      <c r="I58" s="458"/>
      <c r="J58" s="458"/>
      <c r="K58" s="458"/>
      <c r="L58" s="458"/>
      <c r="M58" s="459"/>
      <c r="N58" s="159" t="s">
        <v>116</v>
      </c>
      <c r="O58" s="165" t="s">
        <v>164</v>
      </c>
      <c r="P58" s="472" t="s">
        <v>115</v>
      </c>
      <c r="Q58" s="473"/>
      <c r="R58" s="472" t="s">
        <v>172</v>
      </c>
      <c r="S58" s="474"/>
      <c r="T58" s="474"/>
      <c r="U58" s="473"/>
      <c r="V58" s="461" t="s">
        <v>144</v>
      </c>
      <c r="W58" s="462"/>
      <c r="X58" s="462"/>
      <c r="Y58" s="462"/>
      <c r="Z58" s="462"/>
      <c r="AA58" s="462"/>
      <c r="AB58" s="462"/>
      <c r="AC58" s="462"/>
      <c r="AD58" s="463"/>
    </row>
    <row r="59" spans="1:32" ht="27" customHeight="1">
      <c r="A59" s="455" t="s">
        <v>116</v>
      </c>
      <c r="B59" s="456"/>
      <c r="C59" s="158" t="s">
        <v>164</v>
      </c>
      <c r="D59" s="158" t="s">
        <v>115</v>
      </c>
      <c r="E59" s="160" t="s">
        <v>172</v>
      </c>
      <c r="F59" s="457" t="s">
        <v>215</v>
      </c>
      <c r="G59" s="458"/>
      <c r="H59" s="458"/>
      <c r="I59" s="458"/>
      <c r="J59" s="458"/>
      <c r="K59" s="458"/>
      <c r="L59" s="458"/>
      <c r="M59" s="459"/>
      <c r="N59" s="159" t="s">
        <v>126</v>
      </c>
      <c r="O59" s="165" t="s">
        <v>254</v>
      </c>
      <c r="P59" s="472" t="s">
        <v>115</v>
      </c>
      <c r="Q59" s="473"/>
      <c r="R59" s="472" t="s">
        <v>283</v>
      </c>
      <c r="S59" s="474"/>
      <c r="T59" s="474"/>
      <c r="U59" s="473"/>
      <c r="V59" s="461" t="s">
        <v>187</v>
      </c>
      <c r="W59" s="462"/>
      <c r="X59" s="462"/>
      <c r="Y59" s="462"/>
      <c r="Z59" s="462"/>
      <c r="AA59" s="462"/>
      <c r="AB59" s="462"/>
      <c r="AC59" s="462"/>
      <c r="AD59" s="463"/>
    </row>
    <row r="60" spans="1:32" ht="27" customHeight="1">
      <c r="A60" s="455" t="s">
        <v>275</v>
      </c>
      <c r="B60" s="456"/>
      <c r="C60" s="158" t="s">
        <v>276</v>
      </c>
      <c r="D60" s="158" t="s">
        <v>277</v>
      </c>
      <c r="E60" s="160" t="s">
        <v>278</v>
      </c>
      <c r="F60" s="457" t="s">
        <v>187</v>
      </c>
      <c r="G60" s="458"/>
      <c r="H60" s="458"/>
      <c r="I60" s="458"/>
      <c r="J60" s="458"/>
      <c r="K60" s="458"/>
      <c r="L60" s="458"/>
      <c r="M60" s="459"/>
      <c r="N60" s="159" t="s">
        <v>258</v>
      </c>
      <c r="O60" s="165" t="s">
        <v>259</v>
      </c>
      <c r="P60" s="472" t="s">
        <v>284</v>
      </c>
      <c r="Q60" s="473"/>
      <c r="R60" s="472" t="s">
        <v>285</v>
      </c>
      <c r="S60" s="474"/>
      <c r="T60" s="474"/>
      <c r="U60" s="473"/>
      <c r="V60" s="461" t="s">
        <v>187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279</v>
      </c>
      <c r="B61" s="456"/>
      <c r="C61" s="158" t="s">
        <v>280</v>
      </c>
      <c r="D61" s="158" t="s">
        <v>255</v>
      </c>
      <c r="E61" s="160" t="s">
        <v>281</v>
      </c>
      <c r="F61" s="457" t="s">
        <v>187</v>
      </c>
      <c r="G61" s="458"/>
      <c r="H61" s="458"/>
      <c r="I61" s="458"/>
      <c r="J61" s="458"/>
      <c r="K61" s="458"/>
      <c r="L61" s="458"/>
      <c r="M61" s="459"/>
      <c r="N61" s="179" t="s">
        <v>112</v>
      </c>
      <c r="O61" s="173" t="s">
        <v>264</v>
      </c>
      <c r="P61" s="472" t="s">
        <v>115</v>
      </c>
      <c r="Q61" s="473"/>
      <c r="R61" s="472" t="s">
        <v>263</v>
      </c>
      <c r="S61" s="474"/>
      <c r="T61" s="474"/>
      <c r="U61" s="473"/>
      <c r="V61" s="461" t="s">
        <v>187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75" t="s">
        <v>279</v>
      </c>
      <c r="B62" s="460"/>
      <c r="C62" s="160" t="s">
        <v>289</v>
      </c>
      <c r="D62" s="160" t="s">
        <v>290</v>
      </c>
      <c r="E62" s="160" t="s">
        <v>287</v>
      </c>
      <c r="F62" s="457" t="s">
        <v>288</v>
      </c>
      <c r="G62" s="458"/>
      <c r="H62" s="458"/>
      <c r="I62" s="458"/>
      <c r="J62" s="458"/>
      <c r="K62" s="458"/>
      <c r="L62" s="458"/>
      <c r="M62" s="459"/>
      <c r="N62" s="159" t="s">
        <v>112</v>
      </c>
      <c r="O62" s="165" t="s">
        <v>286</v>
      </c>
      <c r="P62" s="472" t="s">
        <v>121</v>
      </c>
      <c r="Q62" s="473"/>
      <c r="R62" s="472" t="s">
        <v>152</v>
      </c>
      <c r="S62" s="474"/>
      <c r="T62" s="474"/>
      <c r="U62" s="473"/>
      <c r="V62" s="461" t="s">
        <v>144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/>
      <c r="B63" s="456"/>
      <c r="C63" s="158"/>
      <c r="D63" s="158"/>
      <c r="E63" s="160"/>
      <c r="F63" s="457"/>
      <c r="G63" s="458"/>
      <c r="H63" s="458"/>
      <c r="I63" s="458"/>
      <c r="J63" s="458"/>
      <c r="K63" s="458"/>
      <c r="L63" s="458"/>
      <c r="M63" s="459"/>
      <c r="N63" s="159"/>
      <c r="O63" s="165"/>
      <c r="P63" s="472"/>
      <c r="Q63" s="473"/>
      <c r="R63" s="472"/>
      <c r="S63" s="474"/>
      <c r="T63" s="474"/>
      <c r="U63" s="473"/>
      <c r="V63" s="461"/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/>
      <c r="B64" s="456"/>
      <c r="C64" s="158"/>
      <c r="D64" s="158"/>
      <c r="E64" s="160"/>
      <c r="F64" s="457"/>
      <c r="G64" s="458"/>
      <c r="H64" s="458"/>
      <c r="I64" s="458"/>
      <c r="J64" s="458"/>
      <c r="K64" s="458"/>
      <c r="L64" s="458"/>
      <c r="M64" s="459"/>
      <c r="N64" s="159"/>
      <c r="O64" s="165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/>
      <c r="B65" s="456"/>
      <c r="C65" s="158"/>
      <c r="D65" s="158"/>
      <c r="E65" s="160"/>
      <c r="F65" s="457"/>
      <c r="G65" s="458"/>
      <c r="H65" s="458"/>
      <c r="I65" s="458"/>
      <c r="J65" s="458"/>
      <c r="K65" s="458"/>
      <c r="L65" s="458"/>
      <c r="M65" s="459"/>
      <c r="N65" s="159"/>
      <c r="O65" s="165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158"/>
      <c r="D66" s="158"/>
      <c r="E66" s="160"/>
      <c r="F66" s="457"/>
      <c r="G66" s="458"/>
      <c r="H66" s="458"/>
      <c r="I66" s="458"/>
      <c r="J66" s="458"/>
      <c r="K66" s="458"/>
      <c r="L66" s="458"/>
      <c r="M66" s="459"/>
      <c r="N66" s="159"/>
      <c r="O66" s="165"/>
      <c r="P66" s="460"/>
      <c r="Q66" s="460"/>
      <c r="R66" s="460"/>
      <c r="S66" s="460"/>
      <c r="T66" s="460"/>
      <c r="U66" s="460"/>
      <c r="V66" s="461"/>
      <c r="W66" s="462"/>
      <c r="X66" s="462"/>
      <c r="Y66" s="462"/>
      <c r="Z66" s="462"/>
      <c r="AA66" s="462"/>
      <c r="AB66" s="462"/>
      <c r="AC66" s="462"/>
      <c r="AD66" s="463"/>
      <c r="AF66" s="81">
        <f>8*3000</f>
        <v>24000</v>
      </c>
    </row>
    <row r="67" spans="1:32" ht="27" customHeight="1" thickBot="1">
      <c r="A67" s="464"/>
      <c r="B67" s="465"/>
      <c r="C67" s="161"/>
      <c r="D67" s="162"/>
      <c r="E67" s="161"/>
      <c r="F67" s="466"/>
      <c r="G67" s="467"/>
      <c r="H67" s="467"/>
      <c r="I67" s="467"/>
      <c r="J67" s="467"/>
      <c r="K67" s="467"/>
      <c r="L67" s="467"/>
      <c r="M67" s="468"/>
      <c r="N67" s="105"/>
      <c r="O67" s="97"/>
      <c r="P67" s="469"/>
      <c r="Q67" s="469"/>
      <c r="R67" s="469"/>
      <c r="S67" s="469"/>
      <c r="T67" s="469"/>
      <c r="U67" s="469"/>
      <c r="V67" s="470"/>
      <c r="W67" s="470"/>
      <c r="X67" s="470"/>
      <c r="Y67" s="470"/>
      <c r="Z67" s="470"/>
      <c r="AA67" s="470"/>
      <c r="AB67" s="470"/>
      <c r="AC67" s="470"/>
      <c r="AD67" s="471"/>
      <c r="AF67" s="81">
        <f>16*3000</f>
        <v>48000</v>
      </c>
    </row>
    <row r="68" spans="1:32" ht="27.75" thickBot="1">
      <c r="A68" s="453" t="s">
        <v>291</v>
      </c>
      <c r="B68" s="453"/>
      <c r="C68" s="453"/>
      <c r="D68" s="453"/>
      <c r="E68" s="453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54" t="s">
        <v>111</v>
      </c>
      <c r="B69" s="451"/>
      <c r="C69" s="163" t="s">
        <v>2</v>
      </c>
      <c r="D69" s="163" t="s">
        <v>37</v>
      </c>
      <c r="E69" s="163" t="s">
        <v>3</v>
      </c>
      <c r="F69" s="451" t="s">
        <v>109</v>
      </c>
      <c r="G69" s="451"/>
      <c r="H69" s="451"/>
      <c r="I69" s="451"/>
      <c r="J69" s="451"/>
      <c r="K69" s="451" t="s">
        <v>39</v>
      </c>
      <c r="L69" s="451"/>
      <c r="M69" s="163" t="s">
        <v>40</v>
      </c>
      <c r="N69" s="451" t="s">
        <v>41</v>
      </c>
      <c r="O69" s="451"/>
      <c r="P69" s="448" t="s">
        <v>42</v>
      </c>
      <c r="Q69" s="450"/>
      <c r="R69" s="448" t="s">
        <v>43</v>
      </c>
      <c r="S69" s="449"/>
      <c r="T69" s="449"/>
      <c r="U69" s="449"/>
      <c r="V69" s="449"/>
      <c r="W69" s="449"/>
      <c r="X69" s="449"/>
      <c r="Y69" s="449"/>
      <c r="Z69" s="449"/>
      <c r="AA69" s="450"/>
      <c r="AB69" s="451" t="s">
        <v>44</v>
      </c>
      <c r="AC69" s="451"/>
      <c r="AD69" s="452"/>
      <c r="AF69" s="81">
        <f>SUM(AF66:AF68)</f>
        <v>96000</v>
      </c>
    </row>
    <row r="70" spans="1:32" ht="25.5" customHeight="1">
      <c r="A70" s="439">
        <v>1</v>
      </c>
      <c r="B70" s="440"/>
      <c r="C70" s="98" t="s">
        <v>275</v>
      </c>
      <c r="D70" s="167"/>
      <c r="E70" s="164" t="s">
        <v>294</v>
      </c>
      <c r="F70" s="441" t="s">
        <v>292</v>
      </c>
      <c r="G70" s="431"/>
      <c r="H70" s="431"/>
      <c r="I70" s="431"/>
      <c r="J70" s="431"/>
      <c r="K70" s="431" t="s">
        <v>295</v>
      </c>
      <c r="L70" s="431"/>
      <c r="M70" s="51" t="s">
        <v>296</v>
      </c>
      <c r="N70" s="442" t="s">
        <v>297</v>
      </c>
      <c r="O70" s="442"/>
      <c r="P70" s="443">
        <v>500</v>
      </c>
      <c r="Q70" s="443"/>
      <c r="R70" s="444"/>
      <c r="S70" s="444"/>
      <c r="T70" s="444"/>
      <c r="U70" s="444"/>
      <c r="V70" s="444"/>
      <c r="W70" s="444"/>
      <c r="X70" s="444"/>
      <c r="Y70" s="444"/>
      <c r="Z70" s="444"/>
      <c r="AA70" s="444"/>
      <c r="AB70" s="431"/>
      <c r="AC70" s="431"/>
      <c r="AD70" s="432"/>
      <c r="AF70" s="50"/>
    </row>
    <row r="71" spans="1:32" ht="25.5" customHeight="1">
      <c r="A71" s="439">
        <v>2</v>
      </c>
      <c r="B71" s="440"/>
      <c r="C71" s="98" t="s">
        <v>275</v>
      </c>
      <c r="D71" s="167"/>
      <c r="E71" s="164" t="s">
        <v>294</v>
      </c>
      <c r="F71" s="441" t="s">
        <v>293</v>
      </c>
      <c r="G71" s="431"/>
      <c r="H71" s="431"/>
      <c r="I71" s="431"/>
      <c r="J71" s="431"/>
      <c r="K71" s="431" t="s">
        <v>295</v>
      </c>
      <c r="L71" s="431"/>
      <c r="M71" s="51" t="s">
        <v>296</v>
      </c>
      <c r="N71" s="442" t="s">
        <v>297</v>
      </c>
      <c r="O71" s="442"/>
      <c r="P71" s="443">
        <v>500</v>
      </c>
      <c r="Q71" s="443"/>
      <c r="R71" s="444"/>
      <c r="S71" s="444"/>
      <c r="T71" s="444"/>
      <c r="U71" s="444"/>
      <c r="V71" s="444"/>
      <c r="W71" s="444"/>
      <c r="X71" s="444"/>
      <c r="Y71" s="444"/>
      <c r="Z71" s="444"/>
      <c r="AA71" s="444"/>
      <c r="AB71" s="431"/>
      <c r="AC71" s="431"/>
      <c r="AD71" s="432"/>
      <c r="AF71" s="50"/>
    </row>
    <row r="72" spans="1:32" ht="25.5" customHeight="1">
      <c r="A72" s="439">
        <v>3</v>
      </c>
      <c r="B72" s="440"/>
      <c r="C72" s="98"/>
      <c r="D72" s="167"/>
      <c r="E72" s="164"/>
      <c r="F72" s="441"/>
      <c r="G72" s="431"/>
      <c r="H72" s="431"/>
      <c r="I72" s="431"/>
      <c r="J72" s="431"/>
      <c r="K72" s="431"/>
      <c r="L72" s="431"/>
      <c r="M72" s="51"/>
      <c r="N72" s="442"/>
      <c r="O72" s="442"/>
      <c r="P72" s="443"/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4</v>
      </c>
      <c r="B73" s="440"/>
      <c r="C73" s="98"/>
      <c r="D73" s="167"/>
      <c r="E73" s="164"/>
      <c r="F73" s="445"/>
      <c r="G73" s="446"/>
      <c r="H73" s="446"/>
      <c r="I73" s="446"/>
      <c r="J73" s="447"/>
      <c r="K73" s="431"/>
      <c r="L73" s="431"/>
      <c r="M73" s="51"/>
      <c r="N73" s="442"/>
      <c r="O73" s="442"/>
      <c r="P73" s="443"/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5</v>
      </c>
      <c r="B74" s="440"/>
      <c r="C74" s="98"/>
      <c r="D74" s="167"/>
      <c r="E74" s="164"/>
      <c r="F74" s="445"/>
      <c r="G74" s="446"/>
      <c r="H74" s="446"/>
      <c r="I74" s="446"/>
      <c r="J74" s="447"/>
      <c r="K74" s="431"/>
      <c r="L74" s="431"/>
      <c r="M74" s="51"/>
      <c r="N74" s="442"/>
      <c r="O74" s="442"/>
      <c r="P74" s="443"/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6</v>
      </c>
      <c r="B75" s="440"/>
      <c r="C75" s="98"/>
      <c r="D75" s="167"/>
      <c r="E75" s="164"/>
      <c r="F75" s="445"/>
      <c r="G75" s="446"/>
      <c r="H75" s="446"/>
      <c r="I75" s="446"/>
      <c r="J75" s="447"/>
      <c r="K75" s="431"/>
      <c r="L75" s="431"/>
      <c r="M75" s="51"/>
      <c r="N75" s="442"/>
      <c r="O75" s="442"/>
      <c r="P75" s="443"/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7</v>
      </c>
      <c r="B76" s="440"/>
      <c r="C76" s="98"/>
      <c r="D76" s="167"/>
      <c r="E76" s="164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8</v>
      </c>
      <c r="B77" s="440"/>
      <c r="C77" s="98"/>
      <c r="D77" s="167"/>
      <c r="E77" s="164"/>
      <c r="F77" s="441"/>
      <c r="G77" s="431"/>
      <c r="H77" s="431"/>
      <c r="I77" s="431"/>
      <c r="J77" s="431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9</v>
      </c>
      <c r="B78" s="440"/>
      <c r="C78" s="98"/>
      <c r="D78" s="167"/>
      <c r="E78" s="164"/>
      <c r="F78" s="441"/>
      <c r="G78" s="431"/>
      <c r="H78" s="431"/>
      <c r="I78" s="431"/>
      <c r="J78" s="431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10</v>
      </c>
      <c r="B79" s="440"/>
      <c r="C79" s="98"/>
      <c r="D79" s="167"/>
      <c r="E79" s="164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6.25" customHeight="1" thickBot="1">
      <c r="A80" s="411" t="s">
        <v>298</v>
      </c>
      <c r="B80" s="411"/>
      <c r="C80" s="411"/>
      <c r="D80" s="411"/>
      <c r="E80" s="411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33" t="s">
        <v>111</v>
      </c>
      <c r="B81" s="434"/>
      <c r="C81" s="166" t="s">
        <v>2</v>
      </c>
      <c r="D81" s="166" t="s">
        <v>37</v>
      </c>
      <c r="E81" s="166" t="s">
        <v>120</v>
      </c>
      <c r="F81" s="413" t="s">
        <v>38</v>
      </c>
      <c r="G81" s="413"/>
      <c r="H81" s="413"/>
      <c r="I81" s="413"/>
      <c r="J81" s="413"/>
      <c r="K81" s="435" t="s">
        <v>58</v>
      </c>
      <c r="L81" s="436"/>
      <c r="M81" s="436"/>
      <c r="N81" s="436"/>
      <c r="O81" s="436"/>
      <c r="P81" s="436"/>
      <c r="Q81" s="436"/>
      <c r="R81" s="436"/>
      <c r="S81" s="437"/>
      <c r="T81" s="413" t="s">
        <v>49</v>
      </c>
      <c r="U81" s="413"/>
      <c r="V81" s="435" t="s">
        <v>50</v>
      </c>
      <c r="W81" s="437"/>
      <c r="X81" s="436" t="s">
        <v>51</v>
      </c>
      <c r="Y81" s="436"/>
      <c r="Z81" s="436"/>
      <c r="AA81" s="436"/>
      <c r="AB81" s="436"/>
      <c r="AC81" s="436"/>
      <c r="AD81" s="438"/>
      <c r="AF81" s="50"/>
    </row>
    <row r="82" spans="1:32" ht="33.75" customHeight="1">
      <c r="A82" s="405">
        <v>1</v>
      </c>
      <c r="B82" s="406"/>
      <c r="C82" s="168"/>
      <c r="D82" s="168"/>
      <c r="E82" s="65"/>
      <c r="F82" s="420"/>
      <c r="G82" s="421"/>
      <c r="H82" s="421"/>
      <c r="I82" s="421"/>
      <c r="J82" s="422"/>
      <c r="K82" s="423"/>
      <c r="L82" s="424"/>
      <c r="M82" s="424"/>
      <c r="N82" s="424"/>
      <c r="O82" s="424"/>
      <c r="P82" s="424"/>
      <c r="Q82" s="424"/>
      <c r="R82" s="424"/>
      <c r="S82" s="425"/>
      <c r="T82" s="426"/>
      <c r="U82" s="427"/>
      <c r="V82" s="428"/>
      <c r="W82" s="428"/>
      <c r="X82" s="429"/>
      <c r="Y82" s="429"/>
      <c r="Z82" s="429"/>
      <c r="AA82" s="429"/>
      <c r="AB82" s="429"/>
      <c r="AC82" s="429"/>
      <c r="AD82" s="430"/>
      <c r="AF82" s="50"/>
    </row>
    <row r="83" spans="1:32" ht="30" customHeight="1">
      <c r="A83" s="398">
        <f>A82+1</f>
        <v>2</v>
      </c>
      <c r="B83" s="399"/>
      <c r="C83" s="167"/>
      <c r="D83" s="167"/>
      <c r="E83" s="32"/>
      <c r="F83" s="399"/>
      <c r="G83" s="399"/>
      <c r="H83" s="399"/>
      <c r="I83" s="399"/>
      <c r="J83" s="399"/>
      <c r="K83" s="414"/>
      <c r="L83" s="415"/>
      <c r="M83" s="415"/>
      <c r="N83" s="415"/>
      <c r="O83" s="415"/>
      <c r="P83" s="415"/>
      <c r="Q83" s="415"/>
      <c r="R83" s="415"/>
      <c r="S83" s="416"/>
      <c r="T83" s="417"/>
      <c r="U83" s="417"/>
      <c r="V83" s="417"/>
      <c r="W83" s="417"/>
      <c r="X83" s="418"/>
      <c r="Y83" s="418"/>
      <c r="Z83" s="418"/>
      <c r="AA83" s="418"/>
      <c r="AB83" s="418"/>
      <c r="AC83" s="418"/>
      <c r="AD83" s="419"/>
      <c r="AF83" s="50"/>
    </row>
    <row r="84" spans="1:32" ht="30" customHeight="1">
      <c r="A84" s="398">
        <f t="shared" ref="A84:A88" si="12">A83+1</f>
        <v>3</v>
      </c>
      <c r="B84" s="399"/>
      <c r="C84" s="167"/>
      <c r="D84" s="167"/>
      <c r="E84" s="32"/>
      <c r="F84" s="399"/>
      <c r="G84" s="399"/>
      <c r="H84" s="399"/>
      <c r="I84" s="399"/>
      <c r="J84" s="399"/>
      <c r="K84" s="414"/>
      <c r="L84" s="415"/>
      <c r="M84" s="415"/>
      <c r="N84" s="415"/>
      <c r="O84" s="415"/>
      <c r="P84" s="415"/>
      <c r="Q84" s="415"/>
      <c r="R84" s="415"/>
      <c r="S84" s="416"/>
      <c r="T84" s="417"/>
      <c r="U84" s="417"/>
      <c r="V84" s="417"/>
      <c r="W84" s="417"/>
      <c r="X84" s="418"/>
      <c r="Y84" s="418"/>
      <c r="Z84" s="418"/>
      <c r="AA84" s="418"/>
      <c r="AB84" s="418"/>
      <c r="AC84" s="418"/>
      <c r="AD84" s="419"/>
      <c r="AF84" s="50"/>
    </row>
    <row r="85" spans="1:32" ht="30" customHeight="1">
      <c r="A85" s="398">
        <f t="shared" si="12"/>
        <v>4</v>
      </c>
      <c r="B85" s="399"/>
      <c r="C85" s="167"/>
      <c r="D85" s="167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si="12"/>
        <v>5</v>
      </c>
      <c r="B86" s="399"/>
      <c r="C86" s="167"/>
      <c r="D86" s="167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12"/>
        <v>6</v>
      </c>
      <c r="B87" s="399"/>
      <c r="C87" s="167"/>
      <c r="D87" s="167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2"/>
        <v>7</v>
      </c>
      <c r="B88" s="399"/>
      <c r="C88" s="167"/>
      <c r="D88" s="167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6" thickBot="1">
      <c r="A89" s="411" t="s">
        <v>299</v>
      </c>
      <c r="B89" s="411"/>
      <c r="C89" s="411"/>
      <c r="D89" s="411"/>
      <c r="E89" s="411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12" t="s">
        <v>111</v>
      </c>
      <c r="B90" s="413"/>
      <c r="C90" s="403" t="s">
        <v>52</v>
      </c>
      <c r="D90" s="403"/>
      <c r="E90" s="403" t="s">
        <v>53</v>
      </c>
      <c r="F90" s="403"/>
      <c r="G90" s="403"/>
      <c r="H90" s="403"/>
      <c r="I90" s="403"/>
      <c r="J90" s="403"/>
      <c r="K90" s="403" t="s">
        <v>54</v>
      </c>
      <c r="L90" s="403"/>
      <c r="M90" s="403"/>
      <c r="N90" s="403"/>
      <c r="O90" s="403"/>
      <c r="P90" s="403"/>
      <c r="Q90" s="403"/>
      <c r="R90" s="403"/>
      <c r="S90" s="403"/>
      <c r="T90" s="403" t="s">
        <v>55</v>
      </c>
      <c r="U90" s="403"/>
      <c r="V90" s="403" t="s">
        <v>56</v>
      </c>
      <c r="W90" s="403"/>
      <c r="X90" s="403"/>
      <c r="Y90" s="403" t="s">
        <v>51</v>
      </c>
      <c r="Z90" s="403"/>
      <c r="AA90" s="403"/>
      <c r="AB90" s="403"/>
      <c r="AC90" s="403"/>
      <c r="AD90" s="404"/>
      <c r="AF90" s="50"/>
    </row>
    <row r="91" spans="1:32" ht="30.75" customHeight="1">
      <c r="A91" s="405">
        <v>1</v>
      </c>
      <c r="B91" s="406"/>
      <c r="C91" s="407"/>
      <c r="D91" s="407"/>
      <c r="E91" s="407"/>
      <c r="F91" s="407"/>
      <c r="G91" s="407"/>
      <c r="H91" s="407"/>
      <c r="I91" s="407"/>
      <c r="J91" s="407"/>
      <c r="K91" s="407"/>
      <c r="L91" s="407"/>
      <c r="M91" s="407"/>
      <c r="N91" s="407"/>
      <c r="O91" s="407"/>
      <c r="P91" s="407"/>
      <c r="Q91" s="407"/>
      <c r="R91" s="407"/>
      <c r="S91" s="407"/>
      <c r="T91" s="407"/>
      <c r="U91" s="407"/>
      <c r="V91" s="408"/>
      <c r="W91" s="408"/>
      <c r="X91" s="408"/>
      <c r="Y91" s="409"/>
      <c r="Z91" s="409"/>
      <c r="AA91" s="409"/>
      <c r="AB91" s="409"/>
      <c r="AC91" s="409"/>
      <c r="AD91" s="410"/>
      <c r="AF91" s="50"/>
    </row>
    <row r="92" spans="1:32" ht="30.75" customHeight="1">
      <c r="A92" s="398">
        <v>2</v>
      </c>
      <c r="B92" s="399"/>
      <c r="C92" s="400"/>
      <c r="D92" s="400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1"/>
      <c r="U92" s="401"/>
      <c r="V92" s="402"/>
      <c r="W92" s="402"/>
      <c r="X92" s="402"/>
      <c r="Y92" s="390"/>
      <c r="Z92" s="390"/>
      <c r="AA92" s="390"/>
      <c r="AB92" s="390"/>
      <c r="AC92" s="390"/>
      <c r="AD92" s="391"/>
      <c r="AF92" s="50"/>
    </row>
    <row r="93" spans="1:32" ht="30.75" customHeight="1" thickBot="1">
      <c r="A93" s="392">
        <v>3</v>
      </c>
      <c r="B93" s="393"/>
      <c r="C93" s="394"/>
      <c r="D93" s="394"/>
      <c r="E93" s="394"/>
      <c r="F93" s="394"/>
      <c r="G93" s="394"/>
      <c r="H93" s="394"/>
      <c r="I93" s="394"/>
      <c r="J93" s="394"/>
      <c r="K93" s="394"/>
      <c r="L93" s="394"/>
      <c r="M93" s="394"/>
      <c r="N93" s="394"/>
      <c r="O93" s="394"/>
      <c r="P93" s="394"/>
      <c r="Q93" s="394"/>
      <c r="R93" s="394"/>
      <c r="S93" s="394"/>
      <c r="T93" s="394"/>
      <c r="U93" s="394"/>
      <c r="V93" s="395"/>
      <c r="W93" s="395"/>
      <c r="X93" s="395"/>
      <c r="Y93" s="396"/>
      <c r="Z93" s="396"/>
      <c r="AA93" s="396"/>
      <c r="AB93" s="396"/>
      <c r="AC93" s="396"/>
      <c r="AD93" s="397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A8D7-74E1-423D-B2A3-1DE891D017F3}">
  <sheetPr codeName="Sheet6">
    <pageSetUpPr fitToPage="1"/>
  </sheetPr>
  <dimension ref="A1:AF95"/>
  <sheetViews>
    <sheetView view="pageBreakPreview" topLeftCell="A4" zoomScale="70" zoomScaleNormal="72" zoomScaleSheetLayoutView="70" workbookViewId="0">
      <selection activeCell="A92" sqref="A92:B9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300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181" t="s">
        <v>17</v>
      </c>
      <c r="L5" s="181" t="s">
        <v>18</v>
      </c>
      <c r="M5" s="181" t="s">
        <v>19</v>
      </c>
      <c r="N5" s="18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10312</v>
      </c>
      <c r="K6" s="15">
        <f>L6+5046+2812+7738+10312</f>
        <v>25908</v>
      </c>
      <c r="L6" s="15"/>
      <c r="M6" s="15">
        <f t="shared" ref="M6:M29" si="0">L6-N6</f>
        <v>0</v>
      </c>
      <c r="N6" s="15">
        <v>0</v>
      </c>
      <c r="O6" s="58" t="str">
        <f t="shared" ref="O6:O30" si="1">IF(L6=0,"0",N6/L6)</f>
        <v>0</v>
      </c>
      <c r="P6" s="39" t="str">
        <f t="shared" ref="P6:P29" si="2">IF(L6=0,"0",(24-Q6))</f>
        <v>0</v>
      </c>
      <c r="Q6" s="40">
        <f t="shared" ref="Q6:Q29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0</v>
      </c>
      <c r="AC6" s="9">
        <f t="shared" ref="AC6:AC29" si="5">IF(P6=0,"0",(P6/24))</f>
        <v>0</v>
      </c>
      <c r="AD6" s="10">
        <f>AC6*AB6*(1-O6)</f>
        <v>0</v>
      </c>
      <c r="AE6" s="36">
        <f t="shared" ref="AE6:AE29" si="6">$AD$30</f>
        <v>0.4045138888888889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138</v>
      </c>
      <c r="E7" s="53" t="s">
        <v>161</v>
      </c>
      <c r="F7" s="30" t="s">
        <v>137</v>
      </c>
      <c r="G7" s="12">
        <v>1</v>
      </c>
      <c r="H7" s="13">
        <v>24</v>
      </c>
      <c r="I7" s="31">
        <v>55000</v>
      </c>
      <c r="J7" s="14">
        <v>6023</v>
      </c>
      <c r="K7" s="15">
        <f>L7+4962+5479+5974+5609+6074+5975+6110+5789+6131</f>
        <v>58126</v>
      </c>
      <c r="L7" s="15">
        <f>3020+3003</f>
        <v>6023</v>
      </c>
      <c r="M7" s="15">
        <f t="shared" si="0"/>
        <v>6023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9" si="8">AC7*AB7*(1-O7)</f>
        <v>1</v>
      </c>
      <c r="AE7" s="36">
        <f t="shared" si="6"/>
        <v>0.4045138888888889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126</v>
      </c>
      <c r="D8" s="52" t="s">
        <v>115</v>
      </c>
      <c r="E8" s="53" t="s">
        <v>266</v>
      </c>
      <c r="F8" s="30" t="s">
        <v>267</v>
      </c>
      <c r="G8" s="12">
        <v>1</v>
      </c>
      <c r="H8" s="13">
        <v>22</v>
      </c>
      <c r="I8" s="31">
        <v>4000</v>
      </c>
      <c r="J8" s="5">
        <v>2482</v>
      </c>
      <c r="K8" s="15">
        <f>L8</f>
        <v>2482</v>
      </c>
      <c r="L8" s="15">
        <f>1580+902</f>
        <v>2482</v>
      </c>
      <c r="M8" s="15">
        <f t="shared" si="0"/>
        <v>2482</v>
      </c>
      <c r="N8" s="15">
        <v>0</v>
      </c>
      <c r="O8" s="58">
        <f t="shared" si="1"/>
        <v>0</v>
      </c>
      <c r="P8" s="39">
        <f t="shared" si="2"/>
        <v>13</v>
      </c>
      <c r="Q8" s="40">
        <f t="shared" si="3"/>
        <v>11</v>
      </c>
      <c r="R8" s="7"/>
      <c r="S8" s="6">
        <v>11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0.54166666666666663</v>
      </c>
      <c r="AD8" s="10">
        <f t="shared" si="8"/>
        <v>0.54166666666666663</v>
      </c>
      <c r="AE8" s="36">
        <f t="shared" si="6"/>
        <v>0.4045138888888889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257</v>
      </c>
      <c r="F9" s="30" t="s">
        <v>122</v>
      </c>
      <c r="G9" s="12">
        <v>1</v>
      </c>
      <c r="H9" s="13">
        <v>24</v>
      </c>
      <c r="I9" s="7">
        <v>50000</v>
      </c>
      <c r="J9" s="14">
        <v>5754</v>
      </c>
      <c r="K9" s="15">
        <f>L9+5224</f>
        <v>10978</v>
      </c>
      <c r="L9" s="15">
        <f>2930+2824</f>
        <v>5754</v>
      </c>
      <c r="M9" s="15">
        <f t="shared" si="0"/>
        <v>5754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0.4045138888888889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1897</v>
      </c>
      <c r="K10" s="15">
        <f>L10+5338+5669+5744+4980+3619+1932+309+2790+5660+4715+1739+3127+5884+1203+3638+5732+5658+5217+2430</f>
        <v>77281</v>
      </c>
      <c r="L10" s="15">
        <f>1897</f>
        <v>1897</v>
      </c>
      <c r="M10" s="15">
        <f t="shared" si="0"/>
        <v>1897</v>
      </c>
      <c r="N10" s="15">
        <v>0</v>
      </c>
      <c r="O10" s="58">
        <f t="shared" si="1"/>
        <v>0</v>
      </c>
      <c r="P10" s="39">
        <f t="shared" si="2"/>
        <v>10</v>
      </c>
      <c r="Q10" s="40">
        <f t="shared" si="3"/>
        <v>14</v>
      </c>
      <c r="R10" s="7"/>
      <c r="S10" s="6">
        <v>14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0.41666666666666669</v>
      </c>
      <c r="AD10" s="10">
        <f t="shared" si="8"/>
        <v>0.41666666666666669</v>
      </c>
      <c r="AE10" s="36">
        <f t="shared" si="6"/>
        <v>0.4045138888888889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126</v>
      </c>
      <c r="D11" s="52" t="s">
        <v>301</v>
      </c>
      <c r="E11" s="53" t="s">
        <v>285</v>
      </c>
      <c r="F11" s="30" t="s">
        <v>273</v>
      </c>
      <c r="G11" s="33" t="s">
        <v>302</v>
      </c>
      <c r="H11" s="35">
        <v>24</v>
      </c>
      <c r="I11" s="7">
        <v>1500</v>
      </c>
      <c r="J11" s="14">
        <v>1822</v>
      </c>
      <c r="K11" s="15">
        <f>L11</f>
        <v>1822</v>
      </c>
      <c r="L11" s="15">
        <f>1822</f>
        <v>1822</v>
      </c>
      <c r="M11" s="15">
        <f t="shared" ref="M11" si="9">L11-N11</f>
        <v>1822</v>
      </c>
      <c r="N11" s="15">
        <v>0</v>
      </c>
      <c r="O11" s="58">
        <f t="shared" ref="O11" si="10">IF(L11=0,"0",N11/L11)</f>
        <v>0</v>
      </c>
      <c r="P11" s="39">
        <f t="shared" ref="P11" si="11">IF(L11=0,"0",(24-Q11))</f>
        <v>9</v>
      </c>
      <c r="Q11" s="40">
        <f t="shared" ref="Q11" si="12">SUM(R11:AA11)</f>
        <v>15</v>
      </c>
      <c r="R11" s="7"/>
      <c r="S11" s="6"/>
      <c r="T11" s="16"/>
      <c r="U11" s="16"/>
      <c r="V11" s="17"/>
      <c r="W11" s="5">
        <v>15</v>
      </c>
      <c r="X11" s="16"/>
      <c r="Y11" s="16"/>
      <c r="Z11" s="16"/>
      <c r="AA11" s="18"/>
      <c r="AB11" s="8">
        <f t="shared" ref="AB11" si="13">IF(J11=0,"0",(L11/J11))</f>
        <v>1</v>
      </c>
      <c r="AC11" s="9">
        <f t="shared" ref="AC11" si="14">IF(P11=0,"0",(P11/24))</f>
        <v>0.375</v>
      </c>
      <c r="AD11" s="10">
        <f t="shared" ref="AD11" si="15">AC11*AB11*(1-O11)</f>
        <v>0.375</v>
      </c>
      <c r="AE11" s="36">
        <f t="shared" si="6"/>
        <v>0.4045138888888889</v>
      </c>
      <c r="AF11" s="81">
        <f t="shared" ref="AF11" si="16">A11</f>
        <v>6</v>
      </c>
    </row>
    <row r="12" spans="1:32" ht="27" customHeight="1">
      <c r="A12" s="92">
        <v>6</v>
      </c>
      <c r="B12" s="11" t="s">
        <v>57</v>
      </c>
      <c r="C12" s="11" t="s">
        <v>112</v>
      </c>
      <c r="D12" s="52" t="s">
        <v>121</v>
      </c>
      <c r="E12" s="53" t="s">
        <v>303</v>
      </c>
      <c r="F12" s="30" t="s">
        <v>235</v>
      </c>
      <c r="G12" s="33">
        <v>2</v>
      </c>
      <c r="H12" s="35">
        <v>24</v>
      </c>
      <c r="I12" s="7">
        <v>5000</v>
      </c>
      <c r="J12" s="14">
        <v>5648</v>
      </c>
      <c r="K12" s="15">
        <f>L12</f>
        <v>5648</v>
      </c>
      <c r="L12" s="15">
        <f>383*2+2441*2</f>
        <v>5648</v>
      </c>
      <c r="M12" s="15">
        <f t="shared" si="0"/>
        <v>5648</v>
      </c>
      <c r="N12" s="15">
        <v>0</v>
      </c>
      <c r="O12" s="58">
        <f t="shared" si="1"/>
        <v>0</v>
      </c>
      <c r="P12" s="39">
        <f t="shared" si="2"/>
        <v>13</v>
      </c>
      <c r="Q12" s="40">
        <f t="shared" si="3"/>
        <v>11</v>
      </c>
      <c r="R12" s="7"/>
      <c r="S12" s="6"/>
      <c r="T12" s="16">
        <v>11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0.54166666666666663</v>
      </c>
      <c r="AD12" s="10">
        <f t="shared" si="8"/>
        <v>0.54166666666666663</v>
      </c>
      <c r="AE12" s="36">
        <f t="shared" si="6"/>
        <v>0.4045138888888889</v>
      </c>
      <c r="AF12" s="81">
        <f t="shared" si="7"/>
        <v>6</v>
      </c>
    </row>
    <row r="13" spans="1:32" ht="27" customHeight="1">
      <c r="A13" s="92">
        <v>7</v>
      </c>
      <c r="B13" s="11" t="s">
        <v>57</v>
      </c>
      <c r="C13" s="34" t="s">
        <v>116</v>
      </c>
      <c r="D13" s="52" t="s">
        <v>115</v>
      </c>
      <c r="E13" s="53" t="s">
        <v>222</v>
      </c>
      <c r="F13" s="30" t="s">
        <v>205</v>
      </c>
      <c r="G13" s="12">
        <v>1</v>
      </c>
      <c r="H13" s="13">
        <v>22</v>
      </c>
      <c r="I13" s="31">
        <v>32000</v>
      </c>
      <c r="J13" s="5">
        <v>5028</v>
      </c>
      <c r="K13" s="15">
        <f>L13+3264+4993</f>
        <v>13285</v>
      </c>
      <c r="L13" s="15">
        <f>2556+2472</f>
        <v>5028</v>
      </c>
      <c r="M13" s="15">
        <f t="shared" si="0"/>
        <v>5028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0.4045138888888889</v>
      </c>
      <c r="AF13" s="81">
        <f t="shared" si="7"/>
        <v>7</v>
      </c>
    </row>
    <row r="14" spans="1:32" ht="27" customHeight="1">
      <c r="A14" s="92">
        <v>8</v>
      </c>
      <c r="B14" s="11" t="s">
        <v>57</v>
      </c>
      <c r="C14" s="11" t="s">
        <v>126</v>
      </c>
      <c r="D14" s="52"/>
      <c r="E14" s="53" t="s">
        <v>304</v>
      </c>
      <c r="F14" s="30" t="s">
        <v>122</v>
      </c>
      <c r="G14" s="33">
        <v>1</v>
      </c>
      <c r="H14" s="35">
        <v>22</v>
      </c>
      <c r="I14" s="7">
        <v>12000</v>
      </c>
      <c r="J14" s="14">
        <v>3619</v>
      </c>
      <c r="K14" s="15">
        <f>L14</f>
        <v>3619</v>
      </c>
      <c r="L14" s="15">
        <f>1427+2192</f>
        <v>3619</v>
      </c>
      <c r="M14" s="15">
        <f t="shared" si="0"/>
        <v>3619</v>
      </c>
      <c r="N14" s="15">
        <v>0</v>
      </c>
      <c r="O14" s="58">
        <f t="shared" si="1"/>
        <v>0</v>
      </c>
      <c r="P14" s="39">
        <f t="shared" si="2"/>
        <v>19</v>
      </c>
      <c r="Q14" s="40">
        <f t="shared" si="3"/>
        <v>5</v>
      </c>
      <c r="R14" s="7"/>
      <c r="S14" s="6">
        <v>5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0.79166666666666663</v>
      </c>
      <c r="AD14" s="10">
        <f t="shared" si="8"/>
        <v>0.79166666666666663</v>
      </c>
      <c r="AE14" s="36">
        <f t="shared" si="6"/>
        <v>0.4045138888888889</v>
      </c>
      <c r="AF14" s="81">
        <f t="shared" si="7"/>
        <v>8</v>
      </c>
    </row>
    <row r="15" spans="1:32" ht="27" customHeight="1">
      <c r="A15" s="99">
        <v>9</v>
      </c>
      <c r="B15" s="11" t="s">
        <v>57</v>
      </c>
      <c r="C15" s="34" t="s">
        <v>112</v>
      </c>
      <c r="D15" s="52" t="s">
        <v>115</v>
      </c>
      <c r="E15" s="53" t="s">
        <v>263</v>
      </c>
      <c r="F15" s="30" t="s">
        <v>305</v>
      </c>
      <c r="G15" s="33">
        <v>1</v>
      </c>
      <c r="H15" s="35">
        <v>50</v>
      </c>
      <c r="I15" s="7">
        <v>200</v>
      </c>
      <c r="J15" s="5">
        <v>646</v>
      </c>
      <c r="K15" s="15">
        <f>L15</f>
        <v>646</v>
      </c>
      <c r="L15" s="15">
        <f>646</f>
        <v>646</v>
      </c>
      <c r="M15" s="15">
        <f t="shared" ref="M15" si="17">L15-N15</f>
        <v>646</v>
      </c>
      <c r="N15" s="15">
        <v>0</v>
      </c>
      <c r="O15" s="58">
        <f t="shared" ref="O15" si="18">IF(L15=0,"0",N15/L15)</f>
        <v>0</v>
      </c>
      <c r="P15" s="39">
        <f t="shared" ref="P15" si="19">IF(L15=0,"0",(24-Q15))</f>
        <v>10</v>
      </c>
      <c r="Q15" s="40">
        <f t="shared" ref="Q15" si="20">SUM(R15:AA15)</f>
        <v>14</v>
      </c>
      <c r="R15" s="7"/>
      <c r="S15" s="6"/>
      <c r="T15" s="16"/>
      <c r="U15" s="16"/>
      <c r="V15" s="17"/>
      <c r="W15" s="5">
        <v>14</v>
      </c>
      <c r="X15" s="16"/>
      <c r="Y15" s="16"/>
      <c r="Z15" s="16"/>
      <c r="AA15" s="18"/>
      <c r="AB15" s="8">
        <f t="shared" ref="AB15" si="21">IF(J15=0,"0",(L15/J15))</f>
        <v>1</v>
      </c>
      <c r="AC15" s="9">
        <f t="shared" ref="AC15" si="22">IF(P15=0,"0",(P15/24))</f>
        <v>0.41666666666666669</v>
      </c>
      <c r="AD15" s="10">
        <f t="shared" ref="AD15" si="23">AC15*AB15*(1-O15)</f>
        <v>0.41666666666666669</v>
      </c>
      <c r="AE15" s="36">
        <f t="shared" si="6"/>
        <v>0.4045138888888889</v>
      </c>
      <c r="AF15" s="81">
        <f t="shared" ref="AF15" si="24">A15</f>
        <v>9</v>
      </c>
    </row>
    <row r="16" spans="1:32" ht="27" customHeight="1">
      <c r="A16" s="99">
        <v>9</v>
      </c>
      <c r="B16" s="11" t="s">
        <v>57</v>
      </c>
      <c r="C16" s="34" t="s">
        <v>112</v>
      </c>
      <c r="D16" s="52" t="s">
        <v>115</v>
      </c>
      <c r="E16" s="53" t="s">
        <v>306</v>
      </c>
      <c r="F16" s="30" t="s">
        <v>305</v>
      </c>
      <c r="G16" s="33">
        <v>1</v>
      </c>
      <c r="H16" s="35">
        <v>50</v>
      </c>
      <c r="I16" s="7">
        <v>200</v>
      </c>
      <c r="J16" s="5">
        <v>686</v>
      </c>
      <c r="K16" s="15">
        <f>L16+208+712</f>
        <v>1606</v>
      </c>
      <c r="L16" s="15">
        <f>537+149</f>
        <v>686</v>
      </c>
      <c r="M16" s="15">
        <f t="shared" si="0"/>
        <v>686</v>
      </c>
      <c r="N16" s="15">
        <v>0</v>
      </c>
      <c r="O16" s="58">
        <f t="shared" si="1"/>
        <v>0</v>
      </c>
      <c r="P16" s="39">
        <f t="shared" si="2"/>
        <v>10</v>
      </c>
      <c r="Q16" s="40">
        <f t="shared" si="3"/>
        <v>14</v>
      </c>
      <c r="R16" s="7"/>
      <c r="S16" s="6"/>
      <c r="T16" s="16"/>
      <c r="U16" s="16"/>
      <c r="V16" s="17"/>
      <c r="W16" s="5">
        <v>14</v>
      </c>
      <c r="X16" s="16"/>
      <c r="Y16" s="16"/>
      <c r="Z16" s="16"/>
      <c r="AA16" s="18"/>
      <c r="AB16" s="8">
        <f t="shared" si="4"/>
        <v>1</v>
      </c>
      <c r="AC16" s="9">
        <f t="shared" si="5"/>
        <v>0.41666666666666669</v>
      </c>
      <c r="AD16" s="10">
        <f t="shared" si="8"/>
        <v>0.41666666666666669</v>
      </c>
      <c r="AE16" s="36">
        <f t="shared" si="6"/>
        <v>0.4045138888888889</v>
      </c>
      <c r="AF16" s="81">
        <f t="shared" si="7"/>
        <v>9</v>
      </c>
    </row>
    <row r="17" spans="1:32" ht="27" customHeight="1">
      <c r="A17" s="106">
        <v>10</v>
      </c>
      <c r="B17" s="11" t="s">
        <v>57</v>
      </c>
      <c r="C17" s="34" t="s">
        <v>163</v>
      </c>
      <c r="D17" s="52" t="s">
        <v>138</v>
      </c>
      <c r="E17" s="53" t="s">
        <v>179</v>
      </c>
      <c r="F17" s="30" t="s">
        <v>137</v>
      </c>
      <c r="G17" s="12">
        <v>1</v>
      </c>
      <c r="H17" s="13">
        <v>24</v>
      </c>
      <c r="I17" s="31">
        <v>10000</v>
      </c>
      <c r="J17" s="14">
        <v>5209</v>
      </c>
      <c r="K17" s="15">
        <f>L17+5812+5209</f>
        <v>11021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0.4045138888888889</v>
      </c>
      <c r="AF17" s="81">
        <f t="shared" si="7"/>
        <v>10</v>
      </c>
    </row>
    <row r="18" spans="1:32" ht="27" customHeight="1">
      <c r="A18" s="92">
        <v>11</v>
      </c>
      <c r="B18" s="11" t="s">
        <v>57</v>
      </c>
      <c r="C18" s="34" t="s">
        <v>112</v>
      </c>
      <c r="D18" s="52" t="s">
        <v>159</v>
      </c>
      <c r="E18" s="53" t="s">
        <v>234</v>
      </c>
      <c r="F18" s="30" t="s">
        <v>235</v>
      </c>
      <c r="G18" s="12">
        <v>1</v>
      </c>
      <c r="H18" s="13">
        <v>22</v>
      </c>
      <c r="I18" s="31">
        <v>30000</v>
      </c>
      <c r="J18" s="5">
        <v>10898</v>
      </c>
      <c r="K18" s="15">
        <f>L18+5720+10986</f>
        <v>27604</v>
      </c>
      <c r="L18" s="15">
        <f>2773*2+2676*2</f>
        <v>10898</v>
      </c>
      <c r="M18" s="15">
        <f t="shared" si="0"/>
        <v>10898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0.4045138888888889</v>
      </c>
      <c r="AF18" s="81">
        <f t="shared" si="7"/>
        <v>11</v>
      </c>
    </row>
    <row r="19" spans="1:32" ht="27" customHeight="1">
      <c r="A19" s="106">
        <v>12</v>
      </c>
      <c r="B19" s="11" t="s">
        <v>57</v>
      </c>
      <c r="C19" s="34" t="s">
        <v>126</v>
      </c>
      <c r="D19" s="52" t="s">
        <v>236</v>
      </c>
      <c r="E19" s="53" t="s">
        <v>237</v>
      </c>
      <c r="F19" s="30" t="s">
        <v>213</v>
      </c>
      <c r="G19" s="12">
        <v>1</v>
      </c>
      <c r="H19" s="13">
        <v>24</v>
      </c>
      <c r="I19" s="7">
        <v>1000</v>
      </c>
      <c r="J19" s="14">
        <v>3627</v>
      </c>
      <c r="K19" s="15">
        <f>L19+3627</f>
        <v>3627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0.4045138888888889</v>
      </c>
      <c r="AF19" s="81">
        <f t="shared" si="7"/>
        <v>12</v>
      </c>
    </row>
    <row r="20" spans="1:32" ht="27" customHeight="1">
      <c r="A20" s="92">
        <v>13</v>
      </c>
      <c r="B20" s="11" t="s">
        <v>57</v>
      </c>
      <c r="C20" s="34" t="s">
        <v>116</v>
      </c>
      <c r="D20" s="52" t="s">
        <v>115</v>
      </c>
      <c r="E20" s="53" t="s">
        <v>172</v>
      </c>
      <c r="F20" s="30" t="s">
        <v>136</v>
      </c>
      <c r="G20" s="12">
        <v>1</v>
      </c>
      <c r="H20" s="13">
        <v>22</v>
      </c>
      <c r="I20" s="31">
        <v>17000</v>
      </c>
      <c r="J20" s="5">
        <v>2337</v>
      </c>
      <c r="K20" s="15">
        <f>L20+1550+666+3747+2255+3128+450+1534</f>
        <v>15667</v>
      </c>
      <c r="L20" s="15">
        <f>1136+1201</f>
        <v>2337</v>
      </c>
      <c r="M20" s="15">
        <f t="shared" si="0"/>
        <v>2337</v>
      </c>
      <c r="N20" s="15">
        <v>0</v>
      </c>
      <c r="O20" s="58">
        <f t="shared" si="1"/>
        <v>0</v>
      </c>
      <c r="P20" s="39">
        <f t="shared" si="2"/>
        <v>12</v>
      </c>
      <c r="Q20" s="40">
        <f t="shared" si="3"/>
        <v>12</v>
      </c>
      <c r="R20" s="7"/>
      <c r="S20" s="6">
        <v>12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</v>
      </c>
      <c r="AD20" s="10">
        <f t="shared" si="8"/>
        <v>0.5</v>
      </c>
      <c r="AE20" s="36">
        <f t="shared" si="6"/>
        <v>0.4045138888888889</v>
      </c>
      <c r="AF20" s="81">
        <f t="shared" si="7"/>
        <v>13</v>
      </c>
    </row>
    <row r="21" spans="1:32" ht="27" customHeight="1">
      <c r="A21" s="92">
        <v>14</v>
      </c>
      <c r="B21" s="11" t="s">
        <v>57</v>
      </c>
      <c r="C21" s="11" t="s">
        <v>112</v>
      </c>
      <c r="D21" s="52" t="s">
        <v>159</v>
      </c>
      <c r="E21" s="53" t="s">
        <v>173</v>
      </c>
      <c r="F21" s="30" t="s">
        <v>123</v>
      </c>
      <c r="G21" s="33">
        <v>1</v>
      </c>
      <c r="H21" s="35">
        <v>24</v>
      </c>
      <c r="I21" s="7">
        <v>35000</v>
      </c>
      <c r="J21" s="14">
        <v>5544</v>
      </c>
      <c r="K21" s="15">
        <f>L21+2187+4152+5440+5251+5627</f>
        <v>28201</v>
      </c>
      <c r="L21" s="15">
        <f>2796+2748</f>
        <v>5544</v>
      </c>
      <c r="M21" s="15">
        <f t="shared" si="0"/>
        <v>5544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0.4045138888888889</v>
      </c>
      <c r="AF21" s="81">
        <f t="shared" si="7"/>
        <v>14</v>
      </c>
    </row>
    <row r="22" spans="1:32" ht="27" customHeight="1">
      <c r="A22" s="106">
        <v>15</v>
      </c>
      <c r="B22" s="11" t="s">
        <v>57</v>
      </c>
      <c r="C22" s="11" t="s">
        <v>126</v>
      </c>
      <c r="D22" s="52" t="s">
        <v>115</v>
      </c>
      <c r="E22" s="53" t="s">
        <v>307</v>
      </c>
      <c r="F22" s="30" t="s">
        <v>136</v>
      </c>
      <c r="G22" s="33">
        <v>1</v>
      </c>
      <c r="H22" s="35">
        <v>24</v>
      </c>
      <c r="I22" s="7">
        <v>50000</v>
      </c>
      <c r="J22" s="14">
        <v>3526</v>
      </c>
      <c r="K22" s="15">
        <f>L22</f>
        <v>3526</v>
      </c>
      <c r="L22" s="15">
        <f>2821+705</f>
        <v>3526</v>
      </c>
      <c r="M22" s="15">
        <f t="shared" si="0"/>
        <v>3526</v>
      </c>
      <c r="N22" s="15">
        <v>0</v>
      </c>
      <c r="O22" s="58">
        <f t="shared" si="1"/>
        <v>0</v>
      </c>
      <c r="P22" s="39">
        <f t="shared" si="2"/>
        <v>17</v>
      </c>
      <c r="Q22" s="40">
        <f t="shared" si="3"/>
        <v>7</v>
      </c>
      <c r="R22" s="7"/>
      <c r="S22" s="6"/>
      <c r="T22" s="16">
        <v>7</v>
      </c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0.70833333333333337</v>
      </c>
      <c r="AD22" s="10">
        <f t="shared" si="8"/>
        <v>0.70833333333333337</v>
      </c>
      <c r="AE22" s="36">
        <f t="shared" si="6"/>
        <v>0.4045138888888889</v>
      </c>
      <c r="AF22" s="81">
        <f t="shared" si="7"/>
        <v>15</v>
      </c>
    </row>
    <row r="23" spans="1:32" ht="26.25" customHeight="1">
      <c r="A23" s="92">
        <v>16</v>
      </c>
      <c r="B23" s="11" t="s">
        <v>57</v>
      </c>
      <c r="C23" s="11" t="s">
        <v>113</v>
      </c>
      <c r="D23" s="52"/>
      <c r="E23" s="53" t="s">
        <v>146</v>
      </c>
      <c r="F23" s="12" t="s">
        <v>114</v>
      </c>
      <c r="G23" s="12">
        <v>4</v>
      </c>
      <c r="H23" s="35">
        <v>20</v>
      </c>
      <c r="I23" s="7">
        <v>2000000</v>
      </c>
      <c r="J23" s="14">
        <v>30464</v>
      </c>
      <c r="K23" s="15">
        <f>L23+29876+62940+54476+54396+57856+63452+64136+60836+58660+62760+62928+64084+55912+44824+63988+40136+63248+64592+30464</f>
        <v>1059564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0.4045138888888889</v>
      </c>
      <c r="AF23" s="81">
        <f t="shared" si="7"/>
        <v>16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149</v>
      </c>
      <c r="F24" s="12" t="s">
        <v>136</v>
      </c>
      <c r="G24" s="12">
        <v>4</v>
      </c>
      <c r="H24" s="35">
        <v>20</v>
      </c>
      <c r="I24" s="7">
        <v>70000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0.4045138888888889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/>
      <c r="D25" s="52"/>
      <c r="E25" s="53"/>
      <c r="F25" s="12"/>
      <c r="G25" s="12"/>
      <c r="H25" s="35">
        <v>20</v>
      </c>
      <c r="I25" s="7"/>
      <c r="J25" s="14">
        <v>0</v>
      </c>
      <c r="K25" s="15">
        <f t="shared" ref="K25" si="25">L25</f>
        <v>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 t="str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0.4045138888888889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142</v>
      </c>
      <c r="E26" s="53" t="s">
        <v>151</v>
      </c>
      <c r="F26" s="12" t="s">
        <v>123</v>
      </c>
      <c r="G26" s="12">
        <v>3</v>
      </c>
      <c r="H26" s="35">
        <v>20</v>
      </c>
      <c r="I26" s="7">
        <v>70000</v>
      </c>
      <c r="J26" s="14">
        <v>22300</v>
      </c>
      <c r="K26" s="15">
        <f>L26</f>
        <v>0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0.4045138888888889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127</v>
      </c>
      <c r="E27" s="53" t="s">
        <v>148</v>
      </c>
      <c r="F27" s="12" t="s">
        <v>124</v>
      </c>
      <c r="G27" s="12">
        <v>4</v>
      </c>
      <c r="H27" s="35">
        <v>20</v>
      </c>
      <c r="I27" s="7">
        <v>50000</v>
      </c>
      <c r="J27" s="14">
        <v>26548</v>
      </c>
      <c r="K27" s="15">
        <f>L27+15172+24432+25280+26548</f>
        <v>91432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0.4045138888888889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125</v>
      </c>
      <c r="F28" s="12" t="s">
        <v>124</v>
      </c>
      <c r="G28" s="12">
        <v>4</v>
      </c>
      <c r="H28" s="35">
        <v>20</v>
      </c>
      <c r="I28" s="7">
        <v>50000</v>
      </c>
      <c r="J28" s="14">
        <v>26944</v>
      </c>
      <c r="K28" s="15">
        <f>L28+24592+26944+21716</f>
        <v>73252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0.4045138888888889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150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0.4045138888888889</v>
      </c>
      <c r="AF29" s="81">
        <f t="shared" si="7"/>
        <v>36</v>
      </c>
    </row>
    <row r="30" spans="1:32" ht="19.5" thickBot="1">
      <c r="A30" s="478" t="s">
        <v>34</v>
      </c>
      <c r="B30" s="479"/>
      <c r="C30" s="479"/>
      <c r="D30" s="479"/>
      <c r="E30" s="479"/>
      <c r="F30" s="479"/>
      <c r="G30" s="479"/>
      <c r="H30" s="480"/>
      <c r="I30" s="22">
        <f t="shared" ref="I30:N30" si="26">SUM(I6:I29)</f>
        <v>3677900</v>
      </c>
      <c r="J30" s="19">
        <f t="shared" si="26"/>
        <v>282942</v>
      </c>
      <c r="K30" s="20">
        <f t="shared" si="26"/>
        <v>2223839</v>
      </c>
      <c r="L30" s="21">
        <f t="shared" si="26"/>
        <v>55910</v>
      </c>
      <c r="M30" s="20">
        <f t="shared" si="26"/>
        <v>55910</v>
      </c>
      <c r="N30" s="21">
        <f t="shared" si="26"/>
        <v>0</v>
      </c>
      <c r="O30" s="41">
        <f t="shared" si="1"/>
        <v>0</v>
      </c>
      <c r="P30" s="42">
        <f t="shared" ref="P30:AA30" si="27">SUM(P6:P29)</f>
        <v>233</v>
      </c>
      <c r="Q30" s="43">
        <f t="shared" si="27"/>
        <v>343</v>
      </c>
      <c r="R30" s="23">
        <f t="shared" si="27"/>
        <v>0</v>
      </c>
      <c r="S30" s="24">
        <f t="shared" si="27"/>
        <v>66</v>
      </c>
      <c r="T30" s="24">
        <f t="shared" si="27"/>
        <v>18</v>
      </c>
      <c r="U30" s="24">
        <f t="shared" si="27"/>
        <v>0</v>
      </c>
      <c r="V30" s="25">
        <f t="shared" si="27"/>
        <v>72</v>
      </c>
      <c r="W30" s="26">
        <f t="shared" si="27"/>
        <v>163</v>
      </c>
      <c r="X30" s="27">
        <f t="shared" si="27"/>
        <v>0</v>
      </c>
      <c r="Y30" s="27">
        <f t="shared" si="27"/>
        <v>0</v>
      </c>
      <c r="Z30" s="27">
        <f t="shared" si="27"/>
        <v>0</v>
      </c>
      <c r="AA30" s="27">
        <f t="shared" si="27"/>
        <v>24</v>
      </c>
      <c r="AB30" s="28">
        <f>AVERAGE(AB6:AB29)</f>
        <v>0.60869565217391308</v>
      </c>
      <c r="AC30" s="4">
        <f>AVERAGE(AC6:AC29)</f>
        <v>0.4045138888888889</v>
      </c>
      <c r="AD30" s="4">
        <f>AVERAGE(AD6:AD29)</f>
        <v>0.4045138888888889</v>
      </c>
      <c r="AE30" s="29"/>
    </row>
    <row r="31" spans="1:32">
      <c r="T31" s="50" t="s">
        <v>128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 t="s">
        <v>129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27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29.25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1" t="s">
        <v>45</v>
      </c>
      <c r="B57" s="481"/>
      <c r="C57" s="481"/>
      <c r="D57" s="481"/>
      <c r="E57" s="481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82" t="s">
        <v>308</v>
      </c>
      <c r="B58" s="483"/>
      <c r="C58" s="483"/>
      <c r="D58" s="483"/>
      <c r="E58" s="483"/>
      <c r="F58" s="483"/>
      <c r="G58" s="483"/>
      <c r="H58" s="483"/>
      <c r="I58" s="483"/>
      <c r="J58" s="483"/>
      <c r="K58" s="483"/>
      <c r="L58" s="483"/>
      <c r="M58" s="484"/>
      <c r="N58" s="485" t="s">
        <v>319</v>
      </c>
      <c r="O58" s="486"/>
      <c r="P58" s="486"/>
      <c r="Q58" s="486"/>
      <c r="R58" s="486"/>
      <c r="S58" s="486"/>
      <c r="T58" s="486"/>
      <c r="U58" s="486"/>
      <c r="V58" s="486"/>
      <c r="W58" s="486"/>
      <c r="X58" s="486"/>
      <c r="Y58" s="486"/>
      <c r="Z58" s="486"/>
      <c r="AA58" s="486"/>
      <c r="AB58" s="486"/>
      <c r="AC58" s="486"/>
      <c r="AD58" s="487"/>
    </row>
    <row r="59" spans="1:32" ht="27" customHeight="1">
      <c r="A59" s="488" t="s">
        <v>2</v>
      </c>
      <c r="B59" s="489"/>
      <c r="C59" s="180" t="s">
        <v>46</v>
      </c>
      <c r="D59" s="180" t="s">
        <v>47</v>
      </c>
      <c r="E59" s="180" t="s">
        <v>107</v>
      </c>
      <c r="F59" s="490" t="s">
        <v>106</v>
      </c>
      <c r="G59" s="491"/>
      <c r="H59" s="491"/>
      <c r="I59" s="491"/>
      <c r="J59" s="491"/>
      <c r="K59" s="491"/>
      <c r="L59" s="491"/>
      <c r="M59" s="492"/>
      <c r="N59" s="67" t="s">
        <v>110</v>
      </c>
      <c r="O59" s="180" t="s">
        <v>46</v>
      </c>
      <c r="P59" s="490" t="s">
        <v>47</v>
      </c>
      <c r="Q59" s="493"/>
      <c r="R59" s="490" t="s">
        <v>38</v>
      </c>
      <c r="S59" s="491"/>
      <c r="T59" s="491"/>
      <c r="U59" s="493"/>
      <c r="V59" s="490" t="s">
        <v>48</v>
      </c>
      <c r="W59" s="491"/>
      <c r="X59" s="491"/>
      <c r="Y59" s="491"/>
      <c r="Z59" s="491"/>
      <c r="AA59" s="491"/>
      <c r="AB59" s="491"/>
      <c r="AC59" s="491"/>
      <c r="AD59" s="492"/>
    </row>
    <row r="60" spans="1:32" ht="27" customHeight="1">
      <c r="A60" s="455" t="s">
        <v>126</v>
      </c>
      <c r="B60" s="456"/>
      <c r="C60" s="175" t="s">
        <v>155</v>
      </c>
      <c r="D60" s="175" t="s">
        <v>157</v>
      </c>
      <c r="E60" s="175" t="s">
        <v>266</v>
      </c>
      <c r="F60" s="457" t="s">
        <v>309</v>
      </c>
      <c r="G60" s="458"/>
      <c r="H60" s="458"/>
      <c r="I60" s="458"/>
      <c r="J60" s="458"/>
      <c r="K60" s="458"/>
      <c r="L60" s="458"/>
      <c r="M60" s="459"/>
      <c r="N60" s="179" t="s">
        <v>116</v>
      </c>
      <c r="O60" s="173" t="s">
        <v>164</v>
      </c>
      <c r="P60" s="472" t="s">
        <v>115</v>
      </c>
      <c r="Q60" s="473"/>
      <c r="R60" s="472" t="s">
        <v>172</v>
      </c>
      <c r="S60" s="474"/>
      <c r="T60" s="474"/>
      <c r="U60" s="473"/>
      <c r="V60" s="461" t="s">
        <v>144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116</v>
      </c>
      <c r="B61" s="456"/>
      <c r="C61" s="175" t="s">
        <v>164</v>
      </c>
      <c r="D61" s="175" t="s">
        <v>115</v>
      </c>
      <c r="E61" s="176" t="s">
        <v>172</v>
      </c>
      <c r="F61" s="457" t="s">
        <v>310</v>
      </c>
      <c r="G61" s="458"/>
      <c r="H61" s="458"/>
      <c r="I61" s="458"/>
      <c r="J61" s="458"/>
      <c r="K61" s="458"/>
      <c r="L61" s="458"/>
      <c r="M61" s="459"/>
      <c r="N61" s="179" t="s">
        <v>126</v>
      </c>
      <c r="O61" s="173" t="s">
        <v>155</v>
      </c>
      <c r="P61" s="472" t="s">
        <v>115</v>
      </c>
      <c r="Q61" s="473"/>
      <c r="R61" s="472" t="s">
        <v>283</v>
      </c>
      <c r="S61" s="474"/>
      <c r="T61" s="474"/>
      <c r="U61" s="473"/>
      <c r="V61" s="461" t="s">
        <v>144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275</v>
      </c>
      <c r="B62" s="456"/>
      <c r="C62" s="175" t="s">
        <v>276</v>
      </c>
      <c r="D62" s="175" t="s">
        <v>311</v>
      </c>
      <c r="E62" s="176" t="s">
        <v>285</v>
      </c>
      <c r="F62" s="457" t="s">
        <v>187</v>
      </c>
      <c r="G62" s="458"/>
      <c r="H62" s="458"/>
      <c r="I62" s="458"/>
      <c r="J62" s="458"/>
      <c r="K62" s="458"/>
      <c r="L62" s="458"/>
      <c r="M62" s="459"/>
      <c r="N62" s="179" t="s">
        <v>126</v>
      </c>
      <c r="O62" s="173" t="s">
        <v>259</v>
      </c>
      <c r="P62" s="472" t="s">
        <v>320</v>
      </c>
      <c r="Q62" s="473"/>
      <c r="R62" s="472" t="s">
        <v>321</v>
      </c>
      <c r="S62" s="474"/>
      <c r="T62" s="474"/>
      <c r="U62" s="473"/>
      <c r="V62" s="461" t="s">
        <v>187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279</v>
      </c>
      <c r="B63" s="456"/>
      <c r="C63" s="175" t="s">
        <v>259</v>
      </c>
      <c r="D63" s="175" t="s">
        <v>121</v>
      </c>
      <c r="E63" s="176" t="s">
        <v>312</v>
      </c>
      <c r="F63" s="457" t="s">
        <v>187</v>
      </c>
      <c r="G63" s="458"/>
      <c r="H63" s="458"/>
      <c r="I63" s="458"/>
      <c r="J63" s="458"/>
      <c r="K63" s="458"/>
      <c r="L63" s="458"/>
      <c r="M63" s="459"/>
      <c r="N63" s="179" t="s">
        <v>112</v>
      </c>
      <c r="O63" s="173" t="s">
        <v>264</v>
      </c>
      <c r="P63" s="472" t="s">
        <v>115</v>
      </c>
      <c r="Q63" s="473"/>
      <c r="R63" s="472" t="s">
        <v>322</v>
      </c>
      <c r="S63" s="474"/>
      <c r="T63" s="474"/>
      <c r="U63" s="473"/>
      <c r="V63" s="461" t="s">
        <v>187</v>
      </c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75" t="s">
        <v>279</v>
      </c>
      <c r="B64" s="460"/>
      <c r="C64" s="176" t="s">
        <v>289</v>
      </c>
      <c r="D64" s="176" t="s">
        <v>290</v>
      </c>
      <c r="E64" s="176" t="s">
        <v>287</v>
      </c>
      <c r="F64" s="457" t="s">
        <v>144</v>
      </c>
      <c r="G64" s="458"/>
      <c r="H64" s="458"/>
      <c r="I64" s="458"/>
      <c r="J64" s="458"/>
      <c r="K64" s="458"/>
      <c r="L64" s="458"/>
      <c r="M64" s="459"/>
      <c r="N64" s="179" t="s">
        <v>116</v>
      </c>
      <c r="O64" s="173" t="s">
        <v>324</v>
      </c>
      <c r="P64" s="472" t="s">
        <v>325</v>
      </c>
      <c r="Q64" s="473"/>
      <c r="R64" s="472" t="s">
        <v>323</v>
      </c>
      <c r="S64" s="474"/>
      <c r="T64" s="474"/>
      <c r="U64" s="473"/>
      <c r="V64" s="461" t="s">
        <v>187</v>
      </c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 t="s">
        <v>126</v>
      </c>
      <c r="B65" s="456"/>
      <c r="C65" s="175" t="s">
        <v>315</v>
      </c>
      <c r="D65" s="175"/>
      <c r="E65" s="176" t="s">
        <v>313</v>
      </c>
      <c r="F65" s="457" t="s">
        <v>314</v>
      </c>
      <c r="G65" s="458"/>
      <c r="H65" s="458"/>
      <c r="I65" s="458"/>
      <c r="J65" s="458"/>
      <c r="K65" s="458"/>
      <c r="L65" s="458"/>
      <c r="M65" s="459"/>
      <c r="N65" s="179"/>
      <c r="O65" s="173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 t="s">
        <v>112</v>
      </c>
      <c r="B66" s="456"/>
      <c r="C66" s="175" t="s">
        <v>317</v>
      </c>
      <c r="D66" s="175" t="s">
        <v>115</v>
      </c>
      <c r="E66" s="176" t="s">
        <v>316</v>
      </c>
      <c r="F66" s="457" t="s">
        <v>187</v>
      </c>
      <c r="G66" s="458"/>
      <c r="H66" s="458"/>
      <c r="I66" s="458"/>
      <c r="J66" s="458"/>
      <c r="K66" s="458"/>
      <c r="L66" s="458"/>
      <c r="M66" s="459"/>
      <c r="N66" s="179"/>
      <c r="O66" s="173"/>
      <c r="P66" s="472"/>
      <c r="Q66" s="473"/>
      <c r="R66" s="472"/>
      <c r="S66" s="474"/>
      <c r="T66" s="474"/>
      <c r="U66" s="473"/>
      <c r="V66" s="461"/>
      <c r="W66" s="462"/>
      <c r="X66" s="462"/>
      <c r="Y66" s="462"/>
      <c r="Z66" s="462"/>
      <c r="AA66" s="462"/>
      <c r="AB66" s="462"/>
      <c r="AC66" s="462"/>
      <c r="AD66" s="463"/>
    </row>
    <row r="67" spans="1:32" ht="27" customHeight="1">
      <c r="A67" s="455" t="s">
        <v>112</v>
      </c>
      <c r="B67" s="456"/>
      <c r="C67" s="175" t="s">
        <v>317</v>
      </c>
      <c r="D67" s="175" t="s">
        <v>115</v>
      </c>
      <c r="E67" s="186" t="s">
        <v>318</v>
      </c>
      <c r="F67" s="457" t="s">
        <v>187</v>
      </c>
      <c r="G67" s="458"/>
      <c r="H67" s="458"/>
      <c r="I67" s="458"/>
      <c r="J67" s="458"/>
      <c r="K67" s="458"/>
      <c r="L67" s="458"/>
      <c r="M67" s="459"/>
      <c r="N67" s="179"/>
      <c r="O67" s="173"/>
      <c r="P67" s="472"/>
      <c r="Q67" s="473"/>
      <c r="R67" s="472"/>
      <c r="S67" s="474"/>
      <c r="T67" s="474"/>
      <c r="U67" s="473"/>
      <c r="V67" s="461"/>
      <c r="W67" s="462"/>
      <c r="X67" s="462"/>
      <c r="Y67" s="462"/>
      <c r="Z67" s="462"/>
      <c r="AA67" s="462"/>
      <c r="AB67" s="462"/>
      <c r="AC67" s="462"/>
      <c r="AD67" s="463"/>
    </row>
    <row r="68" spans="1:32" ht="27" customHeight="1">
      <c r="A68" s="455"/>
      <c r="B68" s="456"/>
      <c r="C68" s="175"/>
      <c r="D68" s="175"/>
      <c r="E68" s="176"/>
      <c r="F68" s="457"/>
      <c r="G68" s="458"/>
      <c r="H68" s="458"/>
      <c r="I68" s="458"/>
      <c r="J68" s="458"/>
      <c r="K68" s="458"/>
      <c r="L68" s="458"/>
      <c r="M68" s="459"/>
      <c r="N68" s="179"/>
      <c r="O68" s="173"/>
      <c r="P68" s="460"/>
      <c r="Q68" s="460"/>
      <c r="R68" s="460"/>
      <c r="S68" s="460"/>
      <c r="T68" s="460"/>
      <c r="U68" s="460"/>
      <c r="V68" s="461"/>
      <c r="W68" s="462"/>
      <c r="X68" s="462"/>
      <c r="Y68" s="462"/>
      <c r="Z68" s="462"/>
      <c r="AA68" s="462"/>
      <c r="AB68" s="462"/>
      <c r="AC68" s="462"/>
      <c r="AD68" s="463"/>
      <c r="AF68" s="81">
        <f>8*3000</f>
        <v>24000</v>
      </c>
    </row>
    <row r="69" spans="1:32" ht="27" customHeight="1" thickBot="1">
      <c r="A69" s="464"/>
      <c r="B69" s="465"/>
      <c r="C69" s="177"/>
      <c r="D69" s="178"/>
      <c r="E69" s="177"/>
      <c r="F69" s="466"/>
      <c r="G69" s="467"/>
      <c r="H69" s="467"/>
      <c r="I69" s="467"/>
      <c r="J69" s="467"/>
      <c r="K69" s="467"/>
      <c r="L69" s="467"/>
      <c r="M69" s="468"/>
      <c r="N69" s="105"/>
      <c r="O69" s="97"/>
      <c r="P69" s="469"/>
      <c r="Q69" s="469"/>
      <c r="R69" s="469"/>
      <c r="S69" s="469"/>
      <c r="T69" s="469"/>
      <c r="U69" s="469"/>
      <c r="V69" s="470"/>
      <c r="W69" s="470"/>
      <c r="X69" s="470"/>
      <c r="Y69" s="470"/>
      <c r="Z69" s="470"/>
      <c r="AA69" s="470"/>
      <c r="AB69" s="470"/>
      <c r="AC69" s="470"/>
      <c r="AD69" s="471"/>
      <c r="AF69" s="81">
        <f>16*3000</f>
        <v>48000</v>
      </c>
    </row>
    <row r="70" spans="1:32" ht="27.75" thickBot="1">
      <c r="A70" s="453" t="s">
        <v>326</v>
      </c>
      <c r="B70" s="453"/>
      <c r="C70" s="453"/>
      <c r="D70" s="453"/>
      <c r="E70" s="453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54" t="s">
        <v>111</v>
      </c>
      <c r="B71" s="451"/>
      <c r="C71" s="174" t="s">
        <v>2</v>
      </c>
      <c r="D71" s="174" t="s">
        <v>37</v>
      </c>
      <c r="E71" s="174" t="s">
        <v>3</v>
      </c>
      <c r="F71" s="451" t="s">
        <v>109</v>
      </c>
      <c r="G71" s="451"/>
      <c r="H71" s="451"/>
      <c r="I71" s="451"/>
      <c r="J71" s="451"/>
      <c r="K71" s="451" t="s">
        <v>39</v>
      </c>
      <c r="L71" s="451"/>
      <c r="M71" s="174" t="s">
        <v>40</v>
      </c>
      <c r="N71" s="451" t="s">
        <v>41</v>
      </c>
      <c r="O71" s="451"/>
      <c r="P71" s="448" t="s">
        <v>42</v>
      </c>
      <c r="Q71" s="450"/>
      <c r="R71" s="448" t="s">
        <v>43</v>
      </c>
      <c r="S71" s="449"/>
      <c r="T71" s="449"/>
      <c r="U71" s="449"/>
      <c r="V71" s="449"/>
      <c r="W71" s="449"/>
      <c r="X71" s="449"/>
      <c r="Y71" s="449"/>
      <c r="Z71" s="449"/>
      <c r="AA71" s="450"/>
      <c r="AB71" s="451" t="s">
        <v>44</v>
      </c>
      <c r="AC71" s="451"/>
      <c r="AD71" s="452"/>
      <c r="AF71" s="81">
        <f>SUM(AF68:AF70)</f>
        <v>96000</v>
      </c>
    </row>
    <row r="72" spans="1:32" ht="25.5" customHeight="1">
      <c r="A72" s="439">
        <v>1</v>
      </c>
      <c r="B72" s="440"/>
      <c r="C72" s="98" t="s">
        <v>328</v>
      </c>
      <c r="D72" s="169"/>
      <c r="E72" s="172" t="s">
        <v>329</v>
      </c>
      <c r="F72" s="441" t="s">
        <v>327</v>
      </c>
      <c r="G72" s="431"/>
      <c r="H72" s="431"/>
      <c r="I72" s="431"/>
      <c r="J72" s="431"/>
      <c r="K72" s="431" t="s">
        <v>330</v>
      </c>
      <c r="L72" s="431"/>
      <c r="M72" s="51" t="s">
        <v>331</v>
      </c>
      <c r="N72" s="442" t="s">
        <v>332</v>
      </c>
      <c r="O72" s="442"/>
      <c r="P72" s="443">
        <v>50</v>
      </c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2</v>
      </c>
      <c r="B73" s="440"/>
      <c r="C73" s="98"/>
      <c r="D73" s="169"/>
      <c r="E73" s="172"/>
      <c r="F73" s="441"/>
      <c r="G73" s="431"/>
      <c r="H73" s="431"/>
      <c r="I73" s="431"/>
      <c r="J73" s="431"/>
      <c r="K73" s="431"/>
      <c r="L73" s="431"/>
      <c r="M73" s="51"/>
      <c r="N73" s="442"/>
      <c r="O73" s="442"/>
      <c r="P73" s="443"/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3</v>
      </c>
      <c r="B74" s="440"/>
      <c r="C74" s="98"/>
      <c r="D74" s="169"/>
      <c r="E74" s="172"/>
      <c r="F74" s="441"/>
      <c r="G74" s="431"/>
      <c r="H74" s="431"/>
      <c r="I74" s="431"/>
      <c r="J74" s="431"/>
      <c r="K74" s="431"/>
      <c r="L74" s="431"/>
      <c r="M74" s="51"/>
      <c r="N74" s="442"/>
      <c r="O74" s="442"/>
      <c r="P74" s="443"/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4</v>
      </c>
      <c r="B75" s="440"/>
      <c r="C75" s="98"/>
      <c r="D75" s="169"/>
      <c r="E75" s="172"/>
      <c r="F75" s="445"/>
      <c r="G75" s="446"/>
      <c r="H75" s="446"/>
      <c r="I75" s="446"/>
      <c r="J75" s="447"/>
      <c r="K75" s="431"/>
      <c r="L75" s="431"/>
      <c r="M75" s="51"/>
      <c r="N75" s="442"/>
      <c r="O75" s="442"/>
      <c r="P75" s="443"/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5</v>
      </c>
      <c r="B76" s="440"/>
      <c r="C76" s="98"/>
      <c r="D76" s="169"/>
      <c r="E76" s="172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6</v>
      </c>
      <c r="B77" s="440"/>
      <c r="C77" s="98"/>
      <c r="D77" s="169"/>
      <c r="E77" s="172"/>
      <c r="F77" s="445"/>
      <c r="G77" s="446"/>
      <c r="H77" s="446"/>
      <c r="I77" s="446"/>
      <c r="J77" s="447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7</v>
      </c>
      <c r="B78" s="440"/>
      <c r="C78" s="98"/>
      <c r="D78" s="169"/>
      <c r="E78" s="172"/>
      <c r="F78" s="445"/>
      <c r="G78" s="446"/>
      <c r="H78" s="446"/>
      <c r="I78" s="446"/>
      <c r="J78" s="447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8</v>
      </c>
      <c r="B79" s="440"/>
      <c r="C79" s="98"/>
      <c r="D79" s="169"/>
      <c r="E79" s="172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5.5" customHeight="1">
      <c r="A80" s="439">
        <v>9</v>
      </c>
      <c r="B80" s="440"/>
      <c r="C80" s="98"/>
      <c r="D80" s="169"/>
      <c r="E80" s="172"/>
      <c r="F80" s="441"/>
      <c r="G80" s="431"/>
      <c r="H80" s="431"/>
      <c r="I80" s="431"/>
      <c r="J80" s="431"/>
      <c r="K80" s="431"/>
      <c r="L80" s="431"/>
      <c r="M80" s="51"/>
      <c r="N80" s="442"/>
      <c r="O80" s="442"/>
      <c r="P80" s="443"/>
      <c r="Q80" s="443"/>
      <c r="R80" s="444"/>
      <c r="S80" s="444"/>
      <c r="T80" s="444"/>
      <c r="U80" s="444"/>
      <c r="V80" s="444"/>
      <c r="W80" s="444"/>
      <c r="X80" s="444"/>
      <c r="Y80" s="444"/>
      <c r="Z80" s="444"/>
      <c r="AA80" s="444"/>
      <c r="AB80" s="431"/>
      <c r="AC80" s="431"/>
      <c r="AD80" s="432"/>
      <c r="AF80" s="50"/>
    </row>
    <row r="81" spans="1:32" ht="25.5" customHeight="1">
      <c r="A81" s="439">
        <v>10</v>
      </c>
      <c r="B81" s="440"/>
      <c r="C81" s="98"/>
      <c r="D81" s="169"/>
      <c r="E81" s="172"/>
      <c r="F81" s="441"/>
      <c r="G81" s="431"/>
      <c r="H81" s="431"/>
      <c r="I81" s="431"/>
      <c r="J81" s="431"/>
      <c r="K81" s="431"/>
      <c r="L81" s="431"/>
      <c r="M81" s="51"/>
      <c r="N81" s="442"/>
      <c r="O81" s="442"/>
      <c r="P81" s="443"/>
      <c r="Q81" s="443"/>
      <c r="R81" s="444"/>
      <c r="S81" s="444"/>
      <c r="T81" s="444"/>
      <c r="U81" s="444"/>
      <c r="V81" s="444"/>
      <c r="W81" s="444"/>
      <c r="X81" s="444"/>
      <c r="Y81" s="444"/>
      <c r="Z81" s="444"/>
      <c r="AA81" s="444"/>
      <c r="AB81" s="431"/>
      <c r="AC81" s="431"/>
      <c r="AD81" s="432"/>
      <c r="AF81" s="50"/>
    </row>
    <row r="82" spans="1:32" ht="26.25" customHeight="1" thickBot="1">
      <c r="A82" s="411" t="s">
        <v>333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33" t="s">
        <v>111</v>
      </c>
      <c r="B83" s="434"/>
      <c r="C83" s="171" t="s">
        <v>2</v>
      </c>
      <c r="D83" s="171" t="s">
        <v>37</v>
      </c>
      <c r="E83" s="171" t="s">
        <v>120</v>
      </c>
      <c r="F83" s="413" t="s">
        <v>38</v>
      </c>
      <c r="G83" s="413"/>
      <c r="H83" s="413"/>
      <c r="I83" s="413"/>
      <c r="J83" s="413"/>
      <c r="K83" s="435" t="s">
        <v>58</v>
      </c>
      <c r="L83" s="436"/>
      <c r="M83" s="436"/>
      <c r="N83" s="436"/>
      <c r="O83" s="436"/>
      <c r="P83" s="436"/>
      <c r="Q83" s="436"/>
      <c r="R83" s="436"/>
      <c r="S83" s="437"/>
      <c r="T83" s="413" t="s">
        <v>49</v>
      </c>
      <c r="U83" s="413"/>
      <c r="V83" s="435" t="s">
        <v>50</v>
      </c>
      <c r="W83" s="437"/>
      <c r="X83" s="436" t="s">
        <v>51</v>
      </c>
      <c r="Y83" s="436"/>
      <c r="Z83" s="436"/>
      <c r="AA83" s="436"/>
      <c r="AB83" s="436"/>
      <c r="AC83" s="436"/>
      <c r="AD83" s="438"/>
      <c r="AF83" s="50"/>
    </row>
    <row r="84" spans="1:32" ht="33.75" customHeight="1">
      <c r="A84" s="405">
        <v>1</v>
      </c>
      <c r="B84" s="406"/>
      <c r="C84" s="170"/>
      <c r="D84" s="170"/>
      <c r="E84" s="65"/>
      <c r="F84" s="420"/>
      <c r="G84" s="421"/>
      <c r="H84" s="421"/>
      <c r="I84" s="421"/>
      <c r="J84" s="422"/>
      <c r="K84" s="423"/>
      <c r="L84" s="424"/>
      <c r="M84" s="424"/>
      <c r="N84" s="424"/>
      <c r="O84" s="424"/>
      <c r="P84" s="424"/>
      <c r="Q84" s="424"/>
      <c r="R84" s="424"/>
      <c r="S84" s="425"/>
      <c r="T84" s="426"/>
      <c r="U84" s="427"/>
      <c r="V84" s="428"/>
      <c r="W84" s="428"/>
      <c r="X84" s="429"/>
      <c r="Y84" s="429"/>
      <c r="Z84" s="429"/>
      <c r="AA84" s="429"/>
      <c r="AB84" s="429"/>
      <c r="AC84" s="429"/>
      <c r="AD84" s="430"/>
      <c r="AF84" s="50"/>
    </row>
    <row r="85" spans="1:32" ht="30" customHeight="1">
      <c r="A85" s="398">
        <f>A84+1</f>
        <v>2</v>
      </c>
      <c r="B85" s="399"/>
      <c r="C85" s="169"/>
      <c r="D85" s="169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ref="A86:A90" si="28">A85+1</f>
        <v>3</v>
      </c>
      <c r="B86" s="399"/>
      <c r="C86" s="169"/>
      <c r="D86" s="169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28"/>
        <v>4</v>
      </c>
      <c r="B87" s="399"/>
      <c r="C87" s="169"/>
      <c r="D87" s="169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28"/>
        <v>5</v>
      </c>
      <c r="B88" s="399"/>
      <c r="C88" s="169"/>
      <c r="D88" s="169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0" customHeight="1">
      <c r="A89" s="398">
        <f t="shared" si="28"/>
        <v>6</v>
      </c>
      <c r="B89" s="399"/>
      <c r="C89" s="169"/>
      <c r="D89" s="169"/>
      <c r="E89" s="32"/>
      <c r="F89" s="399"/>
      <c r="G89" s="399"/>
      <c r="H89" s="399"/>
      <c r="I89" s="399"/>
      <c r="J89" s="399"/>
      <c r="K89" s="414"/>
      <c r="L89" s="415"/>
      <c r="M89" s="415"/>
      <c r="N89" s="415"/>
      <c r="O89" s="415"/>
      <c r="P89" s="415"/>
      <c r="Q89" s="415"/>
      <c r="R89" s="415"/>
      <c r="S89" s="416"/>
      <c r="T89" s="417"/>
      <c r="U89" s="417"/>
      <c r="V89" s="417"/>
      <c r="W89" s="417"/>
      <c r="X89" s="418"/>
      <c r="Y89" s="418"/>
      <c r="Z89" s="418"/>
      <c r="AA89" s="418"/>
      <c r="AB89" s="418"/>
      <c r="AC89" s="418"/>
      <c r="AD89" s="419"/>
      <c r="AF89" s="50"/>
    </row>
    <row r="90" spans="1:32" ht="30" customHeight="1">
      <c r="A90" s="398">
        <f t="shared" si="28"/>
        <v>7</v>
      </c>
      <c r="B90" s="399"/>
      <c r="C90" s="169"/>
      <c r="D90" s="169"/>
      <c r="E90" s="32"/>
      <c r="F90" s="399"/>
      <c r="G90" s="399"/>
      <c r="H90" s="399"/>
      <c r="I90" s="399"/>
      <c r="J90" s="399"/>
      <c r="K90" s="414"/>
      <c r="L90" s="415"/>
      <c r="M90" s="415"/>
      <c r="N90" s="415"/>
      <c r="O90" s="415"/>
      <c r="P90" s="415"/>
      <c r="Q90" s="415"/>
      <c r="R90" s="415"/>
      <c r="S90" s="416"/>
      <c r="T90" s="417"/>
      <c r="U90" s="417"/>
      <c r="V90" s="417"/>
      <c r="W90" s="417"/>
      <c r="X90" s="418"/>
      <c r="Y90" s="418"/>
      <c r="Z90" s="418"/>
      <c r="AA90" s="418"/>
      <c r="AB90" s="418"/>
      <c r="AC90" s="418"/>
      <c r="AD90" s="419"/>
      <c r="AF90" s="50"/>
    </row>
    <row r="91" spans="1:32" ht="36" thickBot="1">
      <c r="A91" s="411" t="s">
        <v>334</v>
      </c>
      <c r="B91" s="411"/>
      <c r="C91" s="411"/>
      <c r="D91" s="411"/>
      <c r="E91" s="411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412" t="s">
        <v>111</v>
      </c>
      <c r="B92" s="413"/>
      <c r="C92" s="403" t="s">
        <v>52</v>
      </c>
      <c r="D92" s="403"/>
      <c r="E92" s="403" t="s">
        <v>53</v>
      </c>
      <c r="F92" s="403"/>
      <c r="G92" s="403"/>
      <c r="H92" s="403"/>
      <c r="I92" s="403"/>
      <c r="J92" s="403"/>
      <c r="K92" s="403" t="s">
        <v>54</v>
      </c>
      <c r="L92" s="403"/>
      <c r="M92" s="403"/>
      <c r="N92" s="403"/>
      <c r="O92" s="403"/>
      <c r="P92" s="403"/>
      <c r="Q92" s="403"/>
      <c r="R92" s="403"/>
      <c r="S92" s="403"/>
      <c r="T92" s="403" t="s">
        <v>55</v>
      </c>
      <c r="U92" s="403"/>
      <c r="V92" s="403" t="s">
        <v>56</v>
      </c>
      <c r="W92" s="403"/>
      <c r="X92" s="403"/>
      <c r="Y92" s="403" t="s">
        <v>51</v>
      </c>
      <c r="Z92" s="403"/>
      <c r="AA92" s="403"/>
      <c r="AB92" s="403"/>
      <c r="AC92" s="403"/>
      <c r="AD92" s="404"/>
      <c r="AF92" s="50"/>
    </row>
    <row r="93" spans="1:32" ht="30.75" customHeight="1">
      <c r="A93" s="405">
        <v>1</v>
      </c>
      <c r="B93" s="406"/>
      <c r="C93" s="407"/>
      <c r="D93" s="407"/>
      <c r="E93" s="407"/>
      <c r="F93" s="407"/>
      <c r="G93" s="407"/>
      <c r="H93" s="407"/>
      <c r="I93" s="407"/>
      <c r="J93" s="407"/>
      <c r="K93" s="407"/>
      <c r="L93" s="407"/>
      <c r="M93" s="407"/>
      <c r="N93" s="407"/>
      <c r="O93" s="407"/>
      <c r="P93" s="407"/>
      <c r="Q93" s="407"/>
      <c r="R93" s="407"/>
      <c r="S93" s="407"/>
      <c r="T93" s="407"/>
      <c r="U93" s="407"/>
      <c r="V93" s="408"/>
      <c r="W93" s="408"/>
      <c r="X93" s="408"/>
      <c r="Y93" s="409"/>
      <c r="Z93" s="409"/>
      <c r="AA93" s="409"/>
      <c r="AB93" s="409"/>
      <c r="AC93" s="409"/>
      <c r="AD93" s="410"/>
      <c r="AF93" s="50"/>
    </row>
    <row r="94" spans="1:32" ht="30.75" customHeight="1">
      <c r="A94" s="398">
        <v>2</v>
      </c>
      <c r="B94" s="399"/>
      <c r="C94" s="400"/>
      <c r="D94" s="400"/>
      <c r="E94" s="400"/>
      <c r="F94" s="400"/>
      <c r="G94" s="400"/>
      <c r="H94" s="400"/>
      <c r="I94" s="400"/>
      <c r="J94" s="400"/>
      <c r="K94" s="400"/>
      <c r="L94" s="400"/>
      <c r="M94" s="400"/>
      <c r="N94" s="400"/>
      <c r="O94" s="400"/>
      <c r="P94" s="400"/>
      <c r="Q94" s="400"/>
      <c r="R94" s="400"/>
      <c r="S94" s="400"/>
      <c r="T94" s="401"/>
      <c r="U94" s="401"/>
      <c r="V94" s="402"/>
      <c r="W94" s="402"/>
      <c r="X94" s="402"/>
      <c r="Y94" s="390"/>
      <c r="Z94" s="390"/>
      <c r="AA94" s="390"/>
      <c r="AB94" s="390"/>
      <c r="AC94" s="390"/>
      <c r="AD94" s="391"/>
      <c r="AF94" s="50"/>
    </row>
    <row r="95" spans="1:32" ht="30.75" customHeight="1" thickBot="1">
      <c r="A95" s="392">
        <v>3</v>
      </c>
      <c r="B95" s="393"/>
      <c r="C95" s="394"/>
      <c r="D95" s="394"/>
      <c r="E95" s="394"/>
      <c r="F95" s="394"/>
      <c r="G95" s="394"/>
      <c r="H95" s="394"/>
      <c r="I95" s="394"/>
      <c r="J95" s="394"/>
      <c r="K95" s="394"/>
      <c r="L95" s="394"/>
      <c r="M95" s="394"/>
      <c r="N95" s="394"/>
      <c r="O95" s="394"/>
      <c r="P95" s="394"/>
      <c r="Q95" s="394"/>
      <c r="R95" s="394"/>
      <c r="S95" s="394"/>
      <c r="T95" s="394"/>
      <c r="U95" s="394"/>
      <c r="V95" s="395"/>
      <c r="W95" s="395"/>
      <c r="X95" s="395"/>
      <c r="Y95" s="396"/>
      <c r="Z95" s="396"/>
      <c r="AA95" s="396"/>
      <c r="AB95" s="396"/>
      <c r="AC95" s="396"/>
      <c r="AD95" s="397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5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15E3-03DB-462C-BD4C-488E51EC5397}">
  <sheetPr codeName="Sheet7"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335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182" t="s">
        <v>17</v>
      </c>
      <c r="L5" s="182" t="s">
        <v>18</v>
      </c>
      <c r="M5" s="182" t="s">
        <v>19</v>
      </c>
      <c r="N5" s="18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10312</v>
      </c>
      <c r="K6" s="15">
        <f>L6+5046+2812+7738+10312</f>
        <v>25908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>AC6*AB6*(1-O6)</f>
        <v>0</v>
      </c>
      <c r="AE6" s="36">
        <f t="shared" ref="AE6:AE27" si="6">$AD$28</f>
        <v>0.5492424242424242</v>
      </c>
      <c r="AF6" s="81">
        <f t="shared" ref="AF6:AF27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138</v>
      </c>
      <c r="E7" s="53" t="s">
        <v>161</v>
      </c>
      <c r="F7" s="30" t="s">
        <v>137</v>
      </c>
      <c r="G7" s="12">
        <v>1</v>
      </c>
      <c r="H7" s="13">
        <v>24</v>
      </c>
      <c r="I7" s="31">
        <v>55000</v>
      </c>
      <c r="J7" s="14">
        <v>5772</v>
      </c>
      <c r="K7" s="15">
        <f>L7+4962+5479+5974+5609+6074+5975+6110+5789+6131+6023</f>
        <v>63898</v>
      </c>
      <c r="L7" s="15">
        <f>2785+2987</f>
        <v>5772</v>
      </c>
      <c r="M7" s="15">
        <f t="shared" si="0"/>
        <v>5772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7" si="8">AC7*AB7*(1-O7)</f>
        <v>1</v>
      </c>
      <c r="AE7" s="36">
        <f t="shared" si="6"/>
        <v>0.5492424242424242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126</v>
      </c>
      <c r="D8" s="52" t="s">
        <v>115</v>
      </c>
      <c r="E8" s="53" t="s">
        <v>266</v>
      </c>
      <c r="F8" s="30" t="s">
        <v>267</v>
      </c>
      <c r="G8" s="12">
        <v>1</v>
      </c>
      <c r="H8" s="13">
        <v>22</v>
      </c>
      <c r="I8" s="31">
        <v>4000</v>
      </c>
      <c r="J8" s="5">
        <v>2164</v>
      </c>
      <c r="K8" s="15">
        <f>L8+2482</f>
        <v>4646</v>
      </c>
      <c r="L8" s="15">
        <v>2164</v>
      </c>
      <c r="M8" s="15">
        <f t="shared" si="0"/>
        <v>2164</v>
      </c>
      <c r="N8" s="15">
        <v>0</v>
      </c>
      <c r="O8" s="58">
        <f t="shared" si="1"/>
        <v>0</v>
      </c>
      <c r="P8" s="39">
        <f t="shared" si="2"/>
        <v>12</v>
      </c>
      <c r="Q8" s="40">
        <f t="shared" si="3"/>
        <v>12</v>
      </c>
      <c r="R8" s="7"/>
      <c r="S8" s="6">
        <v>12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</v>
      </c>
      <c r="AD8" s="10">
        <f t="shared" si="8"/>
        <v>0.5</v>
      </c>
      <c r="AE8" s="36">
        <f t="shared" si="6"/>
        <v>0.5492424242424242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257</v>
      </c>
      <c r="F9" s="30" t="s">
        <v>122</v>
      </c>
      <c r="G9" s="12">
        <v>1</v>
      </c>
      <c r="H9" s="13">
        <v>24</v>
      </c>
      <c r="I9" s="7">
        <v>50000</v>
      </c>
      <c r="J9" s="14">
        <v>5666</v>
      </c>
      <c r="K9" s="15">
        <f>L9+5224+5754</f>
        <v>16644</v>
      </c>
      <c r="L9" s="15">
        <f>2859+2807</f>
        <v>5666</v>
      </c>
      <c r="M9" s="15">
        <f t="shared" si="0"/>
        <v>5666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0.5492424242424242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5596</v>
      </c>
      <c r="K10" s="15">
        <f>L10+5338+5669+5744+4980+3619+1932+309+2790+5660+4715+1739+3127+5884+1203+3638+5732+5658+5217+2430+1897</f>
        <v>82877</v>
      </c>
      <c r="L10" s="15">
        <f>2830+2766</f>
        <v>5596</v>
      </c>
      <c r="M10" s="15">
        <f t="shared" si="0"/>
        <v>5596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0.5492424242424242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126</v>
      </c>
      <c r="D11" s="52" t="s">
        <v>320</v>
      </c>
      <c r="E11" s="53" t="s">
        <v>321</v>
      </c>
      <c r="F11" s="30" t="s">
        <v>136</v>
      </c>
      <c r="G11" s="33">
        <v>1</v>
      </c>
      <c r="H11" s="35">
        <v>24</v>
      </c>
      <c r="I11" s="7">
        <v>2200</v>
      </c>
      <c r="J11" s="14">
        <v>3351</v>
      </c>
      <c r="K11" s="15">
        <f>L11</f>
        <v>3351</v>
      </c>
      <c r="L11" s="15">
        <f>1742+1609</f>
        <v>3351</v>
      </c>
      <c r="M11" s="15">
        <f t="shared" si="0"/>
        <v>3351</v>
      </c>
      <c r="N11" s="15">
        <v>0</v>
      </c>
      <c r="O11" s="58">
        <f t="shared" si="1"/>
        <v>0</v>
      </c>
      <c r="P11" s="39">
        <f t="shared" si="2"/>
        <v>20</v>
      </c>
      <c r="Q11" s="40">
        <f t="shared" si="3"/>
        <v>4</v>
      </c>
      <c r="R11" s="7"/>
      <c r="S11" s="6">
        <v>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0.83333333333333337</v>
      </c>
      <c r="AD11" s="10">
        <f t="shared" si="8"/>
        <v>0.83333333333333337</v>
      </c>
      <c r="AE11" s="36">
        <f t="shared" si="6"/>
        <v>0.5492424242424242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222</v>
      </c>
      <c r="F12" s="30" t="s">
        <v>205</v>
      </c>
      <c r="G12" s="12">
        <v>1</v>
      </c>
      <c r="H12" s="13">
        <v>22</v>
      </c>
      <c r="I12" s="31">
        <v>32000</v>
      </c>
      <c r="J12" s="5">
        <v>1566</v>
      </c>
      <c r="K12" s="15">
        <f>L12+3264+4993+5028</f>
        <v>14851</v>
      </c>
      <c r="L12" s="15">
        <v>1566</v>
      </c>
      <c r="M12" s="15">
        <f t="shared" si="0"/>
        <v>1566</v>
      </c>
      <c r="N12" s="15">
        <v>0</v>
      </c>
      <c r="O12" s="58">
        <f t="shared" si="1"/>
        <v>0</v>
      </c>
      <c r="P12" s="39">
        <f t="shared" si="2"/>
        <v>6</v>
      </c>
      <c r="Q12" s="40">
        <f t="shared" si="3"/>
        <v>18</v>
      </c>
      <c r="R12" s="7"/>
      <c r="S12" s="6">
        <v>18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0.25</v>
      </c>
      <c r="AD12" s="10">
        <f t="shared" si="8"/>
        <v>0.25</v>
      </c>
      <c r="AE12" s="36">
        <f t="shared" si="6"/>
        <v>0.5492424242424242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126</v>
      </c>
      <c r="D13" s="52"/>
      <c r="E13" s="53" t="s">
        <v>304</v>
      </c>
      <c r="F13" s="30" t="s">
        <v>122</v>
      </c>
      <c r="G13" s="33">
        <v>1</v>
      </c>
      <c r="H13" s="35">
        <v>22</v>
      </c>
      <c r="I13" s="7">
        <v>12000</v>
      </c>
      <c r="J13" s="14">
        <v>4592</v>
      </c>
      <c r="K13" s="15">
        <f>L13+3169</f>
        <v>7761</v>
      </c>
      <c r="L13" s="15">
        <f>2319+2273</f>
        <v>4592</v>
      </c>
      <c r="M13" s="15">
        <f t="shared" si="0"/>
        <v>4592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0.5492424242424242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322</v>
      </c>
      <c r="F14" s="30" t="s">
        <v>305</v>
      </c>
      <c r="G14" s="33">
        <v>1</v>
      </c>
      <c r="H14" s="35">
        <v>50</v>
      </c>
      <c r="I14" s="7">
        <v>1200</v>
      </c>
      <c r="J14" s="5">
        <v>1901</v>
      </c>
      <c r="K14" s="15">
        <f>L14</f>
        <v>1901</v>
      </c>
      <c r="L14" s="15">
        <f>1001+900</f>
        <v>1901</v>
      </c>
      <c r="M14" s="15">
        <f t="shared" si="0"/>
        <v>1901</v>
      </c>
      <c r="N14" s="15">
        <v>0</v>
      </c>
      <c r="O14" s="58">
        <f t="shared" si="1"/>
        <v>0</v>
      </c>
      <c r="P14" s="39">
        <f t="shared" si="2"/>
        <v>21</v>
      </c>
      <c r="Q14" s="40">
        <f t="shared" si="3"/>
        <v>3</v>
      </c>
      <c r="R14" s="7"/>
      <c r="S14" s="6">
        <v>3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0.875</v>
      </c>
      <c r="AD14" s="10">
        <f t="shared" si="8"/>
        <v>0.875</v>
      </c>
      <c r="AE14" s="36">
        <f t="shared" si="6"/>
        <v>0.5492424242424242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126</v>
      </c>
      <c r="D15" s="52" t="s">
        <v>138</v>
      </c>
      <c r="E15" s="53" t="s">
        <v>336</v>
      </c>
      <c r="F15" s="30" t="s">
        <v>139</v>
      </c>
      <c r="G15" s="12">
        <v>1</v>
      </c>
      <c r="H15" s="13">
        <v>24</v>
      </c>
      <c r="I15" s="31">
        <v>2000</v>
      </c>
      <c r="J15" s="14">
        <v>3245</v>
      </c>
      <c r="K15" s="15">
        <f>L15</f>
        <v>3245</v>
      </c>
      <c r="L15" s="15">
        <f>753+2492</f>
        <v>3245</v>
      </c>
      <c r="M15" s="15">
        <f t="shared" si="0"/>
        <v>3245</v>
      </c>
      <c r="N15" s="15">
        <v>0</v>
      </c>
      <c r="O15" s="58">
        <f t="shared" si="1"/>
        <v>0</v>
      </c>
      <c r="P15" s="39">
        <f t="shared" si="2"/>
        <v>18</v>
      </c>
      <c r="Q15" s="40">
        <f t="shared" si="3"/>
        <v>6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6</v>
      </c>
      <c r="AB15" s="8">
        <f t="shared" si="4"/>
        <v>1</v>
      </c>
      <c r="AC15" s="9">
        <f t="shared" si="5"/>
        <v>0.75</v>
      </c>
      <c r="AD15" s="10">
        <f t="shared" si="8"/>
        <v>0.75</v>
      </c>
      <c r="AE15" s="36">
        <f t="shared" si="6"/>
        <v>0.5492424242424242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234</v>
      </c>
      <c r="F16" s="30" t="s">
        <v>235</v>
      </c>
      <c r="G16" s="12">
        <v>1</v>
      </c>
      <c r="H16" s="13">
        <v>22</v>
      </c>
      <c r="I16" s="31">
        <v>30000</v>
      </c>
      <c r="J16" s="5">
        <v>10508</v>
      </c>
      <c r="K16" s="15">
        <f>L16+5720+10986+10898</f>
        <v>38112</v>
      </c>
      <c r="L16" s="15">
        <f>2651*2+2603*2</f>
        <v>10508</v>
      </c>
      <c r="M16" s="15">
        <f t="shared" si="0"/>
        <v>10508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0.5492424242424242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116</v>
      </c>
      <c r="D17" s="52" t="s">
        <v>138</v>
      </c>
      <c r="E17" s="53" t="s">
        <v>337</v>
      </c>
      <c r="F17" s="30" t="s">
        <v>204</v>
      </c>
      <c r="G17" s="12">
        <v>1</v>
      </c>
      <c r="H17" s="13">
        <v>24</v>
      </c>
      <c r="I17" s="7">
        <v>700</v>
      </c>
      <c r="J17" s="14">
        <v>1225</v>
      </c>
      <c r="K17" s="15">
        <f>L17</f>
        <v>1225</v>
      </c>
      <c r="L17" s="15">
        <v>1225</v>
      </c>
      <c r="M17" s="15">
        <f t="shared" si="0"/>
        <v>1225</v>
      </c>
      <c r="N17" s="15">
        <v>0</v>
      </c>
      <c r="O17" s="58">
        <f t="shared" si="1"/>
        <v>0</v>
      </c>
      <c r="P17" s="39">
        <f t="shared" si="2"/>
        <v>7</v>
      </c>
      <c r="Q17" s="40">
        <f t="shared" si="3"/>
        <v>17</v>
      </c>
      <c r="R17" s="7"/>
      <c r="S17" s="6"/>
      <c r="T17" s="16"/>
      <c r="U17" s="16"/>
      <c r="V17" s="17"/>
      <c r="W17" s="5">
        <v>17</v>
      </c>
      <c r="X17" s="16"/>
      <c r="Y17" s="16"/>
      <c r="Z17" s="16"/>
      <c r="AA17" s="18"/>
      <c r="AB17" s="8">
        <f t="shared" si="4"/>
        <v>1</v>
      </c>
      <c r="AC17" s="9">
        <f t="shared" si="5"/>
        <v>0.29166666666666669</v>
      </c>
      <c r="AD17" s="10">
        <f t="shared" si="8"/>
        <v>0.29166666666666669</v>
      </c>
      <c r="AE17" s="36">
        <f t="shared" si="6"/>
        <v>0.5492424242424242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172</v>
      </c>
      <c r="F18" s="30" t="s">
        <v>136</v>
      </c>
      <c r="G18" s="12">
        <v>1</v>
      </c>
      <c r="H18" s="13">
        <v>22</v>
      </c>
      <c r="I18" s="31">
        <v>17000</v>
      </c>
      <c r="J18" s="5">
        <v>1600</v>
      </c>
      <c r="K18" s="15">
        <f>L18+1550+666+3747+2255+3128+450+1534+2337</f>
        <v>17267</v>
      </c>
      <c r="L18" s="15">
        <v>1600</v>
      </c>
      <c r="M18" s="15">
        <f t="shared" si="0"/>
        <v>1600</v>
      </c>
      <c r="N18" s="15">
        <v>0</v>
      </c>
      <c r="O18" s="58">
        <f t="shared" si="1"/>
        <v>0</v>
      </c>
      <c r="P18" s="39">
        <f t="shared" si="2"/>
        <v>8</v>
      </c>
      <c r="Q18" s="40">
        <f t="shared" si="3"/>
        <v>16</v>
      </c>
      <c r="R18" s="7"/>
      <c r="S18" s="6">
        <v>16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0.33333333333333331</v>
      </c>
      <c r="AD18" s="10">
        <f t="shared" si="8"/>
        <v>0.33333333333333331</v>
      </c>
      <c r="AE18" s="36">
        <f t="shared" si="6"/>
        <v>0.5492424242424242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112</v>
      </c>
      <c r="D19" s="52" t="s">
        <v>159</v>
      </c>
      <c r="E19" s="53" t="s">
        <v>173</v>
      </c>
      <c r="F19" s="30" t="s">
        <v>123</v>
      </c>
      <c r="G19" s="33">
        <v>1</v>
      </c>
      <c r="H19" s="35">
        <v>24</v>
      </c>
      <c r="I19" s="7">
        <v>35000</v>
      </c>
      <c r="J19" s="14">
        <v>3270</v>
      </c>
      <c r="K19" s="15">
        <f>L19+2187+4152+5440+5251+5627+5544</f>
        <v>31471</v>
      </c>
      <c r="L19" s="15">
        <f>453+2817</f>
        <v>3270</v>
      </c>
      <c r="M19" s="15">
        <f t="shared" si="0"/>
        <v>3270</v>
      </c>
      <c r="N19" s="15">
        <v>0</v>
      </c>
      <c r="O19" s="58">
        <f t="shared" si="1"/>
        <v>0</v>
      </c>
      <c r="P19" s="39">
        <f t="shared" si="2"/>
        <v>15</v>
      </c>
      <c r="Q19" s="40">
        <f t="shared" si="3"/>
        <v>9</v>
      </c>
      <c r="R19" s="7"/>
      <c r="S19" s="6">
        <v>9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0.625</v>
      </c>
      <c r="AD19" s="10">
        <f t="shared" si="8"/>
        <v>0.625</v>
      </c>
      <c r="AE19" s="36">
        <f t="shared" si="6"/>
        <v>0.5492424242424242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126</v>
      </c>
      <c r="D20" s="52" t="s">
        <v>115</v>
      </c>
      <c r="E20" s="53" t="s">
        <v>307</v>
      </c>
      <c r="F20" s="30" t="s">
        <v>136</v>
      </c>
      <c r="G20" s="33">
        <v>1</v>
      </c>
      <c r="H20" s="35">
        <v>24</v>
      </c>
      <c r="I20" s="7">
        <v>50000</v>
      </c>
      <c r="J20" s="14">
        <v>5480</v>
      </c>
      <c r="K20" s="15">
        <f>L20+3526</f>
        <v>9006</v>
      </c>
      <c r="L20" s="15">
        <f>2708+2772</f>
        <v>5480</v>
      </c>
      <c r="M20" s="15">
        <f t="shared" si="0"/>
        <v>5480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0.5492424242424242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338</v>
      </c>
      <c r="F21" s="12" t="s">
        <v>114</v>
      </c>
      <c r="G21" s="12">
        <v>3</v>
      </c>
      <c r="H21" s="35">
        <v>20</v>
      </c>
      <c r="I21" s="7">
        <v>250000</v>
      </c>
      <c r="J21" s="14">
        <v>28566</v>
      </c>
      <c r="K21" s="15">
        <f>L21</f>
        <v>28566</v>
      </c>
      <c r="L21" s="15">
        <f>1452*3+8070*3</f>
        <v>28566</v>
      </c>
      <c r="M21" s="15">
        <f t="shared" si="0"/>
        <v>28566</v>
      </c>
      <c r="N21" s="15">
        <v>0</v>
      </c>
      <c r="O21" s="58">
        <f t="shared" si="1"/>
        <v>0</v>
      </c>
      <c r="P21" s="39">
        <f t="shared" si="2"/>
        <v>16</v>
      </c>
      <c r="Q21" s="40">
        <f t="shared" si="3"/>
        <v>8</v>
      </c>
      <c r="R21" s="7"/>
      <c r="S21" s="6">
        <v>8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0.66666666666666663</v>
      </c>
      <c r="AD21" s="10">
        <f t="shared" si="8"/>
        <v>0.66666666666666663</v>
      </c>
      <c r="AE21" s="36">
        <f t="shared" si="6"/>
        <v>0.5492424242424242</v>
      </c>
      <c r="AF21" s="81">
        <f t="shared" si="7"/>
        <v>16</v>
      </c>
    </row>
    <row r="22" spans="1:32" ht="21.75" customHeight="1">
      <c r="A22" s="92">
        <v>31</v>
      </c>
      <c r="B22" s="11" t="s">
        <v>57</v>
      </c>
      <c r="C22" s="11" t="s">
        <v>116</v>
      </c>
      <c r="D22" s="52" t="s">
        <v>115</v>
      </c>
      <c r="E22" s="53" t="s">
        <v>149</v>
      </c>
      <c r="F22" s="12" t="s">
        <v>136</v>
      </c>
      <c r="G22" s="12">
        <v>4</v>
      </c>
      <c r="H22" s="35">
        <v>20</v>
      </c>
      <c r="I22" s="7">
        <v>70000</v>
      </c>
      <c r="J22" s="14">
        <v>22300</v>
      </c>
      <c r="K22" s="15">
        <f>L22+22300</f>
        <v>22300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0.5492424242424242</v>
      </c>
      <c r="AF22" s="81">
        <f t="shared" si="7"/>
        <v>31</v>
      </c>
    </row>
    <row r="23" spans="1:32" ht="21.75" customHeight="1">
      <c r="A23" s="92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" si="9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0.5492424242424242</v>
      </c>
      <c r="AF23" s="81">
        <f t="shared" si="7"/>
        <v>32</v>
      </c>
    </row>
    <row r="24" spans="1:32" ht="21.75" customHeight="1">
      <c r="A24" s="92">
        <v>33</v>
      </c>
      <c r="B24" s="11" t="s">
        <v>57</v>
      </c>
      <c r="C24" s="11" t="s">
        <v>116</v>
      </c>
      <c r="D24" s="52" t="s">
        <v>142</v>
      </c>
      <c r="E24" s="53" t="s">
        <v>151</v>
      </c>
      <c r="F24" s="12" t="s">
        <v>123</v>
      </c>
      <c r="G24" s="12">
        <v>3</v>
      </c>
      <c r="H24" s="35">
        <v>20</v>
      </c>
      <c r="I24" s="7">
        <v>70000</v>
      </c>
      <c r="J24" s="14">
        <v>22125</v>
      </c>
      <c r="K24" s="15">
        <f>L24</f>
        <v>22125</v>
      </c>
      <c r="L24" s="15">
        <f>2220*4+4415*3</f>
        <v>22125</v>
      </c>
      <c r="M24" s="15">
        <f t="shared" si="0"/>
        <v>22125</v>
      </c>
      <c r="N24" s="15">
        <v>0</v>
      </c>
      <c r="O24" s="58">
        <f t="shared" si="1"/>
        <v>0</v>
      </c>
      <c r="P24" s="39">
        <f t="shared" si="2"/>
        <v>23</v>
      </c>
      <c r="Q24" s="40">
        <f t="shared" si="3"/>
        <v>1</v>
      </c>
      <c r="R24" s="7"/>
      <c r="S24" s="6">
        <v>1</v>
      </c>
      <c r="T24" s="16"/>
      <c r="U24" s="16"/>
      <c r="V24" s="114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0.95833333333333337</v>
      </c>
      <c r="AD24" s="10">
        <f t="shared" si="8"/>
        <v>0.95833333333333337</v>
      </c>
      <c r="AE24" s="36">
        <f t="shared" si="6"/>
        <v>0.5492424242424242</v>
      </c>
      <c r="AF24" s="81">
        <f t="shared" si="7"/>
        <v>33</v>
      </c>
    </row>
    <row r="25" spans="1:32" ht="21.75" customHeight="1">
      <c r="A25" s="92">
        <v>34</v>
      </c>
      <c r="B25" s="11" t="s">
        <v>57</v>
      </c>
      <c r="C25" s="11" t="s">
        <v>116</v>
      </c>
      <c r="D25" s="52" t="s">
        <v>127</v>
      </c>
      <c r="E25" s="53" t="s">
        <v>148</v>
      </c>
      <c r="F25" s="12" t="s">
        <v>124</v>
      </c>
      <c r="G25" s="12">
        <v>4</v>
      </c>
      <c r="H25" s="35">
        <v>20</v>
      </c>
      <c r="I25" s="7">
        <v>50000</v>
      </c>
      <c r="J25" s="14">
        <v>26548</v>
      </c>
      <c r="K25" s="15">
        <f>L25+15172+24432+25280+26548</f>
        <v>91432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4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0.5492424242424242</v>
      </c>
      <c r="AF25" s="81">
        <f t="shared" si="7"/>
        <v>34</v>
      </c>
    </row>
    <row r="26" spans="1:32" ht="21.75" customHeight="1">
      <c r="A26" s="92">
        <v>35</v>
      </c>
      <c r="B26" s="11" t="s">
        <v>57</v>
      </c>
      <c r="C26" s="11" t="s">
        <v>116</v>
      </c>
      <c r="D26" s="52" t="s">
        <v>121</v>
      </c>
      <c r="E26" s="53" t="s">
        <v>125</v>
      </c>
      <c r="F26" s="12" t="s">
        <v>124</v>
      </c>
      <c r="G26" s="12">
        <v>4</v>
      </c>
      <c r="H26" s="35">
        <v>20</v>
      </c>
      <c r="I26" s="7">
        <v>50000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0.5492424242424242</v>
      </c>
      <c r="AF26" s="81">
        <f t="shared" si="7"/>
        <v>35</v>
      </c>
    </row>
    <row r="27" spans="1:32" ht="21.75" customHeight="1" thickBot="1">
      <c r="A27" s="92">
        <v>36</v>
      </c>
      <c r="B27" s="11" t="s">
        <v>57</v>
      </c>
      <c r="C27" s="11" t="s">
        <v>113</v>
      </c>
      <c r="D27" s="52"/>
      <c r="E27" s="53" t="s">
        <v>150</v>
      </c>
      <c r="F27" s="12" t="s">
        <v>114</v>
      </c>
      <c r="G27" s="12">
        <v>4</v>
      </c>
      <c r="H27" s="35">
        <v>20</v>
      </c>
      <c r="I27" s="7">
        <v>1000000</v>
      </c>
      <c r="J27" s="14">
        <v>79328</v>
      </c>
      <c r="K27" s="15">
        <f>L27+28388+70816+76368+81764+83428+47688+53180+83092+82192+79328</f>
        <v>686244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>
        <v>24</v>
      </c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0.5492424242424242</v>
      </c>
      <c r="AF27" s="81">
        <f t="shared" si="7"/>
        <v>36</v>
      </c>
    </row>
    <row r="28" spans="1:32" ht="19.5" thickBot="1">
      <c r="A28" s="478" t="s">
        <v>34</v>
      </c>
      <c r="B28" s="479"/>
      <c r="C28" s="479"/>
      <c r="D28" s="479"/>
      <c r="E28" s="479"/>
      <c r="F28" s="479"/>
      <c r="G28" s="479"/>
      <c r="H28" s="480"/>
      <c r="I28" s="22">
        <f t="shared" ref="I28:N28" si="10">SUM(I6:I27)</f>
        <v>1916100</v>
      </c>
      <c r="J28" s="19">
        <f t="shared" si="10"/>
        <v>272059</v>
      </c>
      <c r="K28" s="20">
        <f t="shared" si="10"/>
        <v>1246082</v>
      </c>
      <c r="L28" s="21">
        <f t="shared" si="10"/>
        <v>106627</v>
      </c>
      <c r="M28" s="20">
        <f t="shared" si="10"/>
        <v>106627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290</v>
      </c>
      <c r="Q28" s="43">
        <f t="shared" si="11"/>
        <v>238</v>
      </c>
      <c r="R28" s="23">
        <f t="shared" si="11"/>
        <v>0</v>
      </c>
      <c r="S28" s="24">
        <f t="shared" si="11"/>
        <v>95</v>
      </c>
      <c r="T28" s="24">
        <f t="shared" si="11"/>
        <v>0</v>
      </c>
      <c r="U28" s="24">
        <f t="shared" si="11"/>
        <v>0</v>
      </c>
      <c r="V28" s="25">
        <f t="shared" si="11"/>
        <v>48</v>
      </c>
      <c r="W28" s="26">
        <f t="shared" si="11"/>
        <v>89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6</v>
      </c>
      <c r="AB28" s="28">
        <f>AVERAGE(AB6:AB27)</f>
        <v>0.76190476190476186</v>
      </c>
      <c r="AC28" s="4">
        <f>AVERAGE(AC6:AC27)</f>
        <v>0.5492424242424242</v>
      </c>
      <c r="AD28" s="4">
        <f>AVERAGE(AD6:AD27)</f>
        <v>0.5492424242424242</v>
      </c>
      <c r="AE28" s="29"/>
    </row>
    <row r="29" spans="1:32">
      <c r="T29" s="50" t="s">
        <v>128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129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81" t="s">
        <v>45</v>
      </c>
      <c r="B55" s="481"/>
      <c r="C55" s="481"/>
      <c r="D55" s="481"/>
      <c r="E55" s="48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82" t="s">
        <v>339</v>
      </c>
      <c r="B56" s="483"/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4"/>
      <c r="N56" s="485" t="s">
        <v>351</v>
      </c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7"/>
    </row>
    <row r="57" spans="1:32" ht="27" customHeight="1">
      <c r="A57" s="488" t="s">
        <v>2</v>
      </c>
      <c r="B57" s="489"/>
      <c r="C57" s="183" t="s">
        <v>46</v>
      </c>
      <c r="D57" s="183" t="s">
        <v>47</v>
      </c>
      <c r="E57" s="183" t="s">
        <v>107</v>
      </c>
      <c r="F57" s="490" t="s">
        <v>106</v>
      </c>
      <c r="G57" s="491"/>
      <c r="H57" s="491"/>
      <c r="I57" s="491"/>
      <c r="J57" s="491"/>
      <c r="K57" s="491"/>
      <c r="L57" s="491"/>
      <c r="M57" s="492"/>
      <c r="N57" s="67" t="s">
        <v>110</v>
      </c>
      <c r="O57" s="183" t="s">
        <v>46</v>
      </c>
      <c r="P57" s="490" t="s">
        <v>47</v>
      </c>
      <c r="Q57" s="493"/>
      <c r="R57" s="490" t="s">
        <v>38</v>
      </c>
      <c r="S57" s="491"/>
      <c r="T57" s="491"/>
      <c r="U57" s="493"/>
      <c r="V57" s="490" t="s">
        <v>48</v>
      </c>
      <c r="W57" s="491"/>
      <c r="X57" s="491"/>
      <c r="Y57" s="491"/>
      <c r="Z57" s="491"/>
      <c r="AA57" s="491"/>
      <c r="AB57" s="491"/>
      <c r="AC57" s="491"/>
      <c r="AD57" s="492"/>
    </row>
    <row r="58" spans="1:32" ht="27" customHeight="1">
      <c r="A58" s="455" t="s">
        <v>126</v>
      </c>
      <c r="B58" s="456"/>
      <c r="C58" s="184" t="s">
        <v>155</v>
      </c>
      <c r="D58" s="184" t="s">
        <v>157</v>
      </c>
      <c r="E58" s="184" t="s">
        <v>266</v>
      </c>
      <c r="F58" s="457" t="s">
        <v>144</v>
      </c>
      <c r="G58" s="458"/>
      <c r="H58" s="458"/>
      <c r="I58" s="458"/>
      <c r="J58" s="458"/>
      <c r="K58" s="458"/>
      <c r="L58" s="458"/>
      <c r="M58" s="459"/>
      <c r="N58" s="185" t="s">
        <v>116</v>
      </c>
      <c r="O58" s="191" t="s">
        <v>164</v>
      </c>
      <c r="P58" s="472" t="s">
        <v>115</v>
      </c>
      <c r="Q58" s="473"/>
      <c r="R58" s="472" t="s">
        <v>172</v>
      </c>
      <c r="S58" s="474"/>
      <c r="T58" s="474"/>
      <c r="U58" s="473"/>
      <c r="V58" s="461" t="s">
        <v>144</v>
      </c>
      <c r="W58" s="462"/>
      <c r="X58" s="462"/>
      <c r="Y58" s="462"/>
      <c r="Z58" s="462"/>
      <c r="AA58" s="462"/>
      <c r="AB58" s="462"/>
      <c r="AC58" s="462"/>
      <c r="AD58" s="463"/>
    </row>
    <row r="59" spans="1:32" ht="27" customHeight="1">
      <c r="A59" s="455" t="s">
        <v>116</v>
      </c>
      <c r="B59" s="456"/>
      <c r="C59" s="184" t="s">
        <v>164</v>
      </c>
      <c r="D59" s="184" t="s">
        <v>115</v>
      </c>
      <c r="E59" s="186" t="s">
        <v>172</v>
      </c>
      <c r="F59" s="457" t="s">
        <v>340</v>
      </c>
      <c r="G59" s="458"/>
      <c r="H59" s="458"/>
      <c r="I59" s="458"/>
      <c r="J59" s="458"/>
      <c r="K59" s="458"/>
      <c r="L59" s="458"/>
      <c r="M59" s="459"/>
      <c r="N59" s="185" t="s">
        <v>116</v>
      </c>
      <c r="O59" s="191" t="s">
        <v>352</v>
      </c>
      <c r="P59" s="472" t="s">
        <v>353</v>
      </c>
      <c r="Q59" s="473"/>
      <c r="R59" s="472" t="s">
        <v>354</v>
      </c>
      <c r="S59" s="474"/>
      <c r="T59" s="474"/>
      <c r="U59" s="473"/>
      <c r="V59" s="461" t="s">
        <v>187</v>
      </c>
      <c r="W59" s="462"/>
      <c r="X59" s="462"/>
      <c r="Y59" s="462"/>
      <c r="Z59" s="462"/>
      <c r="AA59" s="462"/>
      <c r="AB59" s="462"/>
      <c r="AC59" s="462"/>
      <c r="AD59" s="463"/>
    </row>
    <row r="60" spans="1:32" ht="27" customHeight="1">
      <c r="A60" s="455" t="s">
        <v>126</v>
      </c>
      <c r="B60" s="456"/>
      <c r="C60" s="184" t="s">
        <v>259</v>
      </c>
      <c r="D60" s="184" t="s">
        <v>320</v>
      </c>
      <c r="E60" s="186" t="s">
        <v>341</v>
      </c>
      <c r="F60" s="457" t="s">
        <v>342</v>
      </c>
      <c r="G60" s="458"/>
      <c r="H60" s="458"/>
      <c r="I60" s="458"/>
      <c r="J60" s="458"/>
      <c r="K60" s="458"/>
      <c r="L60" s="458"/>
      <c r="M60" s="459"/>
      <c r="N60" s="205" t="s">
        <v>112</v>
      </c>
      <c r="O60" s="199" t="s">
        <v>264</v>
      </c>
      <c r="P60" s="472" t="s">
        <v>115</v>
      </c>
      <c r="Q60" s="473"/>
      <c r="R60" s="472" t="s">
        <v>322</v>
      </c>
      <c r="S60" s="474"/>
      <c r="T60" s="474"/>
      <c r="U60" s="473"/>
      <c r="V60" s="461" t="s">
        <v>144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126</v>
      </c>
      <c r="B61" s="456"/>
      <c r="C61" s="184" t="s">
        <v>343</v>
      </c>
      <c r="D61" s="184" t="s">
        <v>344</v>
      </c>
      <c r="E61" s="186" t="s">
        <v>345</v>
      </c>
      <c r="F61" s="457" t="s">
        <v>187</v>
      </c>
      <c r="G61" s="458"/>
      <c r="H61" s="458"/>
      <c r="I61" s="458"/>
      <c r="J61" s="458"/>
      <c r="K61" s="458"/>
      <c r="L61" s="458"/>
      <c r="M61" s="459"/>
      <c r="N61" s="185" t="s">
        <v>163</v>
      </c>
      <c r="O61" s="191" t="s">
        <v>207</v>
      </c>
      <c r="P61" s="472" t="s">
        <v>138</v>
      </c>
      <c r="Q61" s="473"/>
      <c r="R61" s="472" t="s">
        <v>355</v>
      </c>
      <c r="S61" s="474"/>
      <c r="T61" s="474"/>
      <c r="U61" s="473"/>
      <c r="V61" s="461" t="s">
        <v>187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75" t="s">
        <v>116</v>
      </c>
      <c r="B62" s="460"/>
      <c r="C62" s="186" t="s">
        <v>192</v>
      </c>
      <c r="D62" s="186" t="s">
        <v>344</v>
      </c>
      <c r="E62" s="186" t="s">
        <v>337</v>
      </c>
      <c r="F62" s="457" t="s">
        <v>187</v>
      </c>
      <c r="G62" s="458"/>
      <c r="H62" s="458"/>
      <c r="I62" s="458"/>
      <c r="J62" s="458"/>
      <c r="K62" s="458"/>
      <c r="L62" s="458"/>
      <c r="M62" s="459"/>
      <c r="N62" s="185"/>
      <c r="O62" s="191"/>
      <c r="P62" s="472"/>
      <c r="Q62" s="473"/>
      <c r="R62" s="472"/>
      <c r="S62" s="474"/>
      <c r="T62" s="474"/>
      <c r="U62" s="473"/>
      <c r="V62" s="461"/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112</v>
      </c>
      <c r="B63" s="456"/>
      <c r="C63" s="184" t="s">
        <v>346</v>
      </c>
      <c r="D63" s="184" t="s">
        <v>347</v>
      </c>
      <c r="E63" s="186" t="s">
        <v>348</v>
      </c>
      <c r="F63" s="457" t="s">
        <v>349</v>
      </c>
      <c r="G63" s="458"/>
      <c r="H63" s="458"/>
      <c r="I63" s="458"/>
      <c r="J63" s="458"/>
      <c r="K63" s="458"/>
      <c r="L63" s="458"/>
      <c r="M63" s="459"/>
      <c r="N63" s="185"/>
      <c r="O63" s="191"/>
      <c r="P63" s="472"/>
      <c r="Q63" s="473"/>
      <c r="R63" s="472"/>
      <c r="S63" s="474"/>
      <c r="T63" s="474"/>
      <c r="U63" s="473"/>
      <c r="V63" s="461"/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112</v>
      </c>
      <c r="B64" s="456"/>
      <c r="C64" s="184" t="s">
        <v>164</v>
      </c>
      <c r="D64" s="184" t="s">
        <v>159</v>
      </c>
      <c r="E64" s="186" t="s">
        <v>173</v>
      </c>
      <c r="F64" s="457" t="s">
        <v>350</v>
      </c>
      <c r="G64" s="458"/>
      <c r="H64" s="458"/>
      <c r="I64" s="458"/>
      <c r="J64" s="458"/>
      <c r="K64" s="458"/>
      <c r="L64" s="458"/>
      <c r="M64" s="459"/>
      <c r="N64" s="185"/>
      <c r="O64" s="191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/>
      <c r="B65" s="456"/>
      <c r="C65" s="184"/>
      <c r="D65" s="184"/>
      <c r="E65" s="186"/>
      <c r="F65" s="457"/>
      <c r="G65" s="458"/>
      <c r="H65" s="458"/>
      <c r="I65" s="458"/>
      <c r="J65" s="458"/>
      <c r="K65" s="458"/>
      <c r="L65" s="458"/>
      <c r="M65" s="459"/>
      <c r="N65" s="185"/>
      <c r="O65" s="191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184"/>
      <c r="D66" s="184"/>
      <c r="E66" s="186"/>
      <c r="F66" s="457"/>
      <c r="G66" s="458"/>
      <c r="H66" s="458"/>
      <c r="I66" s="458"/>
      <c r="J66" s="458"/>
      <c r="K66" s="458"/>
      <c r="L66" s="458"/>
      <c r="M66" s="459"/>
      <c r="N66" s="185"/>
      <c r="O66" s="191"/>
      <c r="P66" s="460"/>
      <c r="Q66" s="460"/>
      <c r="R66" s="460"/>
      <c r="S66" s="460"/>
      <c r="T66" s="460"/>
      <c r="U66" s="460"/>
      <c r="V66" s="461"/>
      <c r="W66" s="462"/>
      <c r="X66" s="462"/>
      <c r="Y66" s="462"/>
      <c r="Z66" s="462"/>
      <c r="AA66" s="462"/>
      <c r="AB66" s="462"/>
      <c r="AC66" s="462"/>
      <c r="AD66" s="463"/>
      <c r="AF66" s="81">
        <f>8*3000</f>
        <v>24000</v>
      </c>
    </row>
    <row r="67" spans="1:32" ht="27" customHeight="1" thickBot="1">
      <c r="A67" s="464"/>
      <c r="B67" s="465"/>
      <c r="C67" s="187"/>
      <c r="D67" s="188"/>
      <c r="E67" s="187"/>
      <c r="F67" s="466"/>
      <c r="G67" s="467"/>
      <c r="H67" s="467"/>
      <c r="I67" s="467"/>
      <c r="J67" s="467"/>
      <c r="K67" s="467"/>
      <c r="L67" s="467"/>
      <c r="M67" s="468"/>
      <c r="N67" s="105"/>
      <c r="O67" s="97"/>
      <c r="P67" s="469"/>
      <c r="Q67" s="469"/>
      <c r="R67" s="469"/>
      <c r="S67" s="469"/>
      <c r="T67" s="469"/>
      <c r="U67" s="469"/>
      <c r="V67" s="470"/>
      <c r="W67" s="470"/>
      <c r="X67" s="470"/>
      <c r="Y67" s="470"/>
      <c r="Z67" s="470"/>
      <c r="AA67" s="470"/>
      <c r="AB67" s="470"/>
      <c r="AC67" s="470"/>
      <c r="AD67" s="471"/>
      <c r="AF67" s="81">
        <f>16*3000</f>
        <v>48000</v>
      </c>
    </row>
    <row r="68" spans="1:32" ht="27.75" thickBot="1">
      <c r="A68" s="453" t="s">
        <v>356</v>
      </c>
      <c r="B68" s="453"/>
      <c r="C68" s="453"/>
      <c r="D68" s="453"/>
      <c r="E68" s="453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54" t="s">
        <v>111</v>
      </c>
      <c r="B69" s="451"/>
      <c r="C69" s="189" t="s">
        <v>2</v>
      </c>
      <c r="D69" s="189" t="s">
        <v>37</v>
      </c>
      <c r="E69" s="189" t="s">
        <v>3</v>
      </c>
      <c r="F69" s="451" t="s">
        <v>109</v>
      </c>
      <c r="G69" s="451"/>
      <c r="H69" s="451"/>
      <c r="I69" s="451"/>
      <c r="J69" s="451"/>
      <c r="K69" s="451" t="s">
        <v>39</v>
      </c>
      <c r="L69" s="451"/>
      <c r="M69" s="189" t="s">
        <v>40</v>
      </c>
      <c r="N69" s="451" t="s">
        <v>41</v>
      </c>
      <c r="O69" s="451"/>
      <c r="P69" s="448" t="s">
        <v>42</v>
      </c>
      <c r="Q69" s="450"/>
      <c r="R69" s="448" t="s">
        <v>43</v>
      </c>
      <c r="S69" s="449"/>
      <c r="T69" s="449"/>
      <c r="U69" s="449"/>
      <c r="V69" s="449"/>
      <c r="W69" s="449"/>
      <c r="X69" s="449"/>
      <c r="Y69" s="449"/>
      <c r="Z69" s="449"/>
      <c r="AA69" s="450"/>
      <c r="AB69" s="451" t="s">
        <v>44</v>
      </c>
      <c r="AC69" s="451"/>
      <c r="AD69" s="452"/>
      <c r="AF69" s="81">
        <f>SUM(AF66:AF68)</f>
        <v>96000</v>
      </c>
    </row>
    <row r="70" spans="1:32" ht="25.5" customHeight="1">
      <c r="A70" s="439">
        <v>1</v>
      </c>
      <c r="B70" s="440"/>
      <c r="C70" s="98" t="s">
        <v>116</v>
      </c>
      <c r="D70" s="193"/>
      <c r="E70" s="190" t="s">
        <v>121</v>
      </c>
      <c r="F70" s="441" t="s">
        <v>357</v>
      </c>
      <c r="G70" s="431"/>
      <c r="H70" s="431"/>
      <c r="I70" s="431"/>
      <c r="J70" s="431"/>
      <c r="K70" s="431" t="s">
        <v>235</v>
      </c>
      <c r="L70" s="431"/>
      <c r="M70" s="51" t="s">
        <v>358</v>
      </c>
      <c r="N70" s="442" t="s">
        <v>259</v>
      </c>
      <c r="O70" s="442"/>
      <c r="P70" s="443">
        <v>100</v>
      </c>
      <c r="Q70" s="443"/>
      <c r="R70" s="444"/>
      <c r="S70" s="444"/>
      <c r="T70" s="444"/>
      <c r="U70" s="444"/>
      <c r="V70" s="444"/>
      <c r="W70" s="444"/>
      <c r="X70" s="444"/>
      <c r="Y70" s="444"/>
      <c r="Z70" s="444"/>
      <c r="AA70" s="444"/>
      <c r="AB70" s="431"/>
      <c r="AC70" s="431"/>
      <c r="AD70" s="432"/>
      <c r="AF70" s="50"/>
    </row>
    <row r="71" spans="1:32" ht="25.5" customHeight="1">
      <c r="A71" s="439">
        <v>2</v>
      </c>
      <c r="B71" s="440"/>
      <c r="C71" s="98" t="s">
        <v>360</v>
      </c>
      <c r="D71" s="193"/>
      <c r="E71" s="190" t="s">
        <v>347</v>
      </c>
      <c r="F71" s="441" t="s">
        <v>359</v>
      </c>
      <c r="G71" s="431"/>
      <c r="H71" s="431"/>
      <c r="I71" s="431"/>
      <c r="J71" s="431"/>
      <c r="K71" s="431" t="s">
        <v>361</v>
      </c>
      <c r="L71" s="431"/>
      <c r="M71" s="51" t="s">
        <v>362</v>
      </c>
      <c r="N71" s="442" t="s">
        <v>343</v>
      </c>
      <c r="O71" s="442"/>
      <c r="P71" s="443">
        <v>50</v>
      </c>
      <c r="Q71" s="443"/>
      <c r="R71" s="444"/>
      <c r="S71" s="444"/>
      <c r="T71" s="444"/>
      <c r="U71" s="444"/>
      <c r="V71" s="444"/>
      <c r="W71" s="444"/>
      <c r="X71" s="444"/>
      <c r="Y71" s="444"/>
      <c r="Z71" s="444"/>
      <c r="AA71" s="444"/>
      <c r="AB71" s="431"/>
      <c r="AC71" s="431"/>
      <c r="AD71" s="432"/>
      <c r="AF71" s="50"/>
    </row>
    <row r="72" spans="1:32" ht="25.5" customHeight="1">
      <c r="A72" s="439">
        <v>3</v>
      </c>
      <c r="B72" s="440"/>
      <c r="C72" s="98"/>
      <c r="D72" s="193"/>
      <c r="E72" s="190"/>
      <c r="F72" s="441"/>
      <c r="G72" s="431"/>
      <c r="H72" s="431"/>
      <c r="I72" s="431"/>
      <c r="J72" s="431"/>
      <c r="K72" s="431"/>
      <c r="L72" s="431"/>
      <c r="M72" s="51"/>
      <c r="N72" s="442"/>
      <c r="O72" s="442"/>
      <c r="P72" s="443"/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4</v>
      </c>
      <c r="B73" s="440"/>
      <c r="C73" s="98"/>
      <c r="D73" s="193"/>
      <c r="E73" s="190"/>
      <c r="F73" s="445"/>
      <c r="G73" s="446"/>
      <c r="H73" s="446"/>
      <c r="I73" s="446"/>
      <c r="J73" s="447"/>
      <c r="K73" s="431"/>
      <c r="L73" s="431"/>
      <c r="M73" s="51"/>
      <c r="N73" s="442"/>
      <c r="O73" s="442"/>
      <c r="P73" s="443"/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5</v>
      </c>
      <c r="B74" s="440"/>
      <c r="C74" s="98"/>
      <c r="D74" s="193"/>
      <c r="E74" s="190"/>
      <c r="F74" s="445"/>
      <c r="G74" s="446"/>
      <c r="H74" s="446"/>
      <c r="I74" s="446"/>
      <c r="J74" s="447"/>
      <c r="K74" s="431"/>
      <c r="L74" s="431"/>
      <c r="M74" s="51"/>
      <c r="N74" s="442"/>
      <c r="O74" s="442"/>
      <c r="P74" s="443"/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6</v>
      </c>
      <c r="B75" s="440"/>
      <c r="C75" s="98"/>
      <c r="D75" s="193"/>
      <c r="E75" s="190"/>
      <c r="F75" s="445"/>
      <c r="G75" s="446"/>
      <c r="H75" s="446"/>
      <c r="I75" s="446"/>
      <c r="J75" s="447"/>
      <c r="K75" s="431"/>
      <c r="L75" s="431"/>
      <c r="M75" s="51"/>
      <c r="N75" s="442"/>
      <c r="O75" s="442"/>
      <c r="P75" s="443"/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7</v>
      </c>
      <c r="B76" s="440"/>
      <c r="C76" s="98"/>
      <c r="D76" s="193"/>
      <c r="E76" s="190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8</v>
      </c>
      <c r="B77" s="440"/>
      <c r="C77" s="98"/>
      <c r="D77" s="193"/>
      <c r="E77" s="190"/>
      <c r="F77" s="441"/>
      <c r="G77" s="431"/>
      <c r="H77" s="431"/>
      <c r="I77" s="431"/>
      <c r="J77" s="431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9</v>
      </c>
      <c r="B78" s="440"/>
      <c r="C78" s="98"/>
      <c r="D78" s="193"/>
      <c r="E78" s="190"/>
      <c r="F78" s="441"/>
      <c r="G78" s="431"/>
      <c r="H78" s="431"/>
      <c r="I78" s="431"/>
      <c r="J78" s="431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10</v>
      </c>
      <c r="B79" s="440"/>
      <c r="C79" s="98"/>
      <c r="D79" s="193"/>
      <c r="E79" s="190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6.25" customHeight="1" thickBot="1">
      <c r="A80" s="411" t="s">
        <v>363</v>
      </c>
      <c r="B80" s="411"/>
      <c r="C80" s="411"/>
      <c r="D80" s="411"/>
      <c r="E80" s="411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33" t="s">
        <v>111</v>
      </c>
      <c r="B81" s="434"/>
      <c r="C81" s="192" t="s">
        <v>2</v>
      </c>
      <c r="D81" s="192" t="s">
        <v>37</v>
      </c>
      <c r="E81" s="192" t="s">
        <v>120</v>
      </c>
      <c r="F81" s="413" t="s">
        <v>38</v>
      </c>
      <c r="G81" s="413"/>
      <c r="H81" s="413"/>
      <c r="I81" s="413"/>
      <c r="J81" s="413"/>
      <c r="K81" s="435" t="s">
        <v>58</v>
      </c>
      <c r="L81" s="436"/>
      <c r="M81" s="436"/>
      <c r="N81" s="436"/>
      <c r="O81" s="436"/>
      <c r="P81" s="436"/>
      <c r="Q81" s="436"/>
      <c r="R81" s="436"/>
      <c r="S81" s="437"/>
      <c r="T81" s="413" t="s">
        <v>49</v>
      </c>
      <c r="U81" s="413"/>
      <c r="V81" s="435" t="s">
        <v>50</v>
      </c>
      <c r="W81" s="437"/>
      <c r="X81" s="436" t="s">
        <v>51</v>
      </c>
      <c r="Y81" s="436"/>
      <c r="Z81" s="436"/>
      <c r="AA81" s="436"/>
      <c r="AB81" s="436"/>
      <c r="AC81" s="436"/>
      <c r="AD81" s="438"/>
      <c r="AF81" s="50"/>
    </row>
    <row r="82" spans="1:32" ht="33.75" customHeight="1">
      <c r="A82" s="405">
        <v>1</v>
      </c>
      <c r="B82" s="406"/>
      <c r="C82" s="194"/>
      <c r="D82" s="194"/>
      <c r="E82" s="65"/>
      <c r="F82" s="420"/>
      <c r="G82" s="421"/>
      <c r="H82" s="421"/>
      <c r="I82" s="421"/>
      <c r="J82" s="422"/>
      <c r="K82" s="423"/>
      <c r="L82" s="424"/>
      <c r="M82" s="424"/>
      <c r="N82" s="424"/>
      <c r="O82" s="424"/>
      <c r="P82" s="424"/>
      <c r="Q82" s="424"/>
      <c r="R82" s="424"/>
      <c r="S82" s="425"/>
      <c r="T82" s="426"/>
      <c r="U82" s="427"/>
      <c r="V82" s="428"/>
      <c r="W82" s="428"/>
      <c r="X82" s="429"/>
      <c r="Y82" s="429"/>
      <c r="Z82" s="429"/>
      <c r="AA82" s="429"/>
      <c r="AB82" s="429"/>
      <c r="AC82" s="429"/>
      <c r="AD82" s="430"/>
      <c r="AF82" s="50"/>
    </row>
    <row r="83" spans="1:32" ht="30" customHeight="1">
      <c r="A83" s="398">
        <f>A82+1</f>
        <v>2</v>
      </c>
      <c r="B83" s="399"/>
      <c r="C83" s="193"/>
      <c r="D83" s="193"/>
      <c r="E83" s="32"/>
      <c r="F83" s="399"/>
      <c r="G83" s="399"/>
      <c r="H83" s="399"/>
      <c r="I83" s="399"/>
      <c r="J83" s="399"/>
      <c r="K83" s="414"/>
      <c r="L83" s="415"/>
      <c r="M83" s="415"/>
      <c r="N83" s="415"/>
      <c r="O83" s="415"/>
      <c r="P83" s="415"/>
      <c r="Q83" s="415"/>
      <c r="R83" s="415"/>
      <c r="S83" s="416"/>
      <c r="T83" s="417"/>
      <c r="U83" s="417"/>
      <c r="V83" s="417"/>
      <c r="W83" s="417"/>
      <c r="X83" s="418"/>
      <c r="Y83" s="418"/>
      <c r="Z83" s="418"/>
      <c r="AA83" s="418"/>
      <c r="AB83" s="418"/>
      <c r="AC83" s="418"/>
      <c r="AD83" s="419"/>
      <c r="AF83" s="50"/>
    </row>
    <row r="84" spans="1:32" ht="30" customHeight="1">
      <c r="A84" s="398">
        <f t="shared" ref="A84:A88" si="12">A83+1</f>
        <v>3</v>
      </c>
      <c r="B84" s="399"/>
      <c r="C84" s="193"/>
      <c r="D84" s="193"/>
      <c r="E84" s="32"/>
      <c r="F84" s="399"/>
      <c r="G84" s="399"/>
      <c r="H84" s="399"/>
      <c r="I84" s="399"/>
      <c r="J84" s="399"/>
      <c r="K84" s="414"/>
      <c r="L84" s="415"/>
      <c r="M84" s="415"/>
      <c r="N84" s="415"/>
      <c r="O84" s="415"/>
      <c r="P84" s="415"/>
      <c r="Q84" s="415"/>
      <c r="R84" s="415"/>
      <c r="S84" s="416"/>
      <c r="T84" s="417"/>
      <c r="U84" s="417"/>
      <c r="V84" s="417"/>
      <c r="W84" s="417"/>
      <c r="X84" s="418"/>
      <c r="Y84" s="418"/>
      <c r="Z84" s="418"/>
      <c r="AA84" s="418"/>
      <c r="AB84" s="418"/>
      <c r="AC84" s="418"/>
      <c r="AD84" s="419"/>
      <c r="AF84" s="50"/>
    </row>
    <row r="85" spans="1:32" ht="30" customHeight="1">
      <c r="A85" s="398">
        <f t="shared" si="12"/>
        <v>4</v>
      </c>
      <c r="B85" s="399"/>
      <c r="C85" s="193"/>
      <c r="D85" s="193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si="12"/>
        <v>5</v>
      </c>
      <c r="B86" s="399"/>
      <c r="C86" s="193"/>
      <c r="D86" s="193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12"/>
        <v>6</v>
      </c>
      <c r="B87" s="399"/>
      <c r="C87" s="193"/>
      <c r="D87" s="193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2"/>
        <v>7</v>
      </c>
      <c r="B88" s="399"/>
      <c r="C88" s="193"/>
      <c r="D88" s="193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6" thickBot="1">
      <c r="A89" s="411" t="s">
        <v>364</v>
      </c>
      <c r="B89" s="411"/>
      <c r="C89" s="411"/>
      <c r="D89" s="411"/>
      <c r="E89" s="411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12" t="s">
        <v>111</v>
      </c>
      <c r="B90" s="413"/>
      <c r="C90" s="403" t="s">
        <v>52</v>
      </c>
      <c r="D90" s="403"/>
      <c r="E90" s="403" t="s">
        <v>53</v>
      </c>
      <c r="F90" s="403"/>
      <c r="G90" s="403"/>
      <c r="H90" s="403"/>
      <c r="I90" s="403"/>
      <c r="J90" s="403"/>
      <c r="K90" s="403" t="s">
        <v>54</v>
      </c>
      <c r="L90" s="403"/>
      <c r="M90" s="403"/>
      <c r="N90" s="403"/>
      <c r="O90" s="403"/>
      <c r="P90" s="403"/>
      <c r="Q90" s="403"/>
      <c r="R90" s="403"/>
      <c r="S90" s="403"/>
      <c r="T90" s="403" t="s">
        <v>55</v>
      </c>
      <c r="U90" s="403"/>
      <c r="V90" s="403" t="s">
        <v>56</v>
      </c>
      <c r="W90" s="403"/>
      <c r="X90" s="403"/>
      <c r="Y90" s="403" t="s">
        <v>51</v>
      </c>
      <c r="Z90" s="403"/>
      <c r="AA90" s="403"/>
      <c r="AB90" s="403"/>
      <c r="AC90" s="403"/>
      <c r="AD90" s="404"/>
      <c r="AF90" s="50"/>
    </row>
    <row r="91" spans="1:32" ht="30.75" customHeight="1">
      <c r="A91" s="405">
        <v>1</v>
      </c>
      <c r="B91" s="406"/>
      <c r="C91" s="407"/>
      <c r="D91" s="407"/>
      <c r="E91" s="407"/>
      <c r="F91" s="407"/>
      <c r="G91" s="407"/>
      <c r="H91" s="407"/>
      <c r="I91" s="407"/>
      <c r="J91" s="407"/>
      <c r="K91" s="407"/>
      <c r="L91" s="407"/>
      <c r="M91" s="407"/>
      <c r="N91" s="407"/>
      <c r="O91" s="407"/>
      <c r="P91" s="407"/>
      <c r="Q91" s="407"/>
      <c r="R91" s="407"/>
      <c r="S91" s="407"/>
      <c r="T91" s="407"/>
      <c r="U91" s="407"/>
      <c r="V91" s="408"/>
      <c r="W91" s="408"/>
      <c r="X91" s="408"/>
      <c r="Y91" s="409"/>
      <c r="Z91" s="409"/>
      <c r="AA91" s="409"/>
      <c r="AB91" s="409"/>
      <c r="AC91" s="409"/>
      <c r="AD91" s="410"/>
      <c r="AF91" s="50"/>
    </row>
    <row r="92" spans="1:32" ht="30.75" customHeight="1">
      <c r="A92" s="398">
        <v>2</v>
      </c>
      <c r="B92" s="399"/>
      <c r="C92" s="400"/>
      <c r="D92" s="400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1"/>
      <c r="U92" s="401"/>
      <c r="V92" s="402"/>
      <c r="W92" s="402"/>
      <c r="X92" s="402"/>
      <c r="Y92" s="390"/>
      <c r="Z92" s="390"/>
      <c r="AA92" s="390"/>
      <c r="AB92" s="390"/>
      <c r="AC92" s="390"/>
      <c r="AD92" s="391"/>
      <c r="AF92" s="50"/>
    </row>
    <row r="93" spans="1:32" ht="30.75" customHeight="1" thickBot="1">
      <c r="A93" s="392">
        <v>3</v>
      </c>
      <c r="B93" s="393"/>
      <c r="C93" s="394"/>
      <c r="D93" s="394"/>
      <c r="E93" s="394"/>
      <c r="F93" s="394"/>
      <c r="G93" s="394"/>
      <c r="H93" s="394"/>
      <c r="I93" s="394"/>
      <c r="J93" s="394"/>
      <c r="K93" s="394"/>
      <c r="L93" s="394"/>
      <c r="M93" s="394"/>
      <c r="N93" s="394"/>
      <c r="O93" s="394"/>
      <c r="P93" s="394"/>
      <c r="Q93" s="394"/>
      <c r="R93" s="394"/>
      <c r="S93" s="394"/>
      <c r="T93" s="394"/>
      <c r="U93" s="394"/>
      <c r="V93" s="395"/>
      <c r="W93" s="395"/>
      <c r="X93" s="395"/>
      <c r="Y93" s="396"/>
      <c r="Z93" s="396"/>
      <c r="AA93" s="396"/>
      <c r="AB93" s="396"/>
      <c r="AC93" s="396"/>
      <c r="AD93" s="397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32C2-F7EA-456E-9596-F481C249DA70}">
  <sheetPr codeName="Sheet8">
    <pageSetUpPr fitToPage="1"/>
  </sheetPr>
  <dimension ref="A1:AF93"/>
  <sheetViews>
    <sheetView view="pageBreakPreview" zoomScale="70" zoomScaleNormal="72" zoomScaleSheetLayoutView="70" workbookViewId="0">
      <selection activeCell="F63" sqref="F63:M6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365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207" t="s">
        <v>17</v>
      </c>
      <c r="L5" s="207" t="s">
        <v>18</v>
      </c>
      <c r="M5" s="207" t="s">
        <v>19</v>
      </c>
      <c r="N5" s="20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10312</v>
      </c>
      <c r="K6" s="15">
        <f>L6+5046+2812+7738+10312</f>
        <v>25908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>AC6*AB6*(1-O6)</f>
        <v>0</v>
      </c>
      <c r="AE6" s="36">
        <f t="shared" ref="AE6:AE27" si="6">$AD$28</f>
        <v>0.49431818181818182</v>
      </c>
      <c r="AF6" s="81">
        <f t="shared" ref="AF6:AF27" si="7">A6</f>
        <v>1</v>
      </c>
    </row>
    <row r="7" spans="1:32" ht="27" customHeight="1">
      <c r="A7" s="106">
        <v>2</v>
      </c>
      <c r="B7" s="11" t="s">
        <v>57</v>
      </c>
      <c r="C7" s="34" t="s">
        <v>163</v>
      </c>
      <c r="D7" s="52" t="s">
        <v>138</v>
      </c>
      <c r="E7" s="53" t="s">
        <v>366</v>
      </c>
      <c r="F7" s="30" t="s">
        <v>137</v>
      </c>
      <c r="G7" s="12">
        <v>1</v>
      </c>
      <c r="H7" s="13">
        <v>24</v>
      </c>
      <c r="I7" s="31">
        <v>30000</v>
      </c>
      <c r="J7" s="14">
        <v>3491</v>
      </c>
      <c r="K7" s="15">
        <f>L7</f>
        <v>3491</v>
      </c>
      <c r="L7" s="15">
        <f>398+3093</f>
        <v>3491</v>
      </c>
      <c r="M7" s="15">
        <f t="shared" si="0"/>
        <v>3491</v>
      </c>
      <c r="N7" s="15">
        <v>0</v>
      </c>
      <c r="O7" s="58">
        <f t="shared" si="1"/>
        <v>0</v>
      </c>
      <c r="P7" s="39">
        <f t="shared" si="2"/>
        <v>17</v>
      </c>
      <c r="Q7" s="40">
        <f t="shared" si="3"/>
        <v>7</v>
      </c>
      <c r="R7" s="7"/>
      <c r="S7" s="6">
        <v>7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0.70833333333333337</v>
      </c>
      <c r="AD7" s="10">
        <f t="shared" ref="AD7:AD27" si="8">AC7*AB7*(1-O7)</f>
        <v>0.70833333333333337</v>
      </c>
      <c r="AE7" s="36">
        <f t="shared" si="6"/>
        <v>0.49431818181818182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126</v>
      </c>
      <c r="D8" s="52" t="s">
        <v>115</v>
      </c>
      <c r="E8" s="53" t="s">
        <v>266</v>
      </c>
      <c r="F8" s="30" t="s">
        <v>267</v>
      </c>
      <c r="G8" s="12">
        <v>1</v>
      </c>
      <c r="H8" s="13">
        <v>22</v>
      </c>
      <c r="I8" s="31">
        <v>4000</v>
      </c>
      <c r="J8" s="5">
        <v>4115</v>
      </c>
      <c r="K8" s="15">
        <f>L8+2482+2164</f>
        <v>8761</v>
      </c>
      <c r="L8" s="15">
        <f>2531+1584</f>
        <v>4115</v>
      </c>
      <c r="M8" s="15">
        <f t="shared" si="0"/>
        <v>4115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8"/>
        <v>0.875</v>
      </c>
      <c r="AE8" s="36">
        <f t="shared" si="6"/>
        <v>0.49431818181818182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257</v>
      </c>
      <c r="F9" s="30" t="s">
        <v>122</v>
      </c>
      <c r="G9" s="12">
        <v>1</v>
      </c>
      <c r="H9" s="13">
        <v>24</v>
      </c>
      <c r="I9" s="7">
        <v>50000</v>
      </c>
      <c r="J9" s="14">
        <v>3727</v>
      </c>
      <c r="K9" s="15">
        <f>L9+5224+5754+5666</f>
        <v>20371</v>
      </c>
      <c r="L9" s="15">
        <f>812+2915</f>
        <v>3727</v>
      </c>
      <c r="M9" s="15">
        <f t="shared" si="0"/>
        <v>3727</v>
      </c>
      <c r="N9" s="15">
        <v>0</v>
      </c>
      <c r="O9" s="58">
        <f t="shared" si="1"/>
        <v>0</v>
      </c>
      <c r="P9" s="39">
        <f t="shared" si="2"/>
        <v>15</v>
      </c>
      <c r="Q9" s="40">
        <f t="shared" si="3"/>
        <v>9</v>
      </c>
      <c r="R9" s="7"/>
      <c r="S9" s="6"/>
      <c r="T9" s="16"/>
      <c r="U9" s="16"/>
      <c r="V9" s="17">
        <v>9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0.625</v>
      </c>
      <c r="AD9" s="10">
        <f t="shared" si="8"/>
        <v>0.625</v>
      </c>
      <c r="AE9" s="36">
        <f t="shared" si="6"/>
        <v>0.49431818181818182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5715</v>
      </c>
      <c r="K10" s="15">
        <f>L10+5338+5669+5744+4980+3619+1932+309+2790+5660+4715+1739+3127+5884+1203+3638+5732+5658+5217+2430+1897+5596</f>
        <v>88592</v>
      </c>
      <c r="L10" s="15">
        <f>2850+2865</f>
        <v>5715</v>
      </c>
      <c r="M10" s="15">
        <f t="shared" si="0"/>
        <v>5715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0.49431818181818182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353</v>
      </c>
      <c r="E11" s="53" t="s">
        <v>354</v>
      </c>
      <c r="F11" s="30" t="s">
        <v>367</v>
      </c>
      <c r="G11" s="33">
        <v>30</v>
      </c>
      <c r="H11" s="35">
        <v>24</v>
      </c>
      <c r="I11" s="7">
        <v>300000</v>
      </c>
      <c r="J11" s="14">
        <v>143380</v>
      </c>
      <c r="K11" s="15">
        <f>L11</f>
        <v>143380</v>
      </c>
      <c r="L11" s="15">
        <f>3567*20+3602*20</f>
        <v>143380</v>
      </c>
      <c r="M11" s="15">
        <f t="shared" si="0"/>
        <v>143380</v>
      </c>
      <c r="N11" s="15">
        <v>0</v>
      </c>
      <c r="O11" s="58">
        <f t="shared" si="1"/>
        <v>0</v>
      </c>
      <c r="P11" s="39">
        <f t="shared" si="2"/>
        <v>21</v>
      </c>
      <c r="Q11" s="40">
        <f t="shared" si="3"/>
        <v>3</v>
      </c>
      <c r="R11" s="7"/>
      <c r="S11" s="6">
        <v>3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0.875</v>
      </c>
      <c r="AD11" s="10">
        <f t="shared" si="8"/>
        <v>0.875</v>
      </c>
      <c r="AE11" s="36">
        <f t="shared" si="6"/>
        <v>0.49431818181818182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126</v>
      </c>
      <c r="D12" s="52" t="s">
        <v>121</v>
      </c>
      <c r="E12" s="53" t="s">
        <v>368</v>
      </c>
      <c r="F12" s="30" t="s">
        <v>123</v>
      </c>
      <c r="G12" s="12">
        <v>3</v>
      </c>
      <c r="H12" s="13">
        <v>22</v>
      </c>
      <c r="I12" s="31">
        <v>32000</v>
      </c>
      <c r="J12" s="5">
        <v>7911</v>
      </c>
      <c r="K12" s="15">
        <f>L12</f>
        <v>7911</v>
      </c>
      <c r="L12" s="15">
        <f>326*3+2311*3</f>
        <v>7911</v>
      </c>
      <c r="M12" s="15">
        <f t="shared" si="0"/>
        <v>7911</v>
      </c>
      <c r="N12" s="15">
        <v>0</v>
      </c>
      <c r="O12" s="58">
        <f t="shared" si="1"/>
        <v>0</v>
      </c>
      <c r="P12" s="39">
        <f t="shared" si="2"/>
        <v>16</v>
      </c>
      <c r="Q12" s="40">
        <f t="shared" si="3"/>
        <v>8</v>
      </c>
      <c r="R12" s="7"/>
      <c r="S12" s="6">
        <v>8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0.66666666666666663</v>
      </c>
      <c r="AD12" s="10">
        <f t="shared" si="8"/>
        <v>0.66666666666666663</v>
      </c>
      <c r="AE12" s="36">
        <f t="shared" si="6"/>
        <v>0.49431818181818182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126</v>
      </c>
      <c r="D13" s="52"/>
      <c r="E13" s="53" t="s">
        <v>304</v>
      </c>
      <c r="F13" s="30" t="s">
        <v>122</v>
      </c>
      <c r="G13" s="33">
        <v>1</v>
      </c>
      <c r="H13" s="35">
        <v>22</v>
      </c>
      <c r="I13" s="7">
        <v>12000</v>
      </c>
      <c r="J13" s="14">
        <v>2342</v>
      </c>
      <c r="K13" s="15">
        <f>L13+3169+4592</f>
        <v>10103</v>
      </c>
      <c r="L13" s="15">
        <v>2342</v>
      </c>
      <c r="M13" s="15">
        <f t="shared" si="0"/>
        <v>2342</v>
      </c>
      <c r="N13" s="15">
        <v>0</v>
      </c>
      <c r="O13" s="58">
        <f t="shared" si="1"/>
        <v>0</v>
      </c>
      <c r="P13" s="39">
        <f t="shared" si="2"/>
        <v>12</v>
      </c>
      <c r="Q13" s="40">
        <f t="shared" si="3"/>
        <v>12</v>
      </c>
      <c r="R13" s="7"/>
      <c r="S13" s="6"/>
      <c r="T13" s="16"/>
      <c r="U13" s="16"/>
      <c r="V13" s="17">
        <v>12</v>
      </c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</v>
      </c>
      <c r="AD13" s="10">
        <f t="shared" si="8"/>
        <v>0.5</v>
      </c>
      <c r="AE13" s="36">
        <f t="shared" si="6"/>
        <v>0.49431818181818182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322</v>
      </c>
      <c r="F14" s="30" t="s">
        <v>305</v>
      </c>
      <c r="G14" s="33">
        <v>1</v>
      </c>
      <c r="H14" s="35">
        <v>50</v>
      </c>
      <c r="I14" s="7">
        <v>1200</v>
      </c>
      <c r="J14" s="5">
        <v>1172</v>
      </c>
      <c r="K14" s="15">
        <f>L14+1901</f>
        <v>3073</v>
      </c>
      <c r="L14" s="15">
        <v>1172</v>
      </c>
      <c r="M14" s="15">
        <f t="shared" si="0"/>
        <v>1172</v>
      </c>
      <c r="N14" s="15">
        <v>0</v>
      </c>
      <c r="O14" s="58">
        <f t="shared" si="1"/>
        <v>0</v>
      </c>
      <c r="P14" s="39">
        <f t="shared" si="2"/>
        <v>12</v>
      </c>
      <c r="Q14" s="40">
        <f t="shared" si="3"/>
        <v>12</v>
      </c>
      <c r="R14" s="7"/>
      <c r="S14" s="6"/>
      <c r="T14" s="16"/>
      <c r="U14" s="16"/>
      <c r="V14" s="17"/>
      <c r="W14" s="5">
        <v>12</v>
      </c>
      <c r="X14" s="16"/>
      <c r="Y14" s="16"/>
      <c r="Z14" s="16"/>
      <c r="AA14" s="18"/>
      <c r="AB14" s="8">
        <f t="shared" si="4"/>
        <v>1</v>
      </c>
      <c r="AC14" s="9">
        <f t="shared" si="5"/>
        <v>0.5</v>
      </c>
      <c r="AD14" s="10">
        <f t="shared" si="8"/>
        <v>0.5</v>
      </c>
      <c r="AE14" s="36">
        <f t="shared" si="6"/>
        <v>0.49431818181818182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138</v>
      </c>
      <c r="E15" s="53" t="s">
        <v>147</v>
      </c>
      <c r="F15" s="30" t="s">
        <v>139</v>
      </c>
      <c r="G15" s="12">
        <v>2</v>
      </c>
      <c r="H15" s="13">
        <v>24</v>
      </c>
      <c r="I15" s="31">
        <v>45000</v>
      </c>
      <c r="J15" s="14">
        <v>11556</v>
      </c>
      <c r="K15" s="15">
        <f>L15</f>
        <v>11556</v>
      </c>
      <c r="L15" s="15">
        <f>2732*2+3046*2</f>
        <v>11556</v>
      </c>
      <c r="M15" s="15">
        <f t="shared" si="0"/>
        <v>11556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0.49431818181818182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234</v>
      </c>
      <c r="F16" s="30" t="s">
        <v>235</v>
      </c>
      <c r="G16" s="12">
        <v>1</v>
      </c>
      <c r="H16" s="13">
        <v>22</v>
      </c>
      <c r="I16" s="31">
        <v>44000</v>
      </c>
      <c r="J16" s="5">
        <v>10758</v>
      </c>
      <c r="K16" s="15">
        <f>L16</f>
        <v>10758</v>
      </c>
      <c r="L16" s="15">
        <f>2699*2+2680*2</f>
        <v>10758</v>
      </c>
      <c r="M16" s="15">
        <f t="shared" si="0"/>
        <v>10758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0.49431818181818182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116</v>
      </c>
      <c r="D17" s="52" t="s">
        <v>138</v>
      </c>
      <c r="E17" s="53" t="s">
        <v>337</v>
      </c>
      <c r="F17" s="30" t="s">
        <v>204</v>
      </c>
      <c r="G17" s="12">
        <v>1</v>
      </c>
      <c r="H17" s="13">
        <v>24</v>
      </c>
      <c r="I17" s="7">
        <v>700</v>
      </c>
      <c r="J17" s="14">
        <v>1225</v>
      </c>
      <c r="K17" s="15">
        <f>L17+1225</f>
        <v>1225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0.49431818181818182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172</v>
      </c>
      <c r="F18" s="30" t="s">
        <v>136</v>
      </c>
      <c r="G18" s="12">
        <v>1</v>
      </c>
      <c r="H18" s="13">
        <v>22</v>
      </c>
      <c r="I18" s="31">
        <v>17000</v>
      </c>
      <c r="J18" s="5">
        <v>1171</v>
      </c>
      <c r="K18" s="15">
        <f>L18+1550+666+3747+2255+3128+450+1534+2337+1600</f>
        <v>18438</v>
      </c>
      <c r="L18" s="15">
        <f>608+563</f>
        <v>1171</v>
      </c>
      <c r="M18" s="15">
        <f t="shared" si="0"/>
        <v>1171</v>
      </c>
      <c r="N18" s="15">
        <v>0</v>
      </c>
      <c r="O18" s="58">
        <f t="shared" si="1"/>
        <v>0</v>
      </c>
      <c r="P18" s="39">
        <f t="shared" si="2"/>
        <v>5</v>
      </c>
      <c r="Q18" s="40">
        <f t="shared" si="3"/>
        <v>19</v>
      </c>
      <c r="R18" s="7"/>
      <c r="S18" s="6">
        <v>19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0.20833333333333334</v>
      </c>
      <c r="AD18" s="10">
        <f t="shared" si="8"/>
        <v>0.20833333333333334</v>
      </c>
      <c r="AE18" s="36">
        <f t="shared" si="6"/>
        <v>0.49431818181818182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112</v>
      </c>
      <c r="D19" s="52" t="s">
        <v>159</v>
      </c>
      <c r="E19" s="53" t="s">
        <v>173</v>
      </c>
      <c r="F19" s="30" t="s">
        <v>123</v>
      </c>
      <c r="G19" s="33">
        <v>1</v>
      </c>
      <c r="H19" s="35">
        <v>24</v>
      </c>
      <c r="I19" s="7">
        <v>35000</v>
      </c>
      <c r="J19" s="14">
        <v>2848</v>
      </c>
      <c r="K19" s="15">
        <f>L19+2187+4152+5440+5251+5627+5544+3270</f>
        <v>34319</v>
      </c>
      <c r="L19" s="15">
        <f>2848</f>
        <v>2848</v>
      </c>
      <c r="M19" s="15">
        <f t="shared" si="0"/>
        <v>2848</v>
      </c>
      <c r="N19" s="15">
        <v>0</v>
      </c>
      <c r="O19" s="58">
        <f t="shared" si="1"/>
        <v>0</v>
      </c>
      <c r="P19" s="39">
        <f t="shared" si="2"/>
        <v>12</v>
      </c>
      <c r="Q19" s="40">
        <f t="shared" si="3"/>
        <v>12</v>
      </c>
      <c r="R19" s="7"/>
      <c r="S19" s="6"/>
      <c r="T19" s="16"/>
      <c r="U19" s="16"/>
      <c r="V19" s="17">
        <v>12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</v>
      </c>
      <c r="AD19" s="10">
        <f t="shared" si="8"/>
        <v>0.5</v>
      </c>
      <c r="AE19" s="36">
        <f t="shared" si="6"/>
        <v>0.49431818181818182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126</v>
      </c>
      <c r="D20" s="52" t="s">
        <v>115</v>
      </c>
      <c r="E20" s="53" t="s">
        <v>307</v>
      </c>
      <c r="F20" s="30" t="s">
        <v>136</v>
      </c>
      <c r="G20" s="33">
        <v>1</v>
      </c>
      <c r="H20" s="35">
        <v>24</v>
      </c>
      <c r="I20" s="7">
        <v>50000</v>
      </c>
      <c r="J20" s="14">
        <v>5271</v>
      </c>
      <c r="K20" s="15">
        <f>L20</f>
        <v>5271</v>
      </c>
      <c r="L20" s="15">
        <f>2494+2777</f>
        <v>5271</v>
      </c>
      <c r="M20" s="15">
        <f t="shared" si="0"/>
        <v>5271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8"/>
        <v>0.91666666666666663</v>
      </c>
      <c r="AE20" s="36">
        <f t="shared" si="6"/>
        <v>0.49431818181818182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338</v>
      </c>
      <c r="F21" s="12" t="s">
        <v>114</v>
      </c>
      <c r="G21" s="12">
        <v>3</v>
      </c>
      <c r="H21" s="35">
        <v>20</v>
      </c>
      <c r="I21" s="7">
        <v>250000</v>
      </c>
      <c r="J21" s="14">
        <v>48777</v>
      </c>
      <c r="K21" s="15">
        <f>L21+28566</f>
        <v>77343</v>
      </c>
      <c r="L21" s="15">
        <f>8110*3+8149*3</f>
        <v>48777</v>
      </c>
      <c r="M21" s="15">
        <f t="shared" si="0"/>
        <v>48777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0.49431818181818182</v>
      </c>
      <c r="AF21" s="81">
        <f t="shared" si="7"/>
        <v>16</v>
      </c>
    </row>
    <row r="22" spans="1:32" ht="21.75" customHeight="1">
      <c r="A22" s="92">
        <v>31</v>
      </c>
      <c r="B22" s="11" t="s">
        <v>57</v>
      </c>
      <c r="C22" s="11" t="s">
        <v>116</v>
      </c>
      <c r="D22" s="52" t="s">
        <v>115</v>
      </c>
      <c r="E22" s="53" t="s">
        <v>149</v>
      </c>
      <c r="F22" s="12" t="s">
        <v>136</v>
      </c>
      <c r="G22" s="12">
        <v>4</v>
      </c>
      <c r="H22" s="35">
        <v>20</v>
      </c>
      <c r="I22" s="7">
        <v>70000</v>
      </c>
      <c r="J22" s="14">
        <v>22300</v>
      </c>
      <c r="K22" s="15">
        <f>L22+22300</f>
        <v>22300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0.49431818181818182</v>
      </c>
      <c r="AF22" s="81">
        <f t="shared" si="7"/>
        <v>31</v>
      </c>
    </row>
    <row r="23" spans="1:32" ht="21.75" customHeight="1">
      <c r="A23" s="92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" si="9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0.49431818181818182</v>
      </c>
      <c r="AF23" s="81">
        <f t="shared" si="7"/>
        <v>32</v>
      </c>
    </row>
    <row r="24" spans="1:32" ht="21.75" customHeight="1">
      <c r="A24" s="92">
        <v>33</v>
      </c>
      <c r="B24" s="11" t="s">
        <v>57</v>
      </c>
      <c r="C24" s="11" t="s">
        <v>116</v>
      </c>
      <c r="D24" s="52" t="s">
        <v>142</v>
      </c>
      <c r="E24" s="53" t="s">
        <v>151</v>
      </c>
      <c r="F24" s="12" t="s">
        <v>123</v>
      </c>
      <c r="G24" s="12">
        <v>3</v>
      </c>
      <c r="H24" s="35">
        <v>20</v>
      </c>
      <c r="I24" s="7">
        <v>70000</v>
      </c>
      <c r="J24" s="14">
        <v>9744</v>
      </c>
      <c r="K24" s="15">
        <f>L24+22125</f>
        <v>31869</v>
      </c>
      <c r="L24" s="15">
        <f>3248*3</f>
        <v>9744</v>
      </c>
      <c r="M24" s="15">
        <f t="shared" si="0"/>
        <v>9744</v>
      </c>
      <c r="N24" s="15">
        <v>0</v>
      </c>
      <c r="O24" s="58">
        <f t="shared" si="1"/>
        <v>0</v>
      </c>
      <c r="P24" s="39">
        <f t="shared" si="2"/>
        <v>12</v>
      </c>
      <c r="Q24" s="40">
        <f t="shared" si="3"/>
        <v>12</v>
      </c>
      <c r="R24" s="7"/>
      <c r="S24" s="6"/>
      <c r="T24" s="16"/>
      <c r="U24" s="16"/>
      <c r="V24" s="114">
        <v>12</v>
      </c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0.5</v>
      </c>
      <c r="AD24" s="10">
        <f t="shared" si="8"/>
        <v>0.5</v>
      </c>
      <c r="AE24" s="36">
        <f t="shared" si="6"/>
        <v>0.49431818181818182</v>
      </c>
      <c r="AF24" s="81">
        <f t="shared" si="7"/>
        <v>33</v>
      </c>
    </row>
    <row r="25" spans="1:32" ht="21.75" customHeight="1">
      <c r="A25" s="92">
        <v>34</v>
      </c>
      <c r="B25" s="11" t="s">
        <v>57</v>
      </c>
      <c r="C25" s="11" t="s">
        <v>116</v>
      </c>
      <c r="D25" s="52" t="s">
        <v>127</v>
      </c>
      <c r="E25" s="53" t="s">
        <v>148</v>
      </c>
      <c r="F25" s="12" t="s">
        <v>124</v>
      </c>
      <c r="G25" s="12">
        <v>4</v>
      </c>
      <c r="H25" s="35">
        <v>20</v>
      </c>
      <c r="I25" s="7">
        <v>50000</v>
      </c>
      <c r="J25" s="14">
        <v>26548</v>
      </c>
      <c r="K25" s="15">
        <f>L25+15172+24432+25280+26548</f>
        <v>91432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4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0.49431818181818182</v>
      </c>
      <c r="AF25" s="81">
        <f t="shared" si="7"/>
        <v>34</v>
      </c>
    </row>
    <row r="26" spans="1:32" ht="21.75" customHeight="1">
      <c r="A26" s="92">
        <v>35</v>
      </c>
      <c r="B26" s="11" t="s">
        <v>57</v>
      </c>
      <c r="C26" s="11" t="s">
        <v>116</v>
      </c>
      <c r="D26" s="52" t="s">
        <v>121</v>
      </c>
      <c r="E26" s="53" t="s">
        <v>125</v>
      </c>
      <c r="F26" s="12" t="s">
        <v>124</v>
      </c>
      <c r="G26" s="12">
        <v>4</v>
      </c>
      <c r="H26" s="35">
        <v>20</v>
      </c>
      <c r="I26" s="7">
        <v>50000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0.49431818181818182</v>
      </c>
      <c r="AF26" s="81">
        <f t="shared" si="7"/>
        <v>35</v>
      </c>
    </row>
    <row r="27" spans="1:32" ht="21.75" customHeight="1" thickBot="1">
      <c r="A27" s="92">
        <v>36</v>
      </c>
      <c r="B27" s="11" t="s">
        <v>57</v>
      </c>
      <c r="C27" s="11" t="s">
        <v>113</v>
      </c>
      <c r="D27" s="52"/>
      <c r="E27" s="53" t="s">
        <v>150</v>
      </c>
      <c r="F27" s="12" t="s">
        <v>114</v>
      </c>
      <c r="G27" s="12">
        <v>4</v>
      </c>
      <c r="H27" s="35">
        <v>20</v>
      </c>
      <c r="I27" s="7">
        <v>1000000</v>
      </c>
      <c r="J27" s="14">
        <v>79328</v>
      </c>
      <c r="K27" s="15">
        <f>L27+28388+70816+76368+81764+83428+47688+53180+83092+82192+79328</f>
        <v>686244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>
        <v>24</v>
      </c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0.49431818181818182</v>
      </c>
      <c r="AF27" s="81">
        <f t="shared" si="7"/>
        <v>36</v>
      </c>
    </row>
    <row r="28" spans="1:32" ht="19.5" thickBot="1">
      <c r="A28" s="478" t="s">
        <v>34</v>
      </c>
      <c r="B28" s="479"/>
      <c r="C28" s="479"/>
      <c r="D28" s="479"/>
      <c r="E28" s="479"/>
      <c r="F28" s="479"/>
      <c r="G28" s="479"/>
      <c r="H28" s="480"/>
      <c r="I28" s="22">
        <f t="shared" ref="I28:N28" si="10">SUM(I6:I27)</f>
        <v>2245900</v>
      </c>
      <c r="J28" s="19">
        <f t="shared" si="10"/>
        <v>428635</v>
      </c>
      <c r="K28" s="20">
        <f t="shared" si="10"/>
        <v>1375597</v>
      </c>
      <c r="L28" s="21">
        <f t="shared" si="10"/>
        <v>261978</v>
      </c>
      <c r="M28" s="20">
        <f t="shared" si="10"/>
        <v>261978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261</v>
      </c>
      <c r="Q28" s="43">
        <f t="shared" si="11"/>
        <v>267</v>
      </c>
      <c r="R28" s="23">
        <f t="shared" si="11"/>
        <v>0</v>
      </c>
      <c r="S28" s="24">
        <f t="shared" si="11"/>
        <v>66</v>
      </c>
      <c r="T28" s="24">
        <f t="shared" si="11"/>
        <v>0</v>
      </c>
      <c r="U28" s="24">
        <f t="shared" si="11"/>
        <v>0</v>
      </c>
      <c r="V28" s="25">
        <f t="shared" si="11"/>
        <v>93</v>
      </c>
      <c r="W28" s="26">
        <f t="shared" si="11"/>
        <v>108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0</v>
      </c>
      <c r="AB28" s="28">
        <f>AVERAGE(AB6:AB27)</f>
        <v>0.7142857142857143</v>
      </c>
      <c r="AC28" s="4">
        <f>AVERAGE(AC6:AC27)</f>
        <v>0.49431818181818182</v>
      </c>
      <c r="AD28" s="4">
        <f>AVERAGE(AD6:AD27)</f>
        <v>0.49431818181818182</v>
      </c>
      <c r="AE28" s="29"/>
    </row>
    <row r="29" spans="1:32">
      <c r="T29" s="50" t="s">
        <v>128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129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81" t="s">
        <v>45</v>
      </c>
      <c r="B55" s="481"/>
      <c r="C55" s="481"/>
      <c r="D55" s="481"/>
      <c r="E55" s="48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82" t="s">
        <v>369</v>
      </c>
      <c r="B56" s="483"/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4"/>
      <c r="N56" s="485" t="s">
        <v>381</v>
      </c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7"/>
    </row>
    <row r="57" spans="1:32" ht="27" customHeight="1">
      <c r="A57" s="488" t="s">
        <v>2</v>
      </c>
      <c r="B57" s="489"/>
      <c r="C57" s="206" t="s">
        <v>46</v>
      </c>
      <c r="D57" s="206" t="s">
        <v>47</v>
      </c>
      <c r="E57" s="206" t="s">
        <v>107</v>
      </c>
      <c r="F57" s="490" t="s">
        <v>106</v>
      </c>
      <c r="G57" s="491"/>
      <c r="H57" s="491"/>
      <c r="I57" s="491"/>
      <c r="J57" s="491"/>
      <c r="K57" s="491"/>
      <c r="L57" s="491"/>
      <c r="M57" s="492"/>
      <c r="N57" s="67" t="s">
        <v>110</v>
      </c>
      <c r="O57" s="206" t="s">
        <v>46</v>
      </c>
      <c r="P57" s="490" t="s">
        <v>47</v>
      </c>
      <c r="Q57" s="493"/>
      <c r="R57" s="490" t="s">
        <v>38</v>
      </c>
      <c r="S57" s="491"/>
      <c r="T57" s="491"/>
      <c r="U57" s="493"/>
      <c r="V57" s="490" t="s">
        <v>48</v>
      </c>
      <c r="W57" s="491"/>
      <c r="X57" s="491"/>
      <c r="Y57" s="491"/>
      <c r="Z57" s="491"/>
      <c r="AA57" s="491"/>
      <c r="AB57" s="491"/>
      <c r="AC57" s="491"/>
      <c r="AD57" s="492"/>
    </row>
    <row r="58" spans="1:32" ht="27" customHeight="1">
      <c r="A58" s="455" t="s">
        <v>126</v>
      </c>
      <c r="B58" s="456"/>
      <c r="C58" s="201" t="s">
        <v>155</v>
      </c>
      <c r="D58" s="201" t="s">
        <v>157</v>
      </c>
      <c r="E58" s="201" t="s">
        <v>266</v>
      </c>
      <c r="F58" s="457" t="s">
        <v>370</v>
      </c>
      <c r="G58" s="458"/>
      <c r="H58" s="458"/>
      <c r="I58" s="458"/>
      <c r="J58" s="458"/>
      <c r="K58" s="458"/>
      <c r="L58" s="458"/>
      <c r="M58" s="459"/>
      <c r="N58" s="205" t="s">
        <v>116</v>
      </c>
      <c r="O58" s="199" t="s">
        <v>164</v>
      </c>
      <c r="P58" s="472" t="s">
        <v>115</v>
      </c>
      <c r="Q58" s="473"/>
      <c r="R58" s="472" t="s">
        <v>172</v>
      </c>
      <c r="S58" s="474"/>
      <c r="T58" s="474"/>
      <c r="U58" s="473"/>
      <c r="V58" s="461" t="s">
        <v>144</v>
      </c>
      <c r="W58" s="462"/>
      <c r="X58" s="462"/>
      <c r="Y58" s="462"/>
      <c r="Z58" s="462"/>
      <c r="AA58" s="462"/>
      <c r="AB58" s="462"/>
      <c r="AC58" s="462"/>
      <c r="AD58" s="463"/>
    </row>
    <row r="59" spans="1:32" ht="27" customHeight="1">
      <c r="A59" s="455" t="s">
        <v>116</v>
      </c>
      <c r="B59" s="456"/>
      <c r="C59" s="201" t="s">
        <v>164</v>
      </c>
      <c r="D59" s="201" t="s">
        <v>115</v>
      </c>
      <c r="E59" s="202" t="s">
        <v>172</v>
      </c>
      <c r="F59" s="457" t="s">
        <v>310</v>
      </c>
      <c r="G59" s="458"/>
      <c r="H59" s="458"/>
      <c r="I59" s="458"/>
      <c r="J59" s="458"/>
      <c r="K59" s="458"/>
      <c r="L59" s="458"/>
      <c r="M59" s="459"/>
      <c r="N59" s="205" t="s">
        <v>116</v>
      </c>
      <c r="O59" s="199" t="s">
        <v>352</v>
      </c>
      <c r="P59" s="472" t="s">
        <v>353</v>
      </c>
      <c r="Q59" s="473"/>
      <c r="R59" s="472" t="s">
        <v>354</v>
      </c>
      <c r="S59" s="474"/>
      <c r="T59" s="474"/>
      <c r="U59" s="473"/>
      <c r="V59" s="461" t="s">
        <v>144</v>
      </c>
      <c r="W59" s="462"/>
      <c r="X59" s="462"/>
      <c r="Y59" s="462"/>
      <c r="Z59" s="462"/>
      <c r="AA59" s="462"/>
      <c r="AB59" s="462"/>
      <c r="AC59" s="462"/>
      <c r="AD59" s="463"/>
    </row>
    <row r="60" spans="1:32" ht="27" customHeight="1">
      <c r="A60" s="455" t="s">
        <v>116</v>
      </c>
      <c r="B60" s="456"/>
      <c r="C60" s="201" t="s">
        <v>259</v>
      </c>
      <c r="D60" s="201" t="s">
        <v>353</v>
      </c>
      <c r="E60" s="202" t="s">
        <v>354</v>
      </c>
      <c r="F60" s="457" t="s">
        <v>349</v>
      </c>
      <c r="G60" s="458"/>
      <c r="H60" s="458"/>
      <c r="I60" s="458"/>
      <c r="J60" s="458"/>
      <c r="K60" s="458"/>
      <c r="L60" s="458"/>
      <c r="M60" s="459"/>
      <c r="N60" s="205" t="s">
        <v>383</v>
      </c>
      <c r="O60" s="199" t="s">
        <v>384</v>
      </c>
      <c r="P60" s="472" t="s">
        <v>385</v>
      </c>
      <c r="Q60" s="473"/>
      <c r="R60" s="472" t="s">
        <v>382</v>
      </c>
      <c r="S60" s="474"/>
      <c r="T60" s="474"/>
      <c r="U60" s="473"/>
      <c r="V60" s="461" t="s">
        <v>187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126</v>
      </c>
      <c r="B61" s="456"/>
      <c r="C61" s="201" t="s">
        <v>223</v>
      </c>
      <c r="D61" s="201" t="s">
        <v>121</v>
      </c>
      <c r="E61" s="202" t="s">
        <v>368</v>
      </c>
      <c r="F61" s="457" t="s">
        <v>371</v>
      </c>
      <c r="G61" s="458"/>
      <c r="H61" s="458"/>
      <c r="I61" s="458"/>
      <c r="J61" s="458"/>
      <c r="K61" s="458"/>
      <c r="L61" s="458"/>
      <c r="M61" s="459"/>
      <c r="N61" s="205"/>
      <c r="O61" s="199"/>
      <c r="P61" s="472"/>
      <c r="Q61" s="473"/>
      <c r="R61" s="472"/>
      <c r="S61" s="474"/>
      <c r="T61" s="474"/>
      <c r="U61" s="473"/>
      <c r="V61" s="461"/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112</v>
      </c>
      <c r="B62" s="456"/>
      <c r="C62" s="208" t="s">
        <v>264</v>
      </c>
      <c r="D62" s="208" t="s">
        <v>115</v>
      </c>
      <c r="E62" s="209" t="s">
        <v>322</v>
      </c>
      <c r="F62" s="457" t="s">
        <v>144</v>
      </c>
      <c r="G62" s="458"/>
      <c r="H62" s="458"/>
      <c r="I62" s="458"/>
      <c r="J62" s="458"/>
      <c r="K62" s="458"/>
      <c r="L62" s="458"/>
      <c r="M62" s="459"/>
      <c r="N62" s="205"/>
      <c r="O62" s="199"/>
      <c r="P62" s="472"/>
      <c r="Q62" s="473"/>
      <c r="R62" s="472"/>
      <c r="S62" s="474"/>
      <c r="T62" s="474"/>
      <c r="U62" s="473"/>
      <c r="V62" s="461"/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373</v>
      </c>
      <c r="B63" s="456"/>
      <c r="C63" s="201" t="s">
        <v>374</v>
      </c>
      <c r="D63" s="201" t="s">
        <v>375</v>
      </c>
      <c r="E63" s="202" t="s">
        <v>366</v>
      </c>
      <c r="F63" s="457" t="s">
        <v>372</v>
      </c>
      <c r="G63" s="458"/>
      <c r="H63" s="458"/>
      <c r="I63" s="458"/>
      <c r="J63" s="458"/>
      <c r="K63" s="458"/>
      <c r="L63" s="458"/>
      <c r="M63" s="459"/>
      <c r="N63" s="205"/>
      <c r="O63" s="199"/>
      <c r="P63" s="472"/>
      <c r="Q63" s="473"/>
      <c r="R63" s="472"/>
      <c r="S63" s="474"/>
      <c r="T63" s="474"/>
      <c r="U63" s="473"/>
      <c r="V63" s="461"/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112</v>
      </c>
      <c r="B64" s="456"/>
      <c r="C64" s="201" t="s">
        <v>377</v>
      </c>
      <c r="D64" s="201" t="s">
        <v>375</v>
      </c>
      <c r="E64" s="202" t="s">
        <v>376</v>
      </c>
      <c r="F64" s="457" t="s">
        <v>187</v>
      </c>
      <c r="G64" s="458"/>
      <c r="H64" s="458"/>
      <c r="I64" s="458"/>
      <c r="J64" s="458"/>
      <c r="K64" s="458"/>
      <c r="L64" s="458"/>
      <c r="M64" s="459"/>
      <c r="N64" s="205"/>
      <c r="O64" s="199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 t="s">
        <v>126</v>
      </c>
      <c r="B65" s="456"/>
      <c r="C65" s="201" t="s">
        <v>380</v>
      </c>
      <c r="D65" s="201" t="s">
        <v>115</v>
      </c>
      <c r="E65" s="202" t="s">
        <v>378</v>
      </c>
      <c r="F65" s="457" t="s">
        <v>379</v>
      </c>
      <c r="G65" s="458"/>
      <c r="H65" s="458"/>
      <c r="I65" s="458"/>
      <c r="J65" s="458"/>
      <c r="K65" s="458"/>
      <c r="L65" s="458"/>
      <c r="M65" s="459"/>
      <c r="N65" s="205"/>
      <c r="O65" s="199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201"/>
      <c r="D66" s="201"/>
      <c r="E66" s="202"/>
      <c r="F66" s="457"/>
      <c r="G66" s="458"/>
      <c r="H66" s="458"/>
      <c r="I66" s="458"/>
      <c r="J66" s="458"/>
      <c r="K66" s="458"/>
      <c r="L66" s="458"/>
      <c r="M66" s="459"/>
      <c r="N66" s="205"/>
      <c r="O66" s="199"/>
      <c r="P66" s="460"/>
      <c r="Q66" s="460"/>
      <c r="R66" s="460"/>
      <c r="S66" s="460"/>
      <c r="T66" s="460"/>
      <c r="U66" s="460"/>
      <c r="V66" s="461"/>
      <c r="W66" s="462"/>
      <c r="X66" s="462"/>
      <c r="Y66" s="462"/>
      <c r="Z66" s="462"/>
      <c r="AA66" s="462"/>
      <c r="AB66" s="462"/>
      <c r="AC66" s="462"/>
      <c r="AD66" s="463"/>
      <c r="AF66" s="81">
        <f>8*3000</f>
        <v>24000</v>
      </c>
    </row>
    <row r="67" spans="1:32" ht="27" customHeight="1" thickBot="1">
      <c r="A67" s="464"/>
      <c r="B67" s="465"/>
      <c r="C67" s="203"/>
      <c r="D67" s="204"/>
      <c r="E67" s="203"/>
      <c r="F67" s="466"/>
      <c r="G67" s="467"/>
      <c r="H67" s="467"/>
      <c r="I67" s="467"/>
      <c r="J67" s="467"/>
      <c r="K67" s="467"/>
      <c r="L67" s="467"/>
      <c r="M67" s="468"/>
      <c r="N67" s="105"/>
      <c r="O67" s="97"/>
      <c r="P67" s="469"/>
      <c r="Q67" s="469"/>
      <c r="R67" s="469"/>
      <c r="S67" s="469"/>
      <c r="T67" s="469"/>
      <c r="U67" s="469"/>
      <c r="V67" s="470"/>
      <c r="W67" s="470"/>
      <c r="X67" s="470"/>
      <c r="Y67" s="470"/>
      <c r="Z67" s="470"/>
      <c r="AA67" s="470"/>
      <c r="AB67" s="470"/>
      <c r="AC67" s="470"/>
      <c r="AD67" s="471"/>
      <c r="AF67" s="81">
        <f>16*3000</f>
        <v>48000</v>
      </c>
    </row>
    <row r="68" spans="1:32" ht="27.75" thickBot="1">
      <c r="A68" s="453" t="s">
        <v>386</v>
      </c>
      <c r="B68" s="453"/>
      <c r="C68" s="453"/>
      <c r="D68" s="453"/>
      <c r="E68" s="453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54" t="s">
        <v>111</v>
      </c>
      <c r="B69" s="451"/>
      <c r="C69" s="200" t="s">
        <v>2</v>
      </c>
      <c r="D69" s="200" t="s">
        <v>37</v>
      </c>
      <c r="E69" s="200" t="s">
        <v>3</v>
      </c>
      <c r="F69" s="451" t="s">
        <v>109</v>
      </c>
      <c r="G69" s="451"/>
      <c r="H69" s="451"/>
      <c r="I69" s="451"/>
      <c r="J69" s="451"/>
      <c r="K69" s="451" t="s">
        <v>39</v>
      </c>
      <c r="L69" s="451"/>
      <c r="M69" s="200" t="s">
        <v>40</v>
      </c>
      <c r="N69" s="451" t="s">
        <v>41</v>
      </c>
      <c r="O69" s="451"/>
      <c r="P69" s="448" t="s">
        <v>42</v>
      </c>
      <c r="Q69" s="450"/>
      <c r="R69" s="448" t="s">
        <v>43</v>
      </c>
      <c r="S69" s="449"/>
      <c r="T69" s="449"/>
      <c r="U69" s="449"/>
      <c r="V69" s="449"/>
      <c r="W69" s="449"/>
      <c r="X69" s="449"/>
      <c r="Y69" s="449"/>
      <c r="Z69" s="449"/>
      <c r="AA69" s="450"/>
      <c r="AB69" s="451" t="s">
        <v>44</v>
      </c>
      <c r="AC69" s="451"/>
      <c r="AD69" s="452"/>
      <c r="AF69" s="81">
        <f>SUM(AF66:AF68)</f>
        <v>96000</v>
      </c>
    </row>
    <row r="70" spans="1:32" ht="25.5" customHeight="1">
      <c r="A70" s="439">
        <v>1</v>
      </c>
      <c r="B70" s="440"/>
      <c r="C70" s="98" t="s">
        <v>126</v>
      </c>
      <c r="D70" s="195"/>
      <c r="E70" s="198" t="s">
        <v>121</v>
      </c>
      <c r="F70" s="441" t="s">
        <v>368</v>
      </c>
      <c r="G70" s="431"/>
      <c r="H70" s="431"/>
      <c r="I70" s="431"/>
      <c r="J70" s="431"/>
      <c r="K70" s="431" t="s">
        <v>123</v>
      </c>
      <c r="L70" s="431"/>
      <c r="M70" s="51" t="s">
        <v>154</v>
      </c>
      <c r="N70" s="442" t="s">
        <v>223</v>
      </c>
      <c r="O70" s="442"/>
      <c r="P70" s="443">
        <v>200</v>
      </c>
      <c r="Q70" s="443"/>
      <c r="R70" s="444"/>
      <c r="S70" s="444"/>
      <c r="T70" s="444"/>
      <c r="U70" s="444"/>
      <c r="V70" s="444"/>
      <c r="W70" s="444"/>
      <c r="X70" s="444"/>
      <c r="Y70" s="444"/>
      <c r="Z70" s="444"/>
      <c r="AA70" s="444"/>
      <c r="AB70" s="431"/>
      <c r="AC70" s="431"/>
      <c r="AD70" s="432"/>
      <c r="AF70" s="50"/>
    </row>
    <row r="71" spans="1:32" ht="25.5" customHeight="1">
      <c r="A71" s="439">
        <v>2</v>
      </c>
      <c r="B71" s="440"/>
      <c r="C71" s="98"/>
      <c r="D71" s="195"/>
      <c r="E71" s="198"/>
      <c r="F71" s="441"/>
      <c r="G71" s="431"/>
      <c r="H71" s="431"/>
      <c r="I71" s="431"/>
      <c r="J71" s="431"/>
      <c r="K71" s="431"/>
      <c r="L71" s="431"/>
      <c r="M71" s="51"/>
      <c r="N71" s="442"/>
      <c r="O71" s="442"/>
      <c r="P71" s="443"/>
      <c r="Q71" s="443"/>
      <c r="R71" s="444"/>
      <c r="S71" s="444"/>
      <c r="T71" s="444"/>
      <c r="U71" s="444"/>
      <c r="V71" s="444"/>
      <c r="W71" s="444"/>
      <c r="X71" s="444"/>
      <c r="Y71" s="444"/>
      <c r="Z71" s="444"/>
      <c r="AA71" s="444"/>
      <c r="AB71" s="431"/>
      <c r="AC71" s="431"/>
      <c r="AD71" s="432"/>
      <c r="AF71" s="50"/>
    </row>
    <row r="72" spans="1:32" ht="25.5" customHeight="1">
      <c r="A72" s="439">
        <v>3</v>
      </c>
      <c r="B72" s="440"/>
      <c r="C72" s="98"/>
      <c r="D72" s="195"/>
      <c r="E72" s="198"/>
      <c r="F72" s="441"/>
      <c r="G72" s="431"/>
      <c r="H72" s="431"/>
      <c r="I72" s="431"/>
      <c r="J72" s="431"/>
      <c r="K72" s="431"/>
      <c r="L72" s="431"/>
      <c r="M72" s="51"/>
      <c r="N72" s="442"/>
      <c r="O72" s="442"/>
      <c r="P72" s="443"/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4</v>
      </c>
      <c r="B73" s="440"/>
      <c r="C73" s="98"/>
      <c r="D73" s="195"/>
      <c r="E73" s="198"/>
      <c r="F73" s="445"/>
      <c r="G73" s="446"/>
      <c r="H73" s="446"/>
      <c r="I73" s="446"/>
      <c r="J73" s="447"/>
      <c r="K73" s="431"/>
      <c r="L73" s="431"/>
      <c r="M73" s="51"/>
      <c r="N73" s="442"/>
      <c r="O73" s="442"/>
      <c r="P73" s="443"/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5</v>
      </c>
      <c r="B74" s="440"/>
      <c r="C74" s="98"/>
      <c r="D74" s="195"/>
      <c r="E74" s="198"/>
      <c r="F74" s="445"/>
      <c r="G74" s="446"/>
      <c r="H74" s="446"/>
      <c r="I74" s="446"/>
      <c r="J74" s="447"/>
      <c r="K74" s="431"/>
      <c r="L74" s="431"/>
      <c r="M74" s="51"/>
      <c r="N74" s="442"/>
      <c r="O74" s="442"/>
      <c r="P74" s="443"/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6</v>
      </c>
      <c r="B75" s="440"/>
      <c r="C75" s="98"/>
      <c r="D75" s="195"/>
      <c r="E75" s="198"/>
      <c r="F75" s="445"/>
      <c r="G75" s="446"/>
      <c r="H75" s="446"/>
      <c r="I75" s="446"/>
      <c r="J75" s="447"/>
      <c r="K75" s="431"/>
      <c r="L75" s="431"/>
      <c r="M75" s="51"/>
      <c r="N75" s="442"/>
      <c r="O75" s="442"/>
      <c r="P75" s="443"/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7</v>
      </c>
      <c r="B76" s="440"/>
      <c r="C76" s="98"/>
      <c r="D76" s="195"/>
      <c r="E76" s="198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8</v>
      </c>
      <c r="B77" s="440"/>
      <c r="C77" s="98"/>
      <c r="D77" s="195"/>
      <c r="E77" s="198"/>
      <c r="F77" s="441"/>
      <c r="G77" s="431"/>
      <c r="H77" s="431"/>
      <c r="I77" s="431"/>
      <c r="J77" s="431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9</v>
      </c>
      <c r="B78" s="440"/>
      <c r="C78" s="98"/>
      <c r="D78" s="195"/>
      <c r="E78" s="198"/>
      <c r="F78" s="441"/>
      <c r="G78" s="431"/>
      <c r="H78" s="431"/>
      <c r="I78" s="431"/>
      <c r="J78" s="431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10</v>
      </c>
      <c r="B79" s="440"/>
      <c r="C79" s="98"/>
      <c r="D79" s="195"/>
      <c r="E79" s="198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6.25" customHeight="1" thickBot="1">
      <c r="A80" s="411" t="s">
        <v>387</v>
      </c>
      <c r="B80" s="411"/>
      <c r="C80" s="411"/>
      <c r="D80" s="411"/>
      <c r="E80" s="411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33" t="s">
        <v>111</v>
      </c>
      <c r="B81" s="434"/>
      <c r="C81" s="197" t="s">
        <v>2</v>
      </c>
      <c r="D81" s="197" t="s">
        <v>37</v>
      </c>
      <c r="E81" s="197" t="s">
        <v>120</v>
      </c>
      <c r="F81" s="413" t="s">
        <v>38</v>
      </c>
      <c r="G81" s="413"/>
      <c r="H81" s="413"/>
      <c r="I81" s="413"/>
      <c r="J81" s="413"/>
      <c r="K81" s="435" t="s">
        <v>58</v>
      </c>
      <c r="L81" s="436"/>
      <c r="M81" s="436"/>
      <c r="N81" s="436"/>
      <c r="O81" s="436"/>
      <c r="P81" s="436"/>
      <c r="Q81" s="436"/>
      <c r="R81" s="436"/>
      <c r="S81" s="437"/>
      <c r="T81" s="413" t="s">
        <v>49</v>
      </c>
      <c r="U81" s="413"/>
      <c r="V81" s="435" t="s">
        <v>50</v>
      </c>
      <c r="W81" s="437"/>
      <c r="X81" s="436" t="s">
        <v>51</v>
      </c>
      <c r="Y81" s="436"/>
      <c r="Z81" s="436"/>
      <c r="AA81" s="436"/>
      <c r="AB81" s="436"/>
      <c r="AC81" s="436"/>
      <c r="AD81" s="438"/>
      <c r="AF81" s="50"/>
    </row>
    <row r="82" spans="1:32" ht="33.75" customHeight="1">
      <c r="A82" s="405">
        <v>1</v>
      </c>
      <c r="B82" s="406"/>
      <c r="C82" s="196"/>
      <c r="D82" s="196"/>
      <c r="E82" s="65"/>
      <c r="F82" s="420"/>
      <c r="G82" s="421"/>
      <c r="H82" s="421"/>
      <c r="I82" s="421"/>
      <c r="J82" s="422"/>
      <c r="K82" s="423"/>
      <c r="L82" s="424"/>
      <c r="M82" s="424"/>
      <c r="N82" s="424"/>
      <c r="O82" s="424"/>
      <c r="P82" s="424"/>
      <c r="Q82" s="424"/>
      <c r="R82" s="424"/>
      <c r="S82" s="425"/>
      <c r="T82" s="426"/>
      <c r="U82" s="427"/>
      <c r="V82" s="428"/>
      <c r="W82" s="428"/>
      <c r="X82" s="429"/>
      <c r="Y82" s="429"/>
      <c r="Z82" s="429"/>
      <c r="AA82" s="429"/>
      <c r="AB82" s="429"/>
      <c r="AC82" s="429"/>
      <c r="AD82" s="430"/>
      <c r="AF82" s="50"/>
    </row>
    <row r="83" spans="1:32" ht="30" customHeight="1">
      <c r="A83" s="398">
        <f>A82+1</f>
        <v>2</v>
      </c>
      <c r="B83" s="399"/>
      <c r="C83" s="195"/>
      <c r="D83" s="195"/>
      <c r="E83" s="32"/>
      <c r="F83" s="399"/>
      <c r="G83" s="399"/>
      <c r="H83" s="399"/>
      <c r="I83" s="399"/>
      <c r="J83" s="399"/>
      <c r="K83" s="414"/>
      <c r="L83" s="415"/>
      <c r="M83" s="415"/>
      <c r="N83" s="415"/>
      <c r="O83" s="415"/>
      <c r="P83" s="415"/>
      <c r="Q83" s="415"/>
      <c r="R83" s="415"/>
      <c r="S83" s="416"/>
      <c r="T83" s="417"/>
      <c r="U83" s="417"/>
      <c r="V83" s="417"/>
      <c r="W83" s="417"/>
      <c r="X83" s="418"/>
      <c r="Y83" s="418"/>
      <c r="Z83" s="418"/>
      <c r="AA83" s="418"/>
      <c r="AB83" s="418"/>
      <c r="AC83" s="418"/>
      <c r="AD83" s="419"/>
      <c r="AF83" s="50"/>
    </row>
    <row r="84" spans="1:32" ht="30" customHeight="1">
      <c r="A84" s="398">
        <f t="shared" ref="A84:A88" si="12">A83+1</f>
        <v>3</v>
      </c>
      <c r="B84" s="399"/>
      <c r="C84" s="195"/>
      <c r="D84" s="195"/>
      <c r="E84" s="32"/>
      <c r="F84" s="399"/>
      <c r="G84" s="399"/>
      <c r="H84" s="399"/>
      <c r="I84" s="399"/>
      <c r="J84" s="399"/>
      <c r="K84" s="414"/>
      <c r="L84" s="415"/>
      <c r="M84" s="415"/>
      <c r="N84" s="415"/>
      <c r="O84" s="415"/>
      <c r="P84" s="415"/>
      <c r="Q84" s="415"/>
      <c r="R84" s="415"/>
      <c r="S84" s="416"/>
      <c r="T84" s="417"/>
      <c r="U84" s="417"/>
      <c r="V84" s="417"/>
      <c r="W84" s="417"/>
      <c r="X84" s="418"/>
      <c r="Y84" s="418"/>
      <c r="Z84" s="418"/>
      <c r="AA84" s="418"/>
      <c r="AB84" s="418"/>
      <c r="AC84" s="418"/>
      <c r="AD84" s="419"/>
      <c r="AF84" s="50"/>
    </row>
    <row r="85" spans="1:32" ht="30" customHeight="1">
      <c r="A85" s="398">
        <f t="shared" si="12"/>
        <v>4</v>
      </c>
      <c r="B85" s="399"/>
      <c r="C85" s="195"/>
      <c r="D85" s="195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si="12"/>
        <v>5</v>
      </c>
      <c r="B86" s="399"/>
      <c r="C86" s="195"/>
      <c r="D86" s="195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12"/>
        <v>6</v>
      </c>
      <c r="B87" s="399"/>
      <c r="C87" s="195"/>
      <c r="D87" s="195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2"/>
        <v>7</v>
      </c>
      <c r="B88" s="399"/>
      <c r="C88" s="195"/>
      <c r="D88" s="195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6" thickBot="1">
      <c r="A89" s="411" t="s">
        <v>388</v>
      </c>
      <c r="B89" s="411"/>
      <c r="C89" s="411"/>
      <c r="D89" s="411"/>
      <c r="E89" s="411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12" t="s">
        <v>111</v>
      </c>
      <c r="B90" s="413"/>
      <c r="C90" s="403" t="s">
        <v>52</v>
      </c>
      <c r="D90" s="403"/>
      <c r="E90" s="403" t="s">
        <v>53</v>
      </c>
      <c r="F90" s="403"/>
      <c r="G90" s="403"/>
      <c r="H90" s="403"/>
      <c r="I90" s="403"/>
      <c r="J90" s="403"/>
      <c r="K90" s="403" t="s">
        <v>54</v>
      </c>
      <c r="L90" s="403"/>
      <c r="M90" s="403"/>
      <c r="N90" s="403"/>
      <c r="O90" s="403"/>
      <c r="P90" s="403"/>
      <c r="Q90" s="403"/>
      <c r="R90" s="403"/>
      <c r="S90" s="403"/>
      <c r="T90" s="403" t="s">
        <v>55</v>
      </c>
      <c r="U90" s="403"/>
      <c r="V90" s="403" t="s">
        <v>56</v>
      </c>
      <c r="W90" s="403"/>
      <c r="X90" s="403"/>
      <c r="Y90" s="403" t="s">
        <v>51</v>
      </c>
      <c r="Z90" s="403"/>
      <c r="AA90" s="403"/>
      <c r="AB90" s="403"/>
      <c r="AC90" s="403"/>
      <c r="AD90" s="404"/>
      <c r="AF90" s="50"/>
    </row>
    <row r="91" spans="1:32" ht="30.75" customHeight="1">
      <c r="A91" s="405">
        <v>1</v>
      </c>
      <c r="B91" s="406"/>
      <c r="C91" s="407"/>
      <c r="D91" s="407"/>
      <c r="E91" s="407"/>
      <c r="F91" s="407"/>
      <c r="G91" s="407"/>
      <c r="H91" s="407"/>
      <c r="I91" s="407"/>
      <c r="J91" s="407"/>
      <c r="K91" s="407"/>
      <c r="L91" s="407"/>
      <c r="M91" s="407"/>
      <c r="N91" s="407"/>
      <c r="O91" s="407"/>
      <c r="P91" s="407"/>
      <c r="Q91" s="407"/>
      <c r="R91" s="407"/>
      <c r="S91" s="407"/>
      <c r="T91" s="407"/>
      <c r="U91" s="407"/>
      <c r="V91" s="408"/>
      <c r="W91" s="408"/>
      <c r="X91" s="408"/>
      <c r="Y91" s="409"/>
      <c r="Z91" s="409"/>
      <c r="AA91" s="409"/>
      <c r="AB91" s="409"/>
      <c r="AC91" s="409"/>
      <c r="AD91" s="410"/>
      <c r="AF91" s="50"/>
    </row>
    <row r="92" spans="1:32" ht="30.75" customHeight="1">
      <c r="A92" s="398">
        <v>2</v>
      </c>
      <c r="B92" s="399"/>
      <c r="C92" s="400"/>
      <c r="D92" s="400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1"/>
      <c r="U92" s="401"/>
      <c r="V92" s="402"/>
      <c r="W92" s="402"/>
      <c r="X92" s="402"/>
      <c r="Y92" s="390"/>
      <c r="Z92" s="390"/>
      <c r="AA92" s="390"/>
      <c r="AB92" s="390"/>
      <c r="AC92" s="390"/>
      <c r="AD92" s="391"/>
      <c r="AF92" s="50"/>
    </row>
    <row r="93" spans="1:32" ht="30.75" customHeight="1" thickBot="1">
      <c r="A93" s="392">
        <v>3</v>
      </c>
      <c r="B93" s="393"/>
      <c r="C93" s="394"/>
      <c r="D93" s="394"/>
      <c r="E93" s="394"/>
      <c r="F93" s="394"/>
      <c r="G93" s="394"/>
      <c r="H93" s="394"/>
      <c r="I93" s="394"/>
      <c r="J93" s="394"/>
      <c r="K93" s="394"/>
      <c r="L93" s="394"/>
      <c r="M93" s="394"/>
      <c r="N93" s="394"/>
      <c r="O93" s="394"/>
      <c r="P93" s="394"/>
      <c r="Q93" s="394"/>
      <c r="R93" s="394"/>
      <c r="S93" s="394"/>
      <c r="T93" s="394"/>
      <c r="U93" s="394"/>
      <c r="V93" s="395"/>
      <c r="W93" s="395"/>
      <c r="X93" s="395"/>
      <c r="Y93" s="396"/>
      <c r="Z93" s="396"/>
      <c r="AA93" s="396"/>
      <c r="AB93" s="396"/>
      <c r="AC93" s="396"/>
      <c r="AD93" s="397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94EA-4ED2-4D85-9615-E391A0E3AA30}">
  <sheetPr codeName="Sheet9"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389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210" t="s">
        <v>17</v>
      </c>
      <c r="L5" s="210" t="s">
        <v>18</v>
      </c>
      <c r="M5" s="210" t="s">
        <v>19</v>
      </c>
      <c r="N5" s="21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10312</v>
      </c>
      <c r="K6" s="15">
        <f>L6+5046+2812+7738+10312</f>
        <v>25908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>AC6*AB6*(1-O6)</f>
        <v>0</v>
      </c>
      <c r="AE6" s="36">
        <f t="shared" ref="AE6:AE27" si="6">$AD$28</f>
        <v>0.35227272727272724</v>
      </c>
      <c r="AF6" s="81">
        <f t="shared" ref="AF6:AF27" si="7">A6</f>
        <v>1</v>
      </c>
    </row>
    <row r="7" spans="1:32" ht="27" customHeight="1">
      <c r="A7" s="106">
        <v>2</v>
      </c>
      <c r="B7" s="11" t="s">
        <v>57</v>
      </c>
      <c r="C7" s="34" t="s">
        <v>163</v>
      </c>
      <c r="D7" s="52" t="s">
        <v>138</v>
      </c>
      <c r="E7" s="53" t="s">
        <v>179</v>
      </c>
      <c r="F7" s="30" t="s">
        <v>137</v>
      </c>
      <c r="G7" s="12">
        <v>1</v>
      </c>
      <c r="H7" s="13">
        <v>24</v>
      </c>
      <c r="I7" s="31">
        <v>30000</v>
      </c>
      <c r="J7" s="14">
        <v>6360</v>
      </c>
      <c r="K7" s="15">
        <f>L7+3491</f>
        <v>9851</v>
      </c>
      <c r="L7" s="15">
        <f>3541+2819</f>
        <v>6360</v>
      </c>
      <c r="M7" s="15">
        <f t="shared" si="0"/>
        <v>6360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7" si="8">AC7*AB7*(1-O7)</f>
        <v>1</v>
      </c>
      <c r="AE7" s="36">
        <f t="shared" si="6"/>
        <v>0.35227272727272724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115</v>
      </c>
      <c r="E8" s="53" t="s">
        <v>382</v>
      </c>
      <c r="F8" s="30" t="s">
        <v>168</v>
      </c>
      <c r="G8" s="12">
        <v>1</v>
      </c>
      <c r="H8" s="13">
        <v>22</v>
      </c>
      <c r="I8" s="31">
        <v>1000</v>
      </c>
      <c r="J8" s="5">
        <v>1559</v>
      </c>
      <c r="K8" s="15">
        <f>L8</f>
        <v>1559</v>
      </c>
      <c r="L8" s="15">
        <f>969+590</f>
        <v>1559</v>
      </c>
      <c r="M8" s="15">
        <f t="shared" si="0"/>
        <v>1559</v>
      </c>
      <c r="N8" s="15">
        <v>0</v>
      </c>
      <c r="O8" s="58">
        <f t="shared" si="1"/>
        <v>0</v>
      </c>
      <c r="P8" s="39">
        <f t="shared" si="2"/>
        <v>15</v>
      </c>
      <c r="Q8" s="40">
        <f t="shared" si="3"/>
        <v>9</v>
      </c>
      <c r="R8" s="7"/>
      <c r="S8" s="6"/>
      <c r="T8" s="16"/>
      <c r="U8" s="16"/>
      <c r="V8" s="17"/>
      <c r="W8" s="5">
        <v>9</v>
      </c>
      <c r="X8" s="16"/>
      <c r="Y8" s="16"/>
      <c r="Z8" s="16"/>
      <c r="AA8" s="18"/>
      <c r="AB8" s="8">
        <f t="shared" si="4"/>
        <v>1</v>
      </c>
      <c r="AC8" s="9">
        <f t="shared" si="5"/>
        <v>0.625</v>
      </c>
      <c r="AD8" s="10">
        <f t="shared" si="8"/>
        <v>0.625</v>
      </c>
      <c r="AE8" s="36">
        <f t="shared" si="6"/>
        <v>0.35227272727272724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257</v>
      </c>
      <c r="F9" s="30" t="s">
        <v>122</v>
      </c>
      <c r="G9" s="12">
        <v>1</v>
      </c>
      <c r="H9" s="13">
        <v>24</v>
      </c>
      <c r="I9" s="7">
        <v>50000</v>
      </c>
      <c r="J9" s="14">
        <v>3727</v>
      </c>
      <c r="K9" s="15">
        <f>L9+5224+5754+5666+3727</f>
        <v>20371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>
        <v>24</v>
      </c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8"/>
        <v>0</v>
      </c>
      <c r="AE9" s="36">
        <f t="shared" si="6"/>
        <v>0.35227272727272724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3707</v>
      </c>
      <c r="K10" s="15">
        <f>L10+5338+5669+5744+4980+3619+1932+309+2790+5660+4715+1739+3127+5884+1203+3638+5732+5658+5217+2430+1897+5596+5715</f>
        <v>92299</v>
      </c>
      <c r="L10" s="15">
        <f>1099+2608</f>
        <v>3707</v>
      </c>
      <c r="M10" s="15">
        <f t="shared" si="0"/>
        <v>3707</v>
      </c>
      <c r="N10" s="15">
        <v>0</v>
      </c>
      <c r="O10" s="58">
        <f t="shared" si="1"/>
        <v>0</v>
      </c>
      <c r="P10" s="39">
        <f t="shared" si="2"/>
        <v>19</v>
      </c>
      <c r="Q10" s="40">
        <f t="shared" si="3"/>
        <v>5</v>
      </c>
      <c r="R10" s="7"/>
      <c r="S10" s="6">
        <v>5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0.79166666666666663</v>
      </c>
      <c r="AD10" s="10">
        <f t="shared" si="8"/>
        <v>0.79166666666666663</v>
      </c>
      <c r="AE10" s="36">
        <f t="shared" si="6"/>
        <v>0.35227272727272724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353</v>
      </c>
      <c r="E11" s="53" t="s">
        <v>354</v>
      </c>
      <c r="F11" s="30" t="s">
        <v>367</v>
      </c>
      <c r="G11" s="33">
        <v>30</v>
      </c>
      <c r="H11" s="35">
        <v>24</v>
      </c>
      <c r="I11" s="7">
        <v>300000</v>
      </c>
      <c r="J11" s="14">
        <v>147660</v>
      </c>
      <c r="K11" s="15">
        <f>L11+143380</f>
        <v>291040</v>
      </c>
      <c r="L11" s="15">
        <f>4253*20+3130*20</f>
        <v>147660</v>
      </c>
      <c r="M11" s="15">
        <f t="shared" si="0"/>
        <v>147660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0.35227272727272724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126</v>
      </c>
      <c r="D12" s="52" t="s">
        <v>121</v>
      </c>
      <c r="E12" s="53" t="s">
        <v>368</v>
      </c>
      <c r="F12" s="30" t="s">
        <v>123</v>
      </c>
      <c r="G12" s="12">
        <v>3</v>
      </c>
      <c r="H12" s="13">
        <v>22</v>
      </c>
      <c r="I12" s="31">
        <v>32000</v>
      </c>
      <c r="J12" s="5">
        <v>15024</v>
      </c>
      <c r="K12" s="15">
        <f>L12+7911</f>
        <v>22935</v>
      </c>
      <c r="L12" s="15">
        <f>2873*3+2135*3</f>
        <v>15024</v>
      </c>
      <c r="M12" s="15">
        <f t="shared" si="0"/>
        <v>15024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0.35227272727272724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126</v>
      </c>
      <c r="D13" s="52"/>
      <c r="E13" s="53" t="s">
        <v>304</v>
      </c>
      <c r="F13" s="30" t="s">
        <v>122</v>
      </c>
      <c r="G13" s="33">
        <v>1</v>
      </c>
      <c r="H13" s="35">
        <v>22</v>
      </c>
      <c r="I13" s="7">
        <v>12000</v>
      </c>
      <c r="J13" s="14">
        <v>2342</v>
      </c>
      <c r="K13" s="15">
        <f>L13+3169+4592+2342</f>
        <v>10103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>
        <v>24</v>
      </c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8"/>
        <v>0</v>
      </c>
      <c r="AE13" s="36">
        <f t="shared" si="6"/>
        <v>0.35227272727272724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322</v>
      </c>
      <c r="F14" s="30" t="s">
        <v>305</v>
      </c>
      <c r="G14" s="33">
        <v>1</v>
      </c>
      <c r="H14" s="35">
        <v>50</v>
      </c>
      <c r="I14" s="7">
        <v>1200</v>
      </c>
      <c r="J14" s="5">
        <v>1172</v>
      </c>
      <c r="K14" s="15">
        <f>L14+1901+1172</f>
        <v>3073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0.35227272727272724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138</v>
      </c>
      <c r="E15" s="53" t="s">
        <v>147</v>
      </c>
      <c r="F15" s="30" t="s">
        <v>139</v>
      </c>
      <c r="G15" s="12">
        <v>2</v>
      </c>
      <c r="H15" s="13">
        <v>24</v>
      </c>
      <c r="I15" s="31">
        <v>45000</v>
      </c>
      <c r="J15" s="14">
        <v>1152</v>
      </c>
      <c r="K15" s="15">
        <f>L15+11556</f>
        <v>12708</v>
      </c>
      <c r="L15" s="15">
        <f>576*2</f>
        <v>1152</v>
      </c>
      <c r="M15" s="15">
        <f t="shared" si="0"/>
        <v>1152</v>
      </c>
      <c r="N15" s="15">
        <v>0</v>
      </c>
      <c r="O15" s="58">
        <f t="shared" si="1"/>
        <v>0</v>
      </c>
      <c r="P15" s="39">
        <f t="shared" si="2"/>
        <v>3</v>
      </c>
      <c r="Q15" s="40">
        <f t="shared" si="3"/>
        <v>21</v>
      </c>
      <c r="R15" s="7"/>
      <c r="S15" s="6"/>
      <c r="T15" s="16"/>
      <c r="U15" s="16"/>
      <c r="V15" s="17">
        <v>21</v>
      </c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0.125</v>
      </c>
      <c r="AD15" s="10">
        <f t="shared" si="8"/>
        <v>0.125</v>
      </c>
      <c r="AE15" s="36">
        <f t="shared" si="6"/>
        <v>0.35227272727272724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234</v>
      </c>
      <c r="F16" s="30" t="s">
        <v>235</v>
      </c>
      <c r="G16" s="12">
        <v>1</v>
      </c>
      <c r="H16" s="13">
        <v>22</v>
      </c>
      <c r="I16" s="31">
        <v>44000</v>
      </c>
      <c r="J16" s="5">
        <v>9100</v>
      </c>
      <c r="K16" s="15">
        <f>L16+10758</f>
        <v>19858</v>
      </c>
      <c r="L16" s="15">
        <f>2550*2+2000*2</f>
        <v>9100</v>
      </c>
      <c r="M16" s="15">
        <f t="shared" si="0"/>
        <v>9100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0.35227272727272724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116</v>
      </c>
      <c r="D17" s="52" t="s">
        <v>138</v>
      </c>
      <c r="E17" s="53" t="s">
        <v>337</v>
      </c>
      <c r="F17" s="30" t="s">
        <v>204</v>
      </c>
      <c r="G17" s="12">
        <v>1</v>
      </c>
      <c r="H17" s="13">
        <v>24</v>
      </c>
      <c r="I17" s="7">
        <v>700</v>
      </c>
      <c r="J17" s="14">
        <v>1225</v>
      </c>
      <c r="K17" s="15">
        <f>L17+1225</f>
        <v>1225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0.35227272727272724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172</v>
      </c>
      <c r="F18" s="30" t="s">
        <v>136</v>
      </c>
      <c r="G18" s="12">
        <v>1</v>
      </c>
      <c r="H18" s="13">
        <v>22</v>
      </c>
      <c r="I18" s="31">
        <v>17000</v>
      </c>
      <c r="J18" s="5">
        <v>1004</v>
      </c>
      <c r="K18" s="15">
        <f>L18+1550+666+3747+2255+3128+450+1534+2337+1600+1171</f>
        <v>19442</v>
      </c>
      <c r="L18" s="15">
        <v>1004</v>
      </c>
      <c r="M18" s="15">
        <f t="shared" si="0"/>
        <v>1004</v>
      </c>
      <c r="N18" s="15">
        <v>0</v>
      </c>
      <c r="O18" s="58">
        <f t="shared" si="1"/>
        <v>0</v>
      </c>
      <c r="P18" s="39">
        <f t="shared" si="2"/>
        <v>5</v>
      </c>
      <c r="Q18" s="40">
        <f t="shared" si="3"/>
        <v>19</v>
      </c>
      <c r="R18" s="7"/>
      <c r="S18" s="6">
        <v>19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0.20833333333333334</v>
      </c>
      <c r="AD18" s="10">
        <f t="shared" si="8"/>
        <v>0.20833333333333334</v>
      </c>
      <c r="AE18" s="36">
        <f t="shared" si="6"/>
        <v>0.35227272727272724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112</v>
      </c>
      <c r="D19" s="52" t="s">
        <v>159</v>
      </c>
      <c r="E19" s="53" t="s">
        <v>173</v>
      </c>
      <c r="F19" s="30" t="s">
        <v>123</v>
      </c>
      <c r="G19" s="33">
        <v>1</v>
      </c>
      <c r="H19" s="35">
        <v>24</v>
      </c>
      <c r="I19" s="7">
        <v>35000</v>
      </c>
      <c r="J19" s="14">
        <v>2848</v>
      </c>
      <c r="K19" s="15">
        <f>L19+2187+4152+5440+5251+5627+5544+3270+2848</f>
        <v>34319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>
        <v>24</v>
      </c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0.35227272727272724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126</v>
      </c>
      <c r="D20" s="52" t="s">
        <v>115</v>
      </c>
      <c r="E20" s="53" t="s">
        <v>307</v>
      </c>
      <c r="F20" s="30" t="s">
        <v>136</v>
      </c>
      <c r="G20" s="33">
        <v>1</v>
      </c>
      <c r="H20" s="35">
        <v>24</v>
      </c>
      <c r="I20" s="7">
        <v>50000</v>
      </c>
      <c r="J20" s="14">
        <v>5293</v>
      </c>
      <c r="K20" s="15">
        <f>L20+5271</f>
        <v>10564</v>
      </c>
      <c r="L20" s="15">
        <f>2960+2333</f>
        <v>5293</v>
      </c>
      <c r="M20" s="15">
        <f t="shared" si="0"/>
        <v>5293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0.35227272727272724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338</v>
      </c>
      <c r="F21" s="12" t="s">
        <v>114</v>
      </c>
      <c r="G21" s="12">
        <v>3</v>
      </c>
      <c r="H21" s="35">
        <v>20</v>
      </c>
      <c r="I21" s="7">
        <v>250000</v>
      </c>
      <c r="J21" s="14">
        <v>51264</v>
      </c>
      <c r="K21" s="15">
        <f>L21+28566+48777</f>
        <v>128607</v>
      </c>
      <c r="L21" s="15">
        <f>9682*3+7406*3</f>
        <v>51264</v>
      </c>
      <c r="M21" s="15">
        <f t="shared" si="0"/>
        <v>51264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0.35227272727272724</v>
      </c>
      <c r="AF21" s="81">
        <f t="shared" si="7"/>
        <v>16</v>
      </c>
    </row>
    <row r="22" spans="1:32" ht="21.75" customHeight="1">
      <c r="A22" s="92">
        <v>31</v>
      </c>
      <c r="B22" s="11" t="s">
        <v>57</v>
      </c>
      <c r="C22" s="11" t="s">
        <v>116</v>
      </c>
      <c r="D22" s="52" t="s">
        <v>115</v>
      </c>
      <c r="E22" s="53" t="s">
        <v>149</v>
      </c>
      <c r="F22" s="12" t="s">
        <v>136</v>
      </c>
      <c r="G22" s="12">
        <v>4</v>
      </c>
      <c r="H22" s="35">
        <v>20</v>
      </c>
      <c r="I22" s="7">
        <v>70000</v>
      </c>
      <c r="J22" s="14">
        <v>22300</v>
      </c>
      <c r="K22" s="15">
        <f>L22+22300</f>
        <v>22300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0.35227272727272724</v>
      </c>
      <c r="AF22" s="81">
        <f t="shared" si="7"/>
        <v>31</v>
      </c>
    </row>
    <row r="23" spans="1:32" ht="21.75" customHeight="1">
      <c r="A23" s="92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" si="9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0.35227272727272724</v>
      </c>
      <c r="AF23" s="81">
        <f t="shared" si="7"/>
        <v>32</v>
      </c>
    </row>
    <row r="24" spans="1:32" ht="21.75" customHeight="1">
      <c r="A24" s="92">
        <v>33</v>
      </c>
      <c r="B24" s="11" t="s">
        <v>57</v>
      </c>
      <c r="C24" s="11" t="s">
        <v>116</v>
      </c>
      <c r="D24" s="52" t="s">
        <v>142</v>
      </c>
      <c r="E24" s="53" t="s">
        <v>151</v>
      </c>
      <c r="F24" s="12" t="s">
        <v>123</v>
      </c>
      <c r="G24" s="12">
        <v>3</v>
      </c>
      <c r="H24" s="35">
        <v>20</v>
      </c>
      <c r="I24" s="7">
        <v>70000</v>
      </c>
      <c r="J24" s="14">
        <v>9744</v>
      </c>
      <c r="K24" s="15">
        <f>L24+22125+9744</f>
        <v>31869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4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0.35227272727272724</v>
      </c>
      <c r="AF24" s="81">
        <f t="shared" si="7"/>
        <v>33</v>
      </c>
    </row>
    <row r="25" spans="1:32" ht="21.75" customHeight="1">
      <c r="A25" s="92">
        <v>34</v>
      </c>
      <c r="B25" s="11" t="s">
        <v>57</v>
      </c>
      <c r="C25" s="11" t="s">
        <v>116</v>
      </c>
      <c r="D25" s="52" t="s">
        <v>127</v>
      </c>
      <c r="E25" s="53" t="s">
        <v>148</v>
      </c>
      <c r="F25" s="12" t="s">
        <v>124</v>
      </c>
      <c r="G25" s="12">
        <v>4</v>
      </c>
      <c r="H25" s="35">
        <v>20</v>
      </c>
      <c r="I25" s="7">
        <v>50000</v>
      </c>
      <c r="J25" s="14">
        <v>26548</v>
      </c>
      <c r="K25" s="15">
        <f>L25+15172+24432+25280+26548</f>
        <v>91432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4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0.35227272727272724</v>
      </c>
      <c r="AF25" s="81">
        <f t="shared" si="7"/>
        <v>34</v>
      </c>
    </row>
    <row r="26" spans="1:32" ht="21.75" customHeight="1">
      <c r="A26" s="92">
        <v>35</v>
      </c>
      <c r="B26" s="11" t="s">
        <v>57</v>
      </c>
      <c r="C26" s="11" t="s">
        <v>116</v>
      </c>
      <c r="D26" s="52" t="s">
        <v>121</v>
      </c>
      <c r="E26" s="53" t="s">
        <v>125</v>
      </c>
      <c r="F26" s="12" t="s">
        <v>124</v>
      </c>
      <c r="G26" s="12">
        <v>4</v>
      </c>
      <c r="H26" s="35">
        <v>20</v>
      </c>
      <c r="I26" s="7">
        <v>50000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0.35227272727272724</v>
      </c>
      <c r="AF26" s="81">
        <f t="shared" si="7"/>
        <v>35</v>
      </c>
    </row>
    <row r="27" spans="1:32" ht="21.75" customHeight="1" thickBot="1">
      <c r="A27" s="92">
        <v>36</v>
      </c>
      <c r="B27" s="11" t="s">
        <v>57</v>
      </c>
      <c r="C27" s="11" t="s">
        <v>113</v>
      </c>
      <c r="D27" s="52"/>
      <c r="E27" s="53" t="s">
        <v>150</v>
      </c>
      <c r="F27" s="12" t="s">
        <v>114</v>
      </c>
      <c r="G27" s="12">
        <v>4</v>
      </c>
      <c r="H27" s="35">
        <v>20</v>
      </c>
      <c r="I27" s="7">
        <v>1000000</v>
      </c>
      <c r="J27" s="14">
        <v>79328</v>
      </c>
      <c r="K27" s="15">
        <f>L27+28388+70816+76368+81764+83428+47688+53180+83092+82192+79328</f>
        <v>686244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>
        <v>24</v>
      </c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0.35227272727272724</v>
      </c>
      <c r="AF27" s="81">
        <f t="shared" si="7"/>
        <v>36</v>
      </c>
    </row>
    <row r="28" spans="1:32" ht="19.5" thickBot="1">
      <c r="A28" s="478" t="s">
        <v>34</v>
      </c>
      <c r="B28" s="479"/>
      <c r="C28" s="479"/>
      <c r="D28" s="479"/>
      <c r="E28" s="479"/>
      <c r="F28" s="479"/>
      <c r="G28" s="479"/>
      <c r="H28" s="480"/>
      <c r="I28" s="22">
        <f t="shared" ref="I28:N28" si="10">SUM(I6:I27)</f>
        <v>2242900</v>
      </c>
      <c r="J28" s="19">
        <f t="shared" si="10"/>
        <v>428613</v>
      </c>
      <c r="K28" s="20">
        <f t="shared" si="10"/>
        <v>1608959</v>
      </c>
      <c r="L28" s="21">
        <f t="shared" si="10"/>
        <v>242123</v>
      </c>
      <c r="M28" s="20">
        <f t="shared" si="10"/>
        <v>242123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186</v>
      </c>
      <c r="Q28" s="43">
        <f t="shared" si="11"/>
        <v>342</v>
      </c>
      <c r="R28" s="23">
        <f t="shared" si="11"/>
        <v>0</v>
      </c>
      <c r="S28" s="24">
        <f t="shared" si="11"/>
        <v>48</v>
      </c>
      <c r="T28" s="24">
        <f t="shared" si="11"/>
        <v>0</v>
      </c>
      <c r="U28" s="24">
        <f t="shared" si="11"/>
        <v>0</v>
      </c>
      <c r="V28" s="25">
        <f t="shared" si="11"/>
        <v>165</v>
      </c>
      <c r="W28" s="26">
        <f t="shared" si="11"/>
        <v>129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0</v>
      </c>
      <c r="AB28" s="28">
        <f>AVERAGE(AB6:AB27)</f>
        <v>0.47619047619047616</v>
      </c>
      <c r="AC28" s="4">
        <f>AVERAGE(AC6:AC27)</f>
        <v>0.35227272727272724</v>
      </c>
      <c r="AD28" s="4">
        <f>AVERAGE(AD6:AD27)</f>
        <v>0.35227272727272724</v>
      </c>
      <c r="AE28" s="29"/>
    </row>
    <row r="29" spans="1:32">
      <c r="T29" s="50" t="s">
        <v>128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129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81" t="s">
        <v>45</v>
      </c>
      <c r="B55" s="481"/>
      <c r="C55" s="481"/>
      <c r="D55" s="481"/>
      <c r="E55" s="48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82" t="s">
        <v>390</v>
      </c>
      <c r="B56" s="483"/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4"/>
      <c r="N56" s="485" t="s">
        <v>395</v>
      </c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7"/>
    </row>
    <row r="57" spans="1:32" ht="27" customHeight="1">
      <c r="A57" s="488" t="s">
        <v>2</v>
      </c>
      <c r="B57" s="489"/>
      <c r="C57" s="211" t="s">
        <v>46</v>
      </c>
      <c r="D57" s="211" t="s">
        <v>47</v>
      </c>
      <c r="E57" s="211" t="s">
        <v>107</v>
      </c>
      <c r="F57" s="490" t="s">
        <v>106</v>
      </c>
      <c r="G57" s="491"/>
      <c r="H57" s="491"/>
      <c r="I57" s="491"/>
      <c r="J57" s="491"/>
      <c r="K57" s="491"/>
      <c r="L57" s="491"/>
      <c r="M57" s="492"/>
      <c r="N57" s="67" t="s">
        <v>110</v>
      </c>
      <c r="O57" s="211" t="s">
        <v>46</v>
      </c>
      <c r="P57" s="490" t="s">
        <v>47</v>
      </c>
      <c r="Q57" s="493"/>
      <c r="R57" s="490" t="s">
        <v>38</v>
      </c>
      <c r="S57" s="491"/>
      <c r="T57" s="491"/>
      <c r="U57" s="493"/>
      <c r="V57" s="490" t="s">
        <v>48</v>
      </c>
      <c r="W57" s="491"/>
      <c r="X57" s="491"/>
      <c r="Y57" s="491"/>
      <c r="Z57" s="491"/>
      <c r="AA57" s="491"/>
      <c r="AB57" s="491"/>
      <c r="AC57" s="491"/>
      <c r="AD57" s="492"/>
    </row>
    <row r="58" spans="1:32" ht="27" customHeight="1">
      <c r="A58" s="455" t="s">
        <v>112</v>
      </c>
      <c r="B58" s="456"/>
      <c r="C58" s="212" t="s">
        <v>155</v>
      </c>
      <c r="D58" s="212" t="s">
        <v>115</v>
      </c>
      <c r="E58" s="212" t="s">
        <v>382</v>
      </c>
      <c r="F58" s="457" t="s">
        <v>391</v>
      </c>
      <c r="G58" s="458"/>
      <c r="H58" s="458"/>
      <c r="I58" s="458"/>
      <c r="J58" s="458"/>
      <c r="K58" s="458"/>
      <c r="L58" s="458"/>
      <c r="M58" s="459"/>
      <c r="N58" s="213" t="s">
        <v>116</v>
      </c>
      <c r="O58" s="219" t="s">
        <v>164</v>
      </c>
      <c r="P58" s="472" t="s">
        <v>115</v>
      </c>
      <c r="Q58" s="473"/>
      <c r="R58" s="472" t="s">
        <v>172</v>
      </c>
      <c r="S58" s="474"/>
      <c r="T58" s="474"/>
      <c r="U58" s="473"/>
      <c r="V58" s="461" t="s">
        <v>144</v>
      </c>
      <c r="W58" s="462"/>
      <c r="X58" s="462"/>
      <c r="Y58" s="462"/>
      <c r="Z58" s="462"/>
      <c r="AA58" s="462"/>
      <c r="AB58" s="462"/>
      <c r="AC58" s="462"/>
      <c r="AD58" s="463"/>
    </row>
    <row r="59" spans="1:32" ht="27" customHeight="1">
      <c r="A59" s="455" t="s">
        <v>116</v>
      </c>
      <c r="B59" s="456"/>
      <c r="C59" s="212" t="s">
        <v>164</v>
      </c>
      <c r="D59" s="212" t="s">
        <v>115</v>
      </c>
      <c r="E59" s="214" t="s">
        <v>172</v>
      </c>
      <c r="F59" s="457" t="s">
        <v>215</v>
      </c>
      <c r="G59" s="458"/>
      <c r="H59" s="458"/>
      <c r="I59" s="458"/>
      <c r="J59" s="458"/>
      <c r="K59" s="458"/>
      <c r="L59" s="458"/>
      <c r="M59" s="459"/>
      <c r="N59" s="213" t="s">
        <v>126</v>
      </c>
      <c r="O59" s="219" t="s">
        <v>180</v>
      </c>
      <c r="P59" s="472" t="s">
        <v>115</v>
      </c>
      <c r="Q59" s="473"/>
      <c r="R59" s="472" t="s">
        <v>327</v>
      </c>
      <c r="S59" s="474"/>
      <c r="T59" s="474"/>
      <c r="U59" s="473"/>
      <c r="V59" s="461" t="s">
        <v>144</v>
      </c>
      <c r="W59" s="462"/>
      <c r="X59" s="462"/>
      <c r="Y59" s="462"/>
      <c r="Z59" s="462"/>
      <c r="AA59" s="462"/>
      <c r="AB59" s="462"/>
      <c r="AC59" s="462"/>
      <c r="AD59" s="463"/>
    </row>
    <row r="60" spans="1:32" ht="27" customHeight="1">
      <c r="A60" s="455" t="s">
        <v>116</v>
      </c>
      <c r="B60" s="456"/>
      <c r="C60" s="212" t="s">
        <v>259</v>
      </c>
      <c r="D60" s="212" t="s">
        <v>353</v>
      </c>
      <c r="E60" s="214" t="s">
        <v>354</v>
      </c>
      <c r="F60" s="457" t="s">
        <v>392</v>
      </c>
      <c r="G60" s="458"/>
      <c r="H60" s="458"/>
      <c r="I60" s="458"/>
      <c r="J60" s="458"/>
      <c r="K60" s="458"/>
      <c r="L60" s="458"/>
      <c r="M60" s="459"/>
      <c r="N60" s="213"/>
      <c r="O60" s="219"/>
      <c r="P60" s="472"/>
      <c r="Q60" s="473"/>
      <c r="R60" s="472"/>
      <c r="S60" s="474"/>
      <c r="T60" s="474"/>
      <c r="U60" s="473"/>
      <c r="V60" s="461"/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126</v>
      </c>
      <c r="B61" s="456"/>
      <c r="C61" s="212" t="s">
        <v>180</v>
      </c>
      <c r="D61" s="212" t="s">
        <v>115</v>
      </c>
      <c r="E61" s="214" t="s">
        <v>327</v>
      </c>
      <c r="F61" s="457" t="s">
        <v>393</v>
      </c>
      <c r="G61" s="458"/>
      <c r="H61" s="458"/>
      <c r="I61" s="458"/>
      <c r="J61" s="458"/>
      <c r="K61" s="458"/>
      <c r="L61" s="458"/>
      <c r="M61" s="459"/>
      <c r="N61" s="213"/>
      <c r="O61" s="219"/>
      <c r="P61" s="472"/>
      <c r="Q61" s="473"/>
      <c r="R61" s="472"/>
      <c r="S61" s="474"/>
      <c r="T61" s="474"/>
      <c r="U61" s="473"/>
      <c r="V61" s="461"/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/>
      <c r="B62" s="456"/>
      <c r="C62" s="212"/>
      <c r="D62" s="212"/>
      <c r="E62" s="214"/>
      <c r="F62" s="457"/>
      <c r="G62" s="458"/>
      <c r="H62" s="458"/>
      <c r="I62" s="458"/>
      <c r="J62" s="458"/>
      <c r="K62" s="458"/>
      <c r="L62" s="458"/>
      <c r="M62" s="459"/>
      <c r="N62" s="213"/>
      <c r="O62" s="219"/>
      <c r="P62" s="472"/>
      <c r="Q62" s="473"/>
      <c r="R62" s="472"/>
      <c r="S62" s="474"/>
      <c r="T62" s="474"/>
      <c r="U62" s="473"/>
      <c r="V62" s="461"/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/>
      <c r="B63" s="456"/>
      <c r="C63" s="212"/>
      <c r="D63" s="212"/>
      <c r="E63" s="214"/>
      <c r="F63" s="457"/>
      <c r="G63" s="458"/>
      <c r="H63" s="458"/>
      <c r="I63" s="458"/>
      <c r="J63" s="458"/>
      <c r="K63" s="458"/>
      <c r="L63" s="458"/>
      <c r="M63" s="459"/>
      <c r="N63" s="213"/>
      <c r="O63" s="219"/>
      <c r="P63" s="472"/>
      <c r="Q63" s="473"/>
      <c r="R63" s="472"/>
      <c r="S63" s="474"/>
      <c r="T63" s="474"/>
      <c r="U63" s="473"/>
      <c r="V63" s="461"/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/>
      <c r="B64" s="456"/>
      <c r="C64" s="212"/>
      <c r="D64" s="212"/>
      <c r="E64" s="214"/>
      <c r="F64" s="457"/>
      <c r="G64" s="458"/>
      <c r="H64" s="458"/>
      <c r="I64" s="458"/>
      <c r="J64" s="458"/>
      <c r="K64" s="458"/>
      <c r="L64" s="458"/>
      <c r="M64" s="459"/>
      <c r="N64" s="213"/>
      <c r="O64" s="219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/>
      <c r="B65" s="456"/>
      <c r="C65" s="212"/>
      <c r="D65" s="212"/>
      <c r="E65" s="214"/>
      <c r="F65" s="457"/>
      <c r="G65" s="458"/>
      <c r="H65" s="458"/>
      <c r="I65" s="458"/>
      <c r="J65" s="458"/>
      <c r="K65" s="458"/>
      <c r="L65" s="458"/>
      <c r="M65" s="459"/>
      <c r="N65" s="213"/>
      <c r="O65" s="219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212"/>
      <c r="D66" s="212"/>
      <c r="E66" s="214"/>
      <c r="F66" s="457"/>
      <c r="G66" s="458"/>
      <c r="H66" s="458"/>
      <c r="I66" s="458"/>
      <c r="J66" s="458"/>
      <c r="K66" s="458"/>
      <c r="L66" s="458"/>
      <c r="M66" s="459"/>
      <c r="N66" s="213"/>
      <c r="O66" s="219"/>
      <c r="P66" s="460"/>
      <c r="Q66" s="460"/>
      <c r="R66" s="460"/>
      <c r="S66" s="460"/>
      <c r="T66" s="460"/>
      <c r="U66" s="460"/>
      <c r="V66" s="461"/>
      <c r="W66" s="462"/>
      <c r="X66" s="462"/>
      <c r="Y66" s="462"/>
      <c r="Z66" s="462"/>
      <c r="AA66" s="462"/>
      <c r="AB66" s="462"/>
      <c r="AC66" s="462"/>
      <c r="AD66" s="463"/>
      <c r="AF66" s="81">
        <f>8*3000</f>
        <v>24000</v>
      </c>
    </row>
    <row r="67" spans="1:32" ht="27" customHeight="1" thickBot="1">
      <c r="A67" s="464"/>
      <c r="B67" s="465"/>
      <c r="C67" s="215"/>
      <c r="D67" s="216"/>
      <c r="E67" s="215"/>
      <c r="F67" s="466"/>
      <c r="G67" s="467"/>
      <c r="H67" s="467"/>
      <c r="I67" s="467"/>
      <c r="J67" s="467"/>
      <c r="K67" s="467"/>
      <c r="L67" s="467"/>
      <c r="M67" s="468"/>
      <c r="N67" s="105"/>
      <c r="O67" s="97"/>
      <c r="P67" s="469"/>
      <c r="Q67" s="469"/>
      <c r="R67" s="469"/>
      <c r="S67" s="469"/>
      <c r="T67" s="469"/>
      <c r="U67" s="469"/>
      <c r="V67" s="470"/>
      <c r="W67" s="470"/>
      <c r="X67" s="470"/>
      <c r="Y67" s="470"/>
      <c r="Z67" s="470"/>
      <c r="AA67" s="470"/>
      <c r="AB67" s="470"/>
      <c r="AC67" s="470"/>
      <c r="AD67" s="471"/>
      <c r="AF67" s="81">
        <f>16*3000</f>
        <v>48000</v>
      </c>
    </row>
    <row r="68" spans="1:32" ht="27.75" thickBot="1">
      <c r="A68" s="453" t="s">
        <v>394</v>
      </c>
      <c r="B68" s="453"/>
      <c r="C68" s="453"/>
      <c r="D68" s="453"/>
      <c r="E68" s="453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54" t="s">
        <v>111</v>
      </c>
      <c r="B69" s="451"/>
      <c r="C69" s="217" t="s">
        <v>2</v>
      </c>
      <c r="D69" s="217" t="s">
        <v>37</v>
      </c>
      <c r="E69" s="217" t="s">
        <v>3</v>
      </c>
      <c r="F69" s="451" t="s">
        <v>109</v>
      </c>
      <c r="G69" s="451"/>
      <c r="H69" s="451"/>
      <c r="I69" s="451"/>
      <c r="J69" s="451"/>
      <c r="K69" s="451" t="s">
        <v>39</v>
      </c>
      <c r="L69" s="451"/>
      <c r="M69" s="217" t="s">
        <v>40</v>
      </c>
      <c r="N69" s="451" t="s">
        <v>41</v>
      </c>
      <c r="O69" s="451"/>
      <c r="P69" s="448" t="s">
        <v>42</v>
      </c>
      <c r="Q69" s="450"/>
      <c r="R69" s="448" t="s">
        <v>43</v>
      </c>
      <c r="S69" s="449"/>
      <c r="T69" s="449"/>
      <c r="U69" s="449"/>
      <c r="V69" s="449"/>
      <c r="W69" s="449"/>
      <c r="X69" s="449"/>
      <c r="Y69" s="449"/>
      <c r="Z69" s="449"/>
      <c r="AA69" s="450"/>
      <c r="AB69" s="451" t="s">
        <v>44</v>
      </c>
      <c r="AC69" s="451"/>
      <c r="AD69" s="452"/>
      <c r="AF69" s="81">
        <f>SUM(AF66:AF68)</f>
        <v>96000</v>
      </c>
    </row>
    <row r="70" spans="1:32" ht="25.5" customHeight="1">
      <c r="A70" s="439">
        <v>1</v>
      </c>
      <c r="B70" s="440"/>
      <c r="C70" s="98" t="s">
        <v>126</v>
      </c>
      <c r="D70" s="221"/>
      <c r="E70" s="218" t="s">
        <v>127</v>
      </c>
      <c r="F70" s="441" t="s">
        <v>396</v>
      </c>
      <c r="G70" s="431"/>
      <c r="H70" s="431"/>
      <c r="I70" s="431"/>
      <c r="J70" s="431"/>
      <c r="K70" s="431" t="s">
        <v>213</v>
      </c>
      <c r="L70" s="431"/>
      <c r="M70" s="51" t="s">
        <v>154</v>
      </c>
      <c r="N70" s="442" t="s">
        <v>192</v>
      </c>
      <c r="O70" s="442"/>
      <c r="P70" s="443">
        <v>500</v>
      </c>
      <c r="Q70" s="443"/>
      <c r="R70" s="444"/>
      <c r="S70" s="444"/>
      <c r="T70" s="444"/>
      <c r="U70" s="444"/>
      <c r="V70" s="444"/>
      <c r="W70" s="444"/>
      <c r="X70" s="444"/>
      <c r="Y70" s="444"/>
      <c r="Z70" s="444"/>
      <c r="AA70" s="444"/>
      <c r="AB70" s="431"/>
      <c r="AC70" s="431"/>
      <c r="AD70" s="432"/>
      <c r="AF70" s="50"/>
    </row>
    <row r="71" spans="1:32" ht="25.5" customHeight="1">
      <c r="A71" s="439">
        <v>2</v>
      </c>
      <c r="B71" s="440"/>
      <c r="C71" s="98"/>
      <c r="D71" s="221"/>
      <c r="E71" s="218"/>
      <c r="F71" s="441"/>
      <c r="G71" s="431"/>
      <c r="H71" s="431"/>
      <c r="I71" s="431"/>
      <c r="J71" s="431"/>
      <c r="K71" s="431"/>
      <c r="L71" s="431"/>
      <c r="M71" s="51"/>
      <c r="N71" s="442"/>
      <c r="O71" s="442"/>
      <c r="P71" s="443"/>
      <c r="Q71" s="443"/>
      <c r="R71" s="444"/>
      <c r="S71" s="444"/>
      <c r="T71" s="444"/>
      <c r="U71" s="444"/>
      <c r="V71" s="444"/>
      <c r="W71" s="444"/>
      <c r="X71" s="444"/>
      <c r="Y71" s="444"/>
      <c r="Z71" s="444"/>
      <c r="AA71" s="444"/>
      <c r="AB71" s="431"/>
      <c r="AC71" s="431"/>
      <c r="AD71" s="432"/>
      <c r="AF71" s="50"/>
    </row>
    <row r="72" spans="1:32" ht="25.5" customHeight="1">
      <c r="A72" s="439">
        <v>3</v>
      </c>
      <c r="B72" s="440"/>
      <c r="C72" s="98"/>
      <c r="D72" s="221"/>
      <c r="E72" s="218"/>
      <c r="F72" s="441"/>
      <c r="G72" s="431"/>
      <c r="H72" s="431"/>
      <c r="I72" s="431"/>
      <c r="J72" s="431"/>
      <c r="K72" s="431"/>
      <c r="L72" s="431"/>
      <c r="M72" s="51"/>
      <c r="N72" s="442"/>
      <c r="O72" s="442"/>
      <c r="P72" s="443"/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4</v>
      </c>
      <c r="B73" s="440"/>
      <c r="C73" s="98"/>
      <c r="D73" s="221"/>
      <c r="E73" s="218"/>
      <c r="F73" s="445"/>
      <c r="G73" s="446"/>
      <c r="H73" s="446"/>
      <c r="I73" s="446"/>
      <c r="J73" s="447"/>
      <c r="K73" s="431"/>
      <c r="L73" s="431"/>
      <c r="M73" s="51"/>
      <c r="N73" s="442"/>
      <c r="O73" s="442"/>
      <c r="P73" s="443"/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5</v>
      </c>
      <c r="B74" s="440"/>
      <c r="C74" s="98"/>
      <c r="D74" s="221"/>
      <c r="E74" s="218"/>
      <c r="F74" s="445"/>
      <c r="G74" s="446"/>
      <c r="H74" s="446"/>
      <c r="I74" s="446"/>
      <c r="J74" s="447"/>
      <c r="K74" s="431"/>
      <c r="L74" s="431"/>
      <c r="M74" s="51"/>
      <c r="N74" s="442"/>
      <c r="O74" s="442"/>
      <c r="P74" s="443"/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6</v>
      </c>
      <c r="B75" s="440"/>
      <c r="C75" s="98"/>
      <c r="D75" s="221"/>
      <c r="E75" s="218"/>
      <c r="F75" s="445"/>
      <c r="G75" s="446"/>
      <c r="H75" s="446"/>
      <c r="I75" s="446"/>
      <c r="J75" s="447"/>
      <c r="K75" s="431"/>
      <c r="L75" s="431"/>
      <c r="M75" s="51"/>
      <c r="N75" s="442"/>
      <c r="O75" s="442"/>
      <c r="P75" s="443"/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7</v>
      </c>
      <c r="B76" s="440"/>
      <c r="C76" s="98"/>
      <c r="D76" s="221"/>
      <c r="E76" s="218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8</v>
      </c>
      <c r="B77" s="440"/>
      <c r="C77" s="98"/>
      <c r="D77" s="221"/>
      <c r="E77" s="218"/>
      <c r="F77" s="441"/>
      <c r="G77" s="431"/>
      <c r="H77" s="431"/>
      <c r="I77" s="431"/>
      <c r="J77" s="431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9</v>
      </c>
      <c r="B78" s="440"/>
      <c r="C78" s="98"/>
      <c r="D78" s="221"/>
      <c r="E78" s="218"/>
      <c r="F78" s="441"/>
      <c r="G78" s="431"/>
      <c r="H78" s="431"/>
      <c r="I78" s="431"/>
      <c r="J78" s="431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10</v>
      </c>
      <c r="B79" s="440"/>
      <c r="C79" s="98"/>
      <c r="D79" s="221"/>
      <c r="E79" s="218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6.25" customHeight="1" thickBot="1">
      <c r="A80" s="411" t="s">
        <v>397</v>
      </c>
      <c r="B80" s="411"/>
      <c r="C80" s="411"/>
      <c r="D80" s="411"/>
      <c r="E80" s="411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33" t="s">
        <v>111</v>
      </c>
      <c r="B81" s="434"/>
      <c r="C81" s="220" t="s">
        <v>2</v>
      </c>
      <c r="D81" s="220" t="s">
        <v>37</v>
      </c>
      <c r="E81" s="220" t="s">
        <v>120</v>
      </c>
      <c r="F81" s="413" t="s">
        <v>38</v>
      </c>
      <c r="G81" s="413"/>
      <c r="H81" s="413"/>
      <c r="I81" s="413"/>
      <c r="J81" s="413"/>
      <c r="K81" s="435" t="s">
        <v>58</v>
      </c>
      <c r="L81" s="436"/>
      <c r="M81" s="436"/>
      <c r="N81" s="436"/>
      <c r="O81" s="436"/>
      <c r="P81" s="436"/>
      <c r="Q81" s="436"/>
      <c r="R81" s="436"/>
      <c r="S81" s="437"/>
      <c r="T81" s="413" t="s">
        <v>49</v>
      </c>
      <c r="U81" s="413"/>
      <c r="V81" s="435" t="s">
        <v>50</v>
      </c>
      <c r="W81" s="437"/>
      <c r="X81" s="436" t="s">
        <v>51</v>
      </c>
      <c r="Y81" s="436"/>
      <c r="Z81" s="436"/>
      <c r="AA81" s="436"/>
      <c r="AB81" s="436"/>
      <c r="AC81" s="436"/>
      <c r="AD81" s="438"/>
      <c r="AF81" s="50"/>
    </row>
    <row r="82" spans="1:32" ht="33.75" customHeight="1">
      <c r="A82" s="405">
        <v>1</v>
      </c>
      <c r="B82" s="406"/>
      <c r="C82" s="222"/>
      <c r="D82" s="222"/>
      <c r="E82" s="65"/>
      <c r="F82" s="420"/>
      <c r="G82" s="421"/>
      <c r="H82" s="421"/>
      <c r="I82" s="421"/>
      <c r="J82" s="422"/>
      <c r="K82" s="423"/>
      <c r="L82" s="424"/>
      <c r="M82" s="424"/>
      <c r="N82" s="424"/>
      <c r="O82" s="424"/>
      <c r="P82" s="424"/>
      <c r="Q82" s="424"/>
      <c r="R82" s="424"/>
      <c r="S82" s="425"/>
      <c r="T82" s="426"/>
      <c r="U82" s="427"/>
      <c r="V82" s="428"/>
      <c r="W82" s="428"/>
      <c r="X82" s="429"/>
      <c r="Y82" s="429"/>
      <c r="Z82" s="429"/>
      <c r="AA82" s="429"/>
      <c r="AB82" s="429"/>
      <c r="AC82" s="429"/>
      <c r="AD82" s="430"/>
      <c r="AF82" s="50"/>
    </row>
    <row r="83" spans="1:32" ht="30" customHeight="1">
      <c r="A83" s="398">
        <f>A82+1</f>
        <v>2</v>
      </c>
      <c r="B83" s="399"/>
      <c r="C83" s="221"/>
      <c r="D83" s="221"/>
      <c r="E83" s="32"/>
      <c r="F83" s="399"/>
      <c r="G83" s="399"/>
      <c r="H83" s="399"/>
      <c r="I83" s="399"/>
      <c r="J83" s="399"/>
      <c r="K83" s="414"/>
      <c r="L83" s="415"/>
      <c r="M83" s="415"/>
      <c r="N83" s="415"/>
      <c r="O83" s="415"/>
      <c r="P83" s="415"/>
      <c r="Q83" s="415"/>
      <c r="R83" s="415"/>
      <c r="S83" s="416"/>
      <c r="T83" s="417"/>
      <c r="U83" s="417"/>
      <c r="V83" s="417"/>
      <c r="W83" s="417"/>
      <c r="X83" s="418"/>
      <c r="Y83" s="418"/>
      <c r="Z83" s="418"/>
      <c r="AA83" s="418"/>
      <c r="AB83" s="418"/>
      <c r="AC83" s="418"/>
      <c r="AD83" s="419"/>
      <c r="AF83" s="50"/>
    </row>
    <row r="84" spans="1:32" ht="30" customHeight="1">
      <c r="A84" s="398">
        <f t="shared" ref="A84:A88" si="12">A83+1</f>
        <v>3</v>
      </c>
      <c r="B84" s="399"/>
      <c r="C84" s="221"/>
      <c r="D84" s="221"/>
      <c r="E84" s="32"/>
      <c r="F84" s="399"/>
      <c r="G84" s="399"/>
      <c r="H84" s="399"/>
      <c r="I84" s="399"/>
      <c r="J84" s="399"/>
      <c r="K84" s="414"/>
      <c r="L84" s="415"/>
      <c r="M84" s="415"/>
      <c r="N84" s="415"/>
      <c r="O84" s="415"/>
      <c r="P84" s="415"/>
      <c r="Q84" s="415"/>
      <c r="R84" s="415"/>
      <c r="S84" s="416"/>
      <c r="T84" s="417"/>
      <c r="U84" s="417"/>
      <c r="V84" s="417"/>
      <c r="W84" s="417"/>
      <c r="X84" s="418"/>
      <c r="Y84" s="418"/>
      <c r="Z84" s="418"/>
      <c r="AA84" s="418"/>
      <c r="AB84" s="418"/>
      <c r="AC84" s="418"/>
      <c r="AD84" s="419"/>
      <c r="AF84" s="50"/>
    </row>
    <row r="85" spans="1:32" ht="30" customHeight="1">
      <c r="A85" s="398">
        <f t="shared" si="12"/>
        <v>4</v>
      </c>
      <c r="B85" s="399"/>
      <c r="C85" s="221"/>
      <c r="D85" s="221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si="12"/>
        <v>5</v>
      </c>
      <c r="B86" s="399"/>
      <c r="C86" s="221"/>
      <c r="D86" s="221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12"/>
        <v>6</v>
      </c>
      <c r="B87" s="399"/>
      <c r="C87" s="221"/>
      <c r="D87" s="221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2"/>
        <v>7</v>
      </c>
      <c r="B88" s="399"/>
      <c r="C88" s="221"/>
      <c r="D88" s="221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6" thickBot="1">
      <c r="A89" s="411" t="s">
        <v>398</v>
      </c>
      <c r="B89" s="411"/>
      <c r="C89" s="411"/>
      <c r="D89" s="411"/>
      <c r="E89" s="411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12" t="s">
        <v>111</v>
      </c>
      <c r="B90" s="413"/>
      <c r="C90" s="403" t="s">
        <v>52</v>
      </c>
      <c r="D90" s="403"/>
      <c r="E90" s="403" t="s">
        <v>53</v>
      </c>
      <c r="F90" s="403"/>
      <c r="G90" s="403"/>
      <c r="H90" s="403"/>
      <c r="I90" s="403"/>
      <c r="J90" s="403"/>
      <c r="K90" s="403" t="s">
        <v>54</v>
      </c>
      <c r="L90" s="403"/>
      <c r="M90" s="403"/>
      <c r="N90" s="403"/>
      <c r="O90" s="403"/>
      <c r="P90" s="403"/>
      <c r="Q90" s="403"/>
      <c r="R90" s="403"/>
      <c r="S90" s="403"/>
      <c r="T90" s="403" t="s">
        <v>55</v>
      </c>
      <c r="U90" s="403"/>
      <c r="V90" s="403" t="s">
        <v>56</v>
      </c>
      <c r="W90" s="403"/>
      <c r="X90" s="403"/>
      <c r="Y90" s="403" t="s">
        <v>51</v>
      </c>
      <c r="Z90" s="403"/>
      <c r="AA90" s="403"/>
      <c r="AB90" s="403"/>
      <c r="AC90" s="403"/>
      <c r="AD90" s="404"/>
      <c r="AF90" s="50"/>
    </row>
    <row r="91" spans="1:32" ht="30.75" customHeight="1">
      <c r="A91" s="405">
        <v>1</v>
      </c>
      <c r="B91" s="406"/>
      <c r="C91" s="407"/>
      <c r="D91" s="407"/>
      <c r="E91" s="407"/>
      <c r="F91" s="407"/>
      <c r="G91" s="407"/>
      <c r="H91" s="407"/>
      <c r="I91" s="407"/>
      <c r="J91" s="407"/>
      <c r="K91" s="407"/>
      <c r="L91" s="407"/>
      <c r="M91" s="407"/>
      <c r="N91" s="407"/>
      <c r="O91" s="407"/>
      <c r="P91" s="407"/>
      <c r="Q91" s="407"/>
      <c r="R91" s="407"/>
      <c r="S91" s="407"/>
      <c r="T91" s="407"/>
      <c r="U91" s="407"/>
      <c r="V91" s="408"/>
      <c r="W91" s="408"/>
      <c r="X91" s="408"/>
      <c r="Y91" s="409"/>
      <c r="Z91" s="409"/>
      <c r="AA91" s="409"/>
      <c r="AB91" s="409"/>
      <c r="AC91" s="409"/>
      <c r="AD91" s="410"/>
      <c r="AF91" s="50"/>
    </row>
    <row r="92" spans="1:32" ht="30.75" customHeight="1">
      <c r="A92" s="398">
        <v>2</v>
      </c>
      <c r="B92" s="399"/>
      <c r="C92" s="400"/>
      <c r="D92" s="400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1"/>
      <c r="U92" s="401"/>
      <c r="V92" s="402"/>
      <c r="W92" s="402"/>
      <c r="X92" s="402"/>
      <c r="Y92" s="390"/>
      <c r="Z92" s="390"/>
      <c r="AA92" s="390"/>
      <c r="AB92" s="390"/>
      <c r="AC92" s="390"/>
      <c r="AD92" s="391"/>
      <c r="AF92" s="50"/>
    </row>
    <row r="93" spans="1:32" ht="30.75" customHeight="1" thickBot="1">
      <c r="A93" s="392">
        <v>3</v>
      </c>
      <c r="B93" s="393"/>
      <c r="C93" s="394"/>
      <c r="D93" s="394"/>
      <c r="E93" s="394"/>
      <c r="F93" s="394"/>
      <c r="G93" s="394"/>
      <c r="H93" s="394"/>
      <c r="I93" s="394"/>
      <c r="J93" s="394"/>
      <c r="K93" s="394"/>
      <c r="L93" s="394"/>
      <c r="M93" s="394"/>
      <c r="N93" s="394"/>
      <c r="O93" s="394"/>
      <c r="P93" s="394"/>
      <c r="Q93" s="394"/>
      <c r="R93" s="394"/>
      <c r="S93" s="394"/>
      <c r="T93" s="394"/>
      <c r="U93" s="394"/>
      <c r="V93" s="395"/>
      <c r="W93" s="395"/>
      <c r="X93" s="395"/>
      <c r="Y93" s="396"/>
      <c r="Z93" s="396"/>
      <c r="AA93" s="396"/>
      <c r="AB93" s="396"/>
      <c r="AC93" s="396"/>
      <c r="AD93" s="397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AA2E-792B-4822-A5DC-54961913F275}">
  <sheetPr codeName="Sheet10">
    <pageSetUpPr fitToPage="1"/>
  </sheetPr>
  <dimension ref="A1:AF93"/>
  <sheetViews>
    <sheetView view="pageBreakPreview" zoomScale="70" zoomScaleNormal="72" zoomScaleSheetLayoutView="70" workbookViewId="0">
      <selection activeCell="K86" sqref="K86:S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399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210" t="s">
        <v>17</v>
      </c>
      <c r="L5" s="210" t="s">
        <v>18</v>
      </c>
      <c r="M5" s="210" t="s">
        <v>19</v>
      </c>
      <c r="N5" s="21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10312</v>
      </c>
      <c r="K6" s="15">
        <f>L6+5046+2812+7738+10312</f>
        <v>25908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>AC6*AB6*(1-O6)</f>
        <v>0</v>
      </c>
      <c r="AE6" s="36">
        <f t="shared" ref="AE6:AE27" si="6">$AD$28</f>
        <v>5.3030303030303032E-2</v>
      </c>
      <c r="AF6" s="81">
        <f t="shared" ref="AF6:AF27" si="7">A6</f>
        <v>1</v>
      </c>
    </row>
    <row r="7" spans="1:32" ht="27" customHeight="1">
      <c r="A7" s="106">
        <v>2</v>
      </c>
      <c r="B7" s="11" t="s">
        <v>57</v>
      </c>
      <c r="C7" s="34" t="s">
        <v>163</v>
      </c>
      <c r="D7" s="52" t="s">
        <v>138</v>
      </c>
      <c r="E7" s="53" t="s">
        <v>179</v>
      </c>
      <c r="F7" s="30" t="s">
        <v>137</v>
      </c>
      <c r="G7" s="12">
        <v>1</v>
      </c>
      <c r="H7" s="13">
        <v>24</v>
      </c>
      <c r="I7" s="31">
        <v>30000</v>
      </c>
      <c r="J7" s="14">
        <v>6360</v>
      </c>
      <c r="K7" s="15">
        <f>L7+3491+6360</f>
        <v>9851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7" si="8">AC7*AB7*(1-O7)</f>
        <v>0</v>
      </c>
      <c r="AE7" s="36">
        <f t="shared" si="6"/>
        <v>5.3030303030303032E-2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115</v>
      </c>
      <c r="E8" s="53" t="s">
        <v>382</v>
      </c>
      <c r="F8" s="30" t="s">
        <v>168</v>
      </c>
      <c r="G8" s="12">
        <v>1</v>
      </c>
      <c r="H8" s="13">
        <v>22</v>
      </c>
      <c r="I8" s="31">
        <v>1000</v>
      </c>
      <c r="J8" s="5">
        <v>1559</v>
      </c>
      <c r="K8" s="15">
        <f>L8+1559</f>
        <v>1559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8"/>
        <v>0</v>
      </c>
      <c r="AE8" s="36">
        <f t="shared" si="6"/>
        <v>5.3030303030303032E-2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257</v>
      </c>
      <c r="F9" s="30" t="s">
        <v>122</v>
      </c>
      <c r="G9" s="12">
        <v>1</v>
      </c>
      <c r="H9" s="13">
        <v>24</v>
      </c>
      <c r="I9" s="7">
        <v>50000</v>
      </c>
      <c r="J9" s="14">
        <v>3727</v>
      </c>
      <c r="K9" s="15">
        <f>L9+5224+5754+5666+3727</f>
        <v>20371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>
        <v>24</v>
      </c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8"/>
        <v>0</v>
      </c>
      <c r="AE9" s="36">
        <f t="shared" si="6"/>
        <v>5.3030303030303032E-2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799</v>
      </c>
      <c r="K10" s="15">
        <f>L10+5338+5669+5744+4980+3619+1932+309+2790+5660+4715+1739+3127+5884+1203+3638+5732+5658+5217+2430+1897+5596+5715+3707</f>
        <v>93098</v>
      </c>
      <c r="L10" s="15">
        <v>799</v>
      </c>
      <c r="M10" s="15">
        <f t="shared" si="0"/>
        <v>799</v>
      </c>
      <c r="N10" s="15">
        <v>0</v>
      </c>
      <c r="O10" s="58">
        <f t="shared" si="1"/>
        <v>0</v>
      </c>
      <c r="P10" s="39">
        <f t="shared" si="2"/>
        <v>4</v>
      </c>
      <c r="Q10" s="40">
        <f t="shared" si="3"/>
        <v>20</v>
      </c>
      <c r="R10" s="7"/>
      <c r="S10" s="6">
        <v>4</v>
      </c>
      <c r="T10" s="16"/>
      <c r="U10" s="16"/>
      <c r="V10" s="17">
        <v>16</v>
      </c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0.16666666666666666</v>
      </c>
      <c r="AD10" s="10">
        <f t="shared" si="8"/>
        <v>0.16666666666666666</v>
      </c>
      <c r="AE10" s="36">
        <f t="shared" si="6"/>
        <v>5.3030303030303032E-2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353</v>
      </c>
      <c r="E11" s="53" t="s">
        <v>354</v>
      </c>
      <c r="F11" s="30" t="s">
        <v>367</v>
      </c>
      <c r="G11" s="33">
        <v>30</v>
      </c>
      <c r="H11" s="35">
        <v>24</v>
      </c>
      <c r="I11" s="7">
        <v>300000</v>
      </c>
      <c r="J11" s="14">
        <v>147660</v>
      </c>
      <c r="K11" s="15">
        <f>L11+143380+147660</f>
        <v>291040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>
        <v>24</v>
      </c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8"/>
        <v>0</v>
      </c>
      <c r="AE11" s="36">
        <f t="shared" si="6"/>
        <v>5.3030303030303032E-2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126</v>
      </c>
      <c r="D12" s="52" t="s">
        <v>121</v>
      </c>
      <c r="E12" s="53" t="s">
        <v>368</v>
      </c>
      <c r="F12" s="30" t="s">
        <v>123</v>
      </c>
      <c r="G12" s="12">
        <v>3</v>
      </c>
      <c r="H12" s="13">
        <v>22</v>
      </c>
      <c r="I12" s="31">
        <v>32000</v>
      </c>
      <c r="J12" s="5">
        <v>5163</v>
      </c>
      <c r="K12" s="15">
        <f>L12+7911+15024</f>
        <v>28098</v>
      </c>
      <c r="L12" s="15">
        <f>1721*3</f>
        <v>5163</v>
      </c>
      <c r="M12" s="15">
        <f t="shared" si="0"/>
        <v>5163</v>
      </c>
      <c r="N12" s="15">
        <v>0</v>
      </c>
      <c r="O12" s="58">
        <f t="shared" si="1"/>
        <v>0</v>
      </c>
      <c r="P12" s="39">
        <f t="shared" si="2"/>
        <v>10</v>
      </c>
      <c r="Q12" s="40">
        <f t="shared" si="3"/>
        <v>14</v>
      </c>
      <c r="R12" s="7"/>
      <c r="S12" s="6"/>
      <c r="T12" s="16"/>
      <c r="U12" s="16"/>
      <c r="V12" s="17">
        <v>14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0.41666666666666669</v>
      </c>
      <c r="AD12" s="10">
        <f t="shared" si="8"/>
        <v>0.41666666666666669</v>
      </c>
      <c r="AE12" s="36">
        <f t="shared" si="6"/>
        <v>5.3030303030303032E-2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126</v>
      </c>
      <c r="D13" s="52"/>
      <c r="E13" s="53" t="s">
        <v>304</v>
      </c>
      <c r="F13" s="30" t="s">
        <v>122</v>
      </c>
      <c r="G13" s="33">
        <v>1</v>
      </c>
      <c r="H13" s="35">
        <v>22</v>
      </c>
      <c r="I13" s="7">
        <v>12000</v>
      </c>
      <c r="J13" s="14">
        <v>2342</v>
      </c>
      <c r="K13" s="15">
        <f>L13+3169+4592+2342</f>
        <v>10103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>
        <v>24</v>
      </c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8"/>
        <v>0</v>
      </c>
      <c r="AE13" s="36">
        <f t="shared" si="6"/>
        <v>5.3030303030303032E-2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322</v>
      </c>
      <c r="F14" s="30" t="s">
        <v>305</v>
      </c>
      <c r="G14" s="33">
        <v>1</v>
      </c>
      <c r="H14" s="35">
        <v>50</v>
      </c>
      <c r="I14" s="7">
        <v>1200</v>
      </c>
      <c r="J14" s="5">
        <v>1172</v>
      </c>
      <c r="K14" s="15">
        <f>L14+1901+1172</f>
        <v>3073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5.3030303030303032E-2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138</v>
      </c>
      <c r="E15" s="53" t="s">
        <v>147</v>
      </c>
      <c r="F15" s="30" t="s">
        <v>139</v>
      </c>
      <c r="G15" s="12">
        <v>2</v>
      </c>
      <c r="H15" s="13">
        <v>24</v>
      </c>
      <c r="I15" s="31">
        <v>45000</v>
      </c>
      <c r="J15" s="14">
        <v>1152</v>
      </c>
      <c r="K15" s="15">
        <f>L15+11556+1152</f>
        <v>12708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5.3030303030303032E-2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234</v>
      </c>
      <c r="F16" s="30" t="s">
        <v>235</v>
      </c>
      <c r="G16" s="12">
        <v>1</v>
      </c>
      <c r="H16" s="13">
        <v>22</v>
      </c>
      <c r="I16" s="31">
        <v>44000</v>
      </c>
      <c r="J16" s="5">
        <v>9100</v>
      </c>
      <c r="K16" s="15">
        <f>L16+10758+9100</f>
        <v>19858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>
        <v>24</v>
      </c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5.3030303030303032E-2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116</v>
      </c>
      <c r="D17" s="52" t="s">
        <v>138</v>
      </c>
      <c r="E17" s="53" t="s">
        <v>337</v>
      </c>
      <c r="F17" s="30" t="s">
        <v>204</v>
      </c>
      <c r="G17" s="12">
        <v>1</v>
      </c>
      <c r="H17" s="13">
        <v>24</v>
      </c>
      <c r="I17" s="7">
        <v>700</v>
      </c>
      <c r="J17" s="14">
        <v>1225</v>
      </c>
      <c r="K17" s="15">
        <f>L17+1225</f>
        <v>1225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5.3030303030303032E-2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172</v>
      </c>
      <c r="F18" s="30" t="s">
        <v>136</v>
      </c>
      <c r="G18" s="12">
        <v>1</v>
      </c>
      <c r="H18" s="13">
        <v>22</v>
      </c>
      <c r="I18" s="31">
        <v>17000</v>
      </c>
      <c r="J18" s="5">
        <v>1216</v>
      </c>
      <c r="K18" s="15">
        <f>L18+1550+666+3747+2255+3128+450+1534+2337+1600+1171+1004</f>
        <v>20658</v>
      </c>
      <c r="L18" s="15">
        <v>1216</v>
      </c>
      <c r="M18" s="15">
        <f t="shared" si="0"/>
        <v>1216</v>
      </c>
      <c r="N18" s="15">
        <v>0</v>
      </c>
      <c r="O18" s="58">
        <f t="shared" si="1"/>
        <v>0</v>
      </c>
      <c r="P18" s="39">
        <f t="shared" si="2"/>
        <v>7</v>
      </c>
      <c r="Q18" s="40">
        <f t="shared" si="3"/>
        <v>17</v>
      </c>
      <c r="R18" s="7"/>
      <c r="S18" s="6">
        <v>4</v>
      </c>
      <c r="T18" s="16"/>
      <c r="U18" s="16"/>
      <c r="V18" s="17">
        <v>13</v>
      </c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0.29166666666666669</v>
      </c>
      <c r="AD18" s="10">
        <f t="shared" si="8"/>
        <v>0.29166666666666669</v>
      </c>
      <c r="AE18" s="36">
        <f t="shared" si="6"/>
        <v>5.3030303030303032E-2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112</v>
      </c>
      <c r="D19" s="52" t="s">
        <v>159</v>
      </c>
      <c r="E19" s="53" t="s">
        <v>173</v>
      </c>
      <c r="F19" s="30" t="s">
        <v>123</v>
      </c>
      <c r="G19" s="33">
        <v>1</v>
      </c>
      <c r="H19" s="35">
        <v>24</v>
      </c>
      <c r="I19" s="7">
        <v>35000</v>
      </c>
      <c r="J19" s="14">
        <v>2848</v>
      </c>
      <c r="K19" s="15">
        <f>L19+2187+4152+5440+5251+5627+5544+3270+2848</f>
        <v>34319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>
        <v>24</v>
      </c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5.3030303030303032E-2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126</v>
      </c>
      <c r="D20" s="52" t="s">
        <v>115</v>
      </c>
      <c r="E20" s="53" t="s">
        <v>307</v>
      </c>
      <c r="F20" s="30" t="s">
        <v>136</v>
      </c>
      <c r="G20" s="33">
        <v>1</v>
      </c>
      <c r="H20" s="35">
        <v>24</v>
      </c>
      <c r="I20" s="7">
        <v>50000</v>
      </c>
      <c r="J20" s="14">
        <v>1299</v>
      </c>
      <c r="K20" s="15">
        <f>L20+5271+5293</f>
        <v>11863</v>
      </c>
      <c r="L20" s="15">
        <v>1299</v>
      </c>
      <c r="M20" s="15">
        <f t="shared" si="0"/>
        <v>1299</v>
      </c>
      <c r="N20" s="15">
        <v>0</v>
      </c>
      <c r="O20" s="58">
        <f t="shared" si="1"/>
        <v>0</v>
      </c>
      <c r="P20" s="39">
        <f t="shared" si="2"/>
        <v>7</v>
      </c>
      <c r="Q20" s="40">
        <f t="shared" si="3"/>
        <v>17</v>
      </c>
      <c r="R20" s="7"/>
      <c r="S20" s="6">
        <v>3</v>
      </c>
      <c r="T20" s="16"/>
      <c r="U20" s="16"/>
      <c r="V20" s="17">
        <v>14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0.29166666666666669</v>
      </c>
      <c r="AD20" s="10">
        <f t="shared" si="8"/>
        <v>0.29166666666666669</v>
      </c>
      <c r="AE20" s="36">
        <f t="shared" si="6"/>
        <v>5.3030303030303032E-2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338</v>
      </c>
      <c r="F21" s="12" t="s">
        <v>114</v>
      </c>
      <c r="G21" s="12">
        <v>3</v>
      </c>
      <c r="H21" s="35">
        <v>20</v>
      </c>
      <c r="I21" s="7">
        <v>250000</v>
      </c>
      <c r="J21" s="14">
        <v>51264</v>
      </c>
      <c r="K21" s="15">
        <f>L21+28566+48777+51264</f>
        <v>128607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5.3030303030303032E-2</v>
      </c>
      <c r="AF21" s="81">
        <f t="shared" si="7"/>
        <v>16</v>
      </c>
    </row>
    <row r="22" spans="1:32" ht="21.75" customHeight="1">
      <c r="A22" s="92">
        <v>31</v>
      </c>
      <c r="B22" s="11" t="s">
        <v>57</v>
      </c>
      <c r="C22" s="11" t="s">
        <v>116</v>
      </c>
      <c r="D22" s="52" t="s">
        <v>115</v>
      </c>
      <c r="E22" s="53" t="s">
        <v>149</v>
      </c>
      <c r="F22" s="12" t="s">
        <v>136</v>
      </c>
      <c r="G22" s="12">
        <v>4</v>
      </c>
      <c r="H22" s="35">
        <v>20</v>
      </c>
      <c r="I22" s="7">
        <v>70000</v>
      </c>
      <c r="J22" s="14">
        <v>22300</v>
      </c>
      <c r="K22" s="15">
        <f>L22+22300</f>
        <v>22300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5.3030303030303032E-2</v>
      </c>
      <c r="AF22" s="81">
        <f t="shared" si="7"/>
        <v>31</v>
      </c>
    </row>
    <row r="23" spans="1:32" ht="21.75" customHeight="1">
      <c r="A23" s="92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" si="9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5.3030303030303032E-2</v>
      </c>
      <c r="AF23" s="81">
        <f t="shared" si="7"/>
        <v>32</v>
      </c>
    </row>
    <row r="24" spans="1:32" ht="21.75" customHeight="1">
      <c r="A24" s="92">
        <v>33</v>
      </c>
      <c r="B24" s="11" t="s">
        <v>57</v>
      </c>
      <c r="C24" s="11" t="s">
        <v>116</v>
      </c>
      <c r="D24" s="52" t="s">
        <v>142</v>
      </c>
      <c r="E24" s="53" t="s">
        <v>151</v>
      </c>
      <c r="F24" s="12" t="s">
        <v>123</v>
      </c>
      <c r="G24" s="12">
        <v>3</v>
      </c>
      <c r="H24" s="35">
        <v>20</v>
      </c>
      <c r="I24" s="7">
        <v>70000</v>
      </c>
      <c r="J24" s="14">
        <v>9744</v>
      </c>
      <c r="K24" s="15">
        <f>L24+22125+9744</f>
        <v>31869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4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5.3030303030303032E-2</v>
      </c>
      <c r="AF24" s="81">
        <f t="shared" si="7"/>
        <v>33</v>
      </c>
    </row>
    <row r="25" spans="1:32" ht="21.75" customHeight="1">
      <c r="A25" s="92">
        <v>34</v>
      </c>
      <c r="B25" s="11" t="s">
        <v>57</v>
      </c>
      <c r="C25" s="11" t="s">
        <v>116</v>
      </c>
      <c r="D25" s="52" t="s">
        <v>127</v>
      </c>
      <c r="E25" s="53" t="s">
        <v>148</v>
      </c>
      <c r="F25" s="12" t="s">
        <v>124</v>
      </c>
      <c r="G25" s="12">
        <v>4</v>
      </c>
      <c r="H25" s="35">
        <v>20</v>
      </c>
      <c r="I25" s="7">
        <v>50000</v>
      </c>
      <c r="J25" s="14">
        <v>26548</v>
      </c>
      <c r="K25" s="15">
        <f>L25+15172+24432+25280+26548</f>
        <v>91432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4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5.3030303030303032E-2</v>
      </c>
      <c r="AF25" s="81">
        <f t="shared" si="7"/>
        <v>34</v>
      </c>
    </row>
    <row r="26" spans="1:32" ht="21.75" customHeight="1">
      <c r="A26" s="92">
        <v>35</v>
      </c>
      <c r="B26" s="11" t="s">
        <v>57</v>
      </c>
      <c r="C26" s="11" t="s">
        <v>116</v>
      </c>
      <c r="D26" s="52" t="s">
        <v>121</v>
      </c>
      <c r="E26" s="53" t="s">
        <v>125</v>
      </c>
      <c r="F26" s="12" t="s">
        <v>124</v>
      </c>
      <c r="G26" s="12">
        <v>4</v>
      </c>
      <c r="H26" s="35">
        <v>20</v>
      </c>
      <c r="I26" s="7">
        <v>50000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5.3030303030303032E-2</v>
      </c>
      <c r="AF26" s="81">
        <f t="shared" si="7"/>
        <v>35</v>
      </c>
    </row>
    <row r="27" spans="1:32" ht="21.75" customHeight="1" thickBot="1">
      <c r="A27" s="92">
        <v>36</v>
      </c>
      <c r="B27" s="11" t="s">
        <v>57</v>
      </c>
      <c r="C27" s="11" t="s">
        <v>113</v>
      </c>
      <c r="D27" s="52"/>
      <c r="E27" s="53" t="s">
        <v>150</v>
      </c>
      <c r="F27" s="12" t="s">
        <v>114</v>
      </c>
      <c r="G27" s="12">
        <v>4</v>
      </c>
      <c r="H27" s="35">
        <v>20</v>
      </c>
      <c r="I27" s="7">
        <v>1000000</v>
      </c>
      <c r="J27" s="14">
        <v>79328</v>
      </c>
      <c r="K27" s="15">
        <f>L27+28388+70816+76368+81764+83428+47688+53180+83092+82192+79328</f>
        <v>686244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>
        <v>24</v>
      </c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5.3030303030303032E-2</v>
      </c>
      <c r="AF27" s="81">
        <f t="shared" si="7"/>
        <v>36</v>
      </c>
    </row>
    <row r="28" spans="1:32" ht="19.5" thickBot="1">
      <c r="A28" s="478" t="s">
        <v>34</v>
      </c>
      <c r="B28" s="479"/>
      <c r="C28" s="479"/>
      <c r="D28" s="479"/>
      <c r="E28" s="479"/>
      <c r="F28" s="479"/>
      <c r="G28" s="479"/>
      <c r="H28" s="480"/>
      <c r="I28" s="22">
        <f t="shared" ref="I28:N28" si="10">SUM(I6:I27)</f>
        <v>2242900</v>
      </c>
      <c r="J28" s="19">
        <f t="shared" si="10"/>
        <v>412062</v>
      </c>
      <c r="K28" s="20">
        <f t="shared" si="10"/>
        <v>1617436</v>
      </c>
      <c r="L28" s="21">
        <f t="shared" si="10"/>
        <v>8477</v>
      </c>
      <c r="M28" s="20">
        <f t="shared" si="10"/>
        <v>8477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28</v>
      </c>
      <c r="Q28" s="43">
        <f t="shared" si="11"/>
        <v>500</v>
      </c>
      <c r="R28" s="23">
        <f t="shared" si="11"/>
        <v>0</v>
      </c>
      <c r="S28" s="24">
        <f t="shared" si="11"/>
        <v>35</v>
      </c>
      <c r="T28" s="24">
        <f t="shared" si="11"/>
        <v>0</v>
      </c>
      <c r="U28" s="24">
        <f t="shared" si="11"/>
        <v>0</v>
      </c>
      <c r="V28" s="25">
        <f t="shared" si="11"/>
        <v>321</v>
      </c>
      <c r="W28" s="26">
        <f t="shared" si="11"/>
        <v>144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0</v>
      </c>
      <c r="AB28" s="28">
        <f>AVERAGE(AB6:AB27)</f>
        <v>0.19047619047619047</v>
      </c>
      <c r="AC28" s="4">
        <f>AVERAGE(AC6:AC27)</f>
        <v>5.3030303030303032E-2</v>
      </c>
      <c r="AD28" s="4">
        <f>AVERAGE(AD6:AD27)</f>
        <v>5.3030303030303032E-2</v>
      </c>
      <c r="AE28" s="29"/>
    </row>
    <row r="29" spans="1:32">
      <c r="T29" s="50" t="s">
        <v>128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129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81" t="s">
        <v>45</v>
      </c>
      <c r="B55" s="481"/>
      <c r="C55" s="481"/>
      <c r="D55" s="481"/>
      <c r="E55" s="48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82" t="s">
        <v>400</v>
      </c>
      <c r="B56" s="483"/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4"/>
      <c r="N56" s="485" t="s">
        <v>402</v>
      </c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7"/>
    </row>
    <row r="57" spans="1:32" ht="27" customHeight="1">
      <c r="A57" s="488" t="s">
        <v>2</v>
      </c>
      <c r="B57" s="489"/>
      <c r="C57" s="211" t="s">
        <v>46</v>
      </c>
      <c r="D57" s="211" t="s">
        <v>47</v>
      </c>
      <c r="E57" s="211" t="s">
        <v>107</v>
      </c>
      <c r="F57" s="490" t="s">
        <v>106</v>
      </c>
      <c r="G57" s="491"/>
      <c r="H57" s="491"/>
      <c r="I57" s="491"/>
      <c r="J57" s="491"/>
      <c r="K57" s="491"/>
      <c r="L57" s="491"/>
      <c r="M57" s="492"/>
      <c r="N57" s="67" t="s">
        <v>110</v>
      </c>
      <c r="O57" s="211" t="s">
        <v>46</v>
      </c>
      <c r="P57" s="490" t="s">
        <v>47</v>
      </c>
      <c r="Q57" s="493"/>
      <c r="R57" s="490" t="s">
        <v>38</v>
      </c>
      <c r="S57" s="491"/>
      <c r="T57" s="491"/>
      <c r="U57" s="493"/>
      <c r="V57" s="490" t="s">
        <v>48</v>
      </c>
      <c r="W57" s="491"/>
      <c r="X57" s="491"/>
      <c r="Y57" s="491"/>
      <c r="Z57" s="491"/>
      <c r="AA57" s="491"/>
      <c r="AB57" s="491"/>
      <c r="AC57" s="491"/>
      <c r="AD57" s="492"/>
    </row>
    <row r="58" spans="1:32" ht="27" customHeight="1">
      <c r="A58" s="455" t="s">
        <v>116</v>
      </c>
      <c r="B58" s="456"/>
      <c r="C58" s="223" t="s">
        <v>164</v>
      </c>
      <c r="D58" s="223" t="s">
        <v>115</v>
      </c>
      <c r="E58" s="224" t="s">
        <v>172</v>
      </c>
      <c r="F58" s="457" t="s">
        <v>401</v>
      </c>
      <c r="G58" s="458"/>
      <c r="H58" s="458"/>
      <c r="I58" s="458"/>
      <c r="J58" s="458"/>
      <c r="K58" s="458"/>
      <c r="L58" s="458"/>
      <c r="M58" s="459"/>
      <c r="N58" s="213" t="s">
        <v>404</v>
      </c>
      <c r="O58" s="219" t="s">
        <v>244</v>
      </c>
      <c r="P58" s="472"/>
      <c r="Q58" s="473"/>
      <c r="R58" s="472" t="s">
        <v>403</v>
      </c>
      <c r="S58" s="474"/>
      <c r="T58" s="474"/>
      <c r="U58" s="473"/>
      <c r="V58" s="461" t="s">
        <v>187</v>
      </c>
      <c r="W58" s="462"/>
      <c r="X58" s="462"/>
      <c r="Y58" s="462"/>
      <c r="Z58" s="462"/>
      <c r="AA58" s="462"/>
      <c r="AB58" s="462"/>
      <c r="AC58" s="462"/>
      <c r="AD58" s="463"/>
    </row>
    <row r="59" spans="1:32" ht="27" customHeight="1">
      <c r="A59" s="455" t="s">
        <v>126</v>
      </c>
      <c r="B59" s="456"/>
      <c r="C59" s="223" t="s">
        <v>180</v>
      </c>
      <c r="D59" s="223" t="s">
        <v>115</v>
      </c>
      <c r="E59" s="224" t="s">
        <v>327</v>
      </c>
      <c r="F59" s="457" t="s">
        <v>144</v>
      </c>
      <c r="G59" s="458"/>
      <c r="H59" s="458"/>
      <c r="I59" s="458"/>
      <c r="J59" s="458"/>
      <c r="K59" s="458"/>
      <c r="L59" s="458"/>
      <c r="M59" s="459"/>
      <c r="N59" s="213"/>
      <c r="O59" s="219"/>
      <c r="P59" s="472"/>
      <c r="Q59" s="473"/>
      <c r="R59" s="472"/>
      <c r="S59" s="474"/>
      <c r="T59" s="474"/>
      <c r="U59" s="473"/>
      <c r="V59" s="461"/>
      <c r="W59" s="462"/>
      <c r="X59" s="462"/>
      <c r="Y59" s="462"/>
      <c r="Z59" s="462"/>
      <c r="AA59" s="462"/>
      <c r="AB59" s="462"/>
      <c r="AC59" s="462"/>
      <c r="AD59" s="463"/>
    </row>
    <row r="60" spans="1:32" ht="27" customHeight="1">
      <c r="A60" s="455" t="s">
        <v>112</v>
      </c>
      <c r="B60" s="456"/>
      <c r="C60" s="212" t="s">
        <v>286</v>
      </c>
      <c r="D60" s="212" t="s">
        <v>121</v>
      </c>
      <c r="E60" s="214" t="s">
        <v>152</v>
      </c>
      <c r="F60" s="457" t="s">
        <v>392</v>
      </c>
      <c r="G60" s="458"/>
      <c r="H60" s="458"/>
      <c r="I60" s="458"/>
      <c r="J60" s="458"/>
      <c r="K60" s="458"/>
      <c r="L60" s="458"/>
      <c r="M60" s="459"/>
      <c r="N60" s="213"/>
      <c r="O60" s="219"/>
      <c r="P60" s="472"/>
      <c r="Q60" s="473"/>
      <c r="R60" s="472"/>
      <c r="S60" s="474"/>
      <c r="T60" s="474"/>
      <c r="U60" s="473"/>
      <c r="V60" s="461"/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/>
      <c r="B61" s="456"/>
      <c r="C61" s="212"/>
      <c r="D61" s="212"/>
      <c r="E61" s="214"/>
      <c r="F61" s="457"/>
      <c r="G61" s="458"/>
      <c r="H61" s="458"/>
      <c r="I61" s="458"/>
      <c r="J61" s="458"/>
      <c r="K61" s="458"/>
      <c r="L61" s="458"/>
      <c r="M61" s="459"/>
      <c r="N61" s="213"/>
      <c r="O61" s="219"/>
      <c r="P61" s="472"/>
      <c r="Q61" s="473"/>
      <c r="R61" s="472"/>
      <c r="S61" s="474"/>
      <c r="T61" s="474"/>
      <c r="U61" s="473"/>
      <c r="V61" s="461"/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/>
      <c r="B62" s="456"/>
      <c r="C62" s="212"/>
      <c r="D62" s="212"/>
      <c r="E62" s="214"/>
      <c r="F62" s="457"/>
      <c r="G62" s="458"/>
      <c r="H62" s="458"/>
      <c r="I62" s="458"/>
      <c r="J62" s="458"/>
      <c r="K62" s="458"/>
      <c r="L62" s="458"/>
      <c r="M62" s="459"/>
      <c r="N62" s="213"/>
      <c r="O62" s="219"/>
      <c r="P62" s="472"/>
      <c r="Q62" s="473"/>
      <c r="R62" s="472"/>
      <c r="S62" s="474"/>
      <c r="T62" s="474"/>
      <c r="U62" s="473"/>
      <c r="V62" s="461"/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/>
      <c r="B63" s="456"/>
      <c r="C63" s="212"/>
      <c r="D63" s="212"/>
      <c r="E63" s="214"/>
      <c r="F63" s="457"/>
      <c r="G63" s="458"/>
      <c r="H63" s="458"/>
      <c r="I63" s="458"/>
      <c r="J63" s="458"/>
      <c r="K63" s="458"/>
      <c r="L63" s="458"/>
      <c r="M63" s="459"/>
      <c r="N63" s="213"/>
      <c r="O63" s="219"/>
      <c r="P63" s="472"/>
      <c r="Q63" s="473"/>
      <c r="R63" s="472"/>
      <c r="S63" s="474"/>
      <c r="T63" s="474"/>
      <c r="U63" s="473"/>
      <c r="V63" s="461"/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/>
      <c r="B64" s="456"/>
      <c r="C64" s="212"/>
      <c r="D64" s="212"/>
      <c r="E64" s="214"/>
      <c r="F64" s="457"/>
      <c r="G64" s="458"/>
      <c r="H64" s="458"/>
      <c r="I64" s="458"/>
      <c r="J64" s="458"/>
      <c r="K64" s="458"/>
      <c r="L64" s="458"/>
      <c r="M64" s="459"/>
      <c r="N64" s="213"/>
      <c r="O64" s="219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/>
      <c r="B65" s="456"/>
      <c r="C65" s="212"/>
      <c r="D65" s="212"/>
      <c r="E65" s="214"/>
      <c r="F65" s="457"/>
      <c r="G65" s="458"/>
      <c r="H65" s="458"/>
      <c r="I65" s="458"/>
      <c r="J65" s="458"/>
      <c r="K65" s="458"/>
      <c r="L65" s="458"/>
      <c r="M65" s="459"/>
      <c r="N65" s="213"/>
      <c r="O65" s="219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212"/>
      <c r="D66" s="212"/>
      <c r="E66" s="214"/>
      <c r="F66" s="457"/>
      <c r="G66" s="458"/>
      <c r="H66" s="458"/>
      <c r="I66" s="458"/>
      <c r="J66" s="458"/>
      <c r="K66" s="458"/>
      <c r="L66" s="458"/>
      <c r="M66" s="459"/>
      <c r="N66" s="213"/>
      <c r="O66" s="219"/>
      <c r="P66" s="460"/>
      <c r="Q66" s="460"/>
      <c r="R66" s="460"/>
      <c r="S66" s="460"/>
      <c r="T66" s="460"/>
      <c r="U66" s="460"/>
      <c r="V66" s="461"/>
      <c r="W66" s="462"/>
      <c r="X66" s="462"/>
      <c r="Y66" s="462"/>
      <c r="Z66" s="462"/>
      <c r="AA66" s="462"/>
      <c r="AB66" s="462"/>
      <c r="AC66" s="462"/>
      <c r="AD66" s="463"/>
      <c r="AF66" s="81">
        <f>8*3000</f>
        <v>24000</v>
      </c>
    </row>
    <row r="67" spans="1:32" ht="27" customHeight="1" thickBot="1">
      <c r="A67" s="464"/>
      <c r="B67" s="465"/>
      <c r="C67" s="215"/>
      <c r="D67" s="216"/>
      <c r="E67" s="215"/>
      <c r="F67" s="466"/>
      <c r="G67" s="467"/>
      <c r="H67" s="467"/>
      <c r="I67" s="467"/>
      <c r="J67" s="467"/>
      <c r="K67" s="467"/>
      <c r="L67" s="467"/>
      <c r="M67" s="468"/>
      <c r="N67" s="105"/>
      <c r="O67" s="97"/>
      <c r="P67" s="469"/>
      <c r="Q67" s="469"/>
      <c r="R67" s="469"/>
      <c r="S67" s="469"/>
      <c r="T67" s="469"/>
      <c r="U67" s="469"/>
      <c r="V67" s="470"/>
      <c r="W67" s="470"/>
      <c r="X67" s="470"/>
      <c r="Y67" s="470"/>
      <c r="Z67" s="470"/>
      <c r="AA67" s="470"/>
      <c r="AB67" s="470"/>
      <c r="AC67" s="470"/>
      <c r="AD67" s="471"/>
      <c r="AF67" s="81">
        <f>16*3000</f>
        <v>48000</v>
      </c>
    </row>
    <row r="68" spans="1:32" ht="27.75" thickBot="1">
      <c r="A68" s="453" t="s">
        <v>405</v>
      </c>
      <c r="B68" s="453"/>
      <c r="C68" s="453"/>
      <c r="D68" s="453"/>
      <c r="E68" s="453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54" t="s">
        <v>111</v>
      </c>
      <c r="B69" s="451"/>
      <c r="C69" s="217" t="s">
        <v>2</v>
      </c>
      <c r="D69" s="217" t="s">
        <v>37</v>
      </c>
      <c r="E69" s="217" t="s">
        <v>3</v>
      </c>
      <c r="F69" s="451" t="s">
        <v>109</v>
      </c>
      <c r="G69" s="451"/>
      <c r="H69" s="451"/>
      <c r="I69" s="451"/>
      <c r="J69" s="451"/>
      <c r="K69" s="451" t="s">
        <v>39</v>
      </c>
      <c r="L69" s="451"/>
      <c r="M69" s="217" t="s">
        <v>40</v>
      </c>
      <c r="N69" s="451" t="s">
        <v>41</v>
      </c>
      <c r="O69" s="451"/>
      <c r="P69" s="448" t="s">
        <v>42</v>
      </c>
      <c r="Q69" s="450"/>
      <c r="R69" s="448" t="s">
        <v>43</v>
      </c>
      <c r="S69" s="449"/>
      <c r="T69" s="449"/>
      <c r="U69" s="449"/>
      <c r="V69" s="449"/>
      <c r="W69" s="449"/>
      <c r="X69" s="449"/>
      <c r="Y69" s="449"/>
      <c r="Z69" s="449"/>
      <c r="AA69" s="450"/>
      <c r="AB69" s="451" t="s">
        <v>44</v>
      </c>
      <c r="AC69" s="451"/>
      <c r="AD69" s="452"/>
      <c r="AF69" s="81">
        <f>SUM(AF66:AF68)</f>
        <v>96000</v>
      </c>
    </row>
    <row r="70" spans="1:32" ht="25.5" customHeight="1">
      <c r="A70" s="439">
        <v>1</v>
      </c>
      <c r="B70" s="440"/>
      <c r="C70" s="98"/>
      <c r="D70" s="221"/>
      <c r="E70" s="218"/>
      <c r="F70" s="441"/>
      <c r="G70" s="431"/>
      <c r="H70" s="431"/>
      <c r="I70" s="431"/>
      <c r="J70" s="431"/>
      <c r="K70" s="431"/>
      <c r="L70" s="431"/>
      <c r="M70" s="51"/>
      <c r="N70" s="442"/>
      <c r="O70" s="442"/>
      <c r="P70" s="443"/>
      <c r="Q70" s="443"/>
      <c r="R70" s="444"/>
      <c r="S70" s="444"/>
      <c r="T70" s="444"/>
      <c r="U70" s="444"/>
      <c r="V70" s="444"/>
      <c r="W70" s="444"/>
      <c r="X70" s="444"/>
      <c r="Y70" s="444"/>
      <c r="Z70" s="444"/>
      <c r="AA70" s="444"/>
      <c r="AB70" s="431"/>
      <c r="AC70" s="431"/>
      <c r="AD70" s="432"/>
      <c r="AF70" s="50"/>
    </row>
    <row r="71" spans="1:32" ht="25.5" customHeight="1">
      <c r="A71" s="439">
        <v>2</v>
      </c>
      <c r="B71" s="440"/>
      <c r="C71" s="98"/>
      <c r="D71" s="221"/>
      <c r="E71" s="218"/>
      <c r="F71" s="441"/>
      <c r="G71" s="431"/>
      <c r="H71" s="431"/>
      <c r="I71" s="431"/>
      <c r="J71" s="431"/>
      <c r="K71" s="431"/>
      <c r="L71" s="431"/>
      <c r="M71" s="51"/>
      <c r="N71" s="442"/>
      <c r="O71" s="442"/>
      <c r="P71" s="443"/>
      <c r="Q71" s="443"/>
      <c r="R71" s="444"/>
      <c r="S71" s="444"/>
      <c r="T71" s="444"/>
      <c r="U71" s="444"/>
      <c r="V71" s="444"/>
      <c r="W71" s="444"/>
      <c r="X71" s="444"/>
      <c r="Y71" s="444"/>
      <c r="Z71" s="444"/>
      <c r="AA71" s="444"/>
      <c r="AB71" s="431"/>
      <c r="AC71" s="431"/>
      <c r="AD71" s="432"/>
      <c r="AF71" s="50"/>
    </row>
    <row r="72" spans="1:32" ht="25.5" customHeight="1">
      <c r="A72" s="439">
        <v>3</v>
      </c>
      <c r="B72" s="440"/>
      <c r="C72" s="98"/>
      <c r="D72" s="221"/>
      <c r="E72" s="218"/>
      <c r="F72" s="441"/>
      <c r="G72" s="431"/>
      <c r="H72" s="431"/>
      <c r="I72" s="431"/>
      <c r="J72" s="431"/>
      <c r="K72" s="431"/>
      <c r="L72" s="431"/>
      <c r="M72" s="51"/>
      <c r="N72" s="442"/>
      <c r="O72" s="442"/>
      <c r="P72" s="443"/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4</v>
      </c>
      <c r="B73" s="440"/>
      <c r="C73" s="98"/>
      <c r="D73" s="221"/>
      <c r="E73" s="218"/>
      <c r="F73" s="445"/>
      <c r="G73" s="446"/>
      <c r="H73" s="446"/>
      <c r="I73" s="446"/>
      <c r="J73" s="447"/>
      <c r="K73" s="431"/>
      <c r="L73" s="431"/>
      <c r="M73" s="51"/>
      <c r="N73" s="442"/>
      <c r="O73" s="442"/>
      <c r="P73" s="443"/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5</v>
      </c>
      <c r="B74" s="440"/>
      <c r="C74" s="98"/>
      <c r="D74" s="221"/>
      <c r="E74" s="218"/>
      <c r="F74" s="445"/>
      <c r="G74" s="446"/>
      <c r="H74" s="446"/>
      <c r="I74" s="446"/>
      <c r="J74" s="447"/>
      <c r="K74" s="431"/>
      <c r="L74" s="431"/>
      <c r="M74" s="51"/>
      <c r="N74" s="442"/>
      <c r="O74" s="442"/>
      <c r="P74" s="443"/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6</v>
      </c>
      <c r="B75" s="440"/>
      <c r="C75" s="98"/>
      <c r="D75" s="221"/>
      <c r="E75" s="218"/>
      <c r="F75" s="445"/>
      <c r="G75" s="446"/>
      <c r="H75" s="446"/>
      <c r="I75" s="446"/>
      <c r="J75" s="447"/>
      <c r="K75" s="431"/>
      <c r="L75" s="431"/>
      <c r="M75" s="51"/>
      <c r="N75" s="442"/>
      <c r="O75" s="442"/>
      <c r="P75" s="443"/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7</v>
      </c>
      <c r="B76" s="440"/>
      <c r="C76" s="98"/>
      <c r="D76" s="221"/>
      <c r="E76" s="218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8</v>
      </c>
      <c r="B77" s="440"/>
      <c r="C77" s="98"/>
      <c r="D77" s="221"/>
      <c r="E77" s="218"/>
      <c r="F77" s="441"/>
      <c r="G77" s="431"/>
      <c r="H77" s="431"/>
      <c r="I77" s="431"/>
      <c r="J77" s="431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9</v>
      </c>
      <c r="B78" s="440"/>
      <c r="C78" s="98"/>
      <c r="D78" s="221"/>
      <c r="E78" s="218"/>
      <c r="F78" s="441"/>
      <c r="G78" s="431"/>
      <c r="H78" s="431"/>
      <c r="I78" s="431"/>
      <c r="J78" s="431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10</v>
      </c>
      <c r="B79" s="440"/>
      <c r="C79" s="98"/>
      <c r="D79" s="221"/>
      <c r="E79" s="218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6.25" customHeight="1" thickBot="1">
      <c r="A80" s="411" t="s">
        <v>406</v>
      </c>
      <c r="B80" s="411"/>
      <c r="C80" s="411"/>
      <c r="D80" s="411"/>
      <c r="E80" s="411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33" t="s">
        <v>111</v>
      </c>
      <c r="B81" s="434"/>
      <c r="C81" s="220" t="s">
        <v>2</v>
      </c>
      <c r="D81" s="220" t="s">
        <v>37</v>
      </c>
      <c r="E81" s="220" t="s">
        <v>120</v>
      </c>
      <c r="F81" s="413" t="s">
        <v>38</v>
      </c>
      <c r="G81" s="413"/>
      <c r="H81" s="413"/>
      <c r="I81" s="413"/>
      <c r="J81" s="413"/>
      <c r="K81" s="435" t="s">
        <v>58</v>
      </c>
      <c r="L81" s="436"/>
      <c r="M81" s="436"/>
      <c r="N81" s="436"/>
      <c r="O81" s="436"/>
      <c r="P81" s="436"/>
      <c r="Q81" s="436"/>
      <c r="R81" s="436"/>
      <c r="S81" s="437"/>
      <c r="T81" s="413" t="s">
        <v>49</v>
      </c>
      <c r="U81" s="413"/>
      <c r="V81" s="435" t="s">
        <v>50</v>
      </c>
      <c r="W81" s="437"/>
      <c r="X81" s="436" t="s">
        <v>51</v>
      </c>
      <c r="Y81" s="436"/>
      <c r="Z81" s="436"/>
      <c r="AA81" s="436"/>
      <c r="AB81" s="436"/>
      <c r="AC81" s="436"/>
      <c r="AD81" s="438"/>
      <c r="AF81" s="50"/>
    </row>
    <row r="82" spans="1:32" ht="33.75" customHeight="1">
      <c r="A82" s="405">
        <v>1</v>
      </c>
      <c r="B82" s="406"/>
      <c r="C82" s="222"/>
      <c r="D82" s="222"/>
      <c r="E82" s="65"/>
      <c r="F82" s="420"/>
      <c r="G82" s="421"/>
      <c r="H82" s="421"/>
      <c r="I82" s="421"/>
      <c r="J82" s="422"/>
      <c r="K82" s="423"/>
      <c r="L82" s="424"/>
      <c r="M82" s="424"/>
      <c r="N82" s="424"/>
      <c r="O82" s="424"/>
      <c r="P82" s="424"/>
      <c r="Q82" s="424"/>
      <c r="R82" s="424"/>
      <c r="S82" s="425"/>
      <c r="T82" s="426"/>
      <c r="U82" s="427"/>
      <c r="V82" s="428"/>
      <c r="W82" s="428"/>
      <c r="X82" s="429"/>
      <c r="Y82" s="429"/>
      <c r="Z82" s="429"/>
      <c r="AA82" s="429"/>
      <c r="AB82" s="429"/>
      <c r="AC82" s="429"/>
      <c r="AD82" s="430"/>
      <c r="AF82" s="50"/>
    </row>
    <row r="83" spans="1:32" ht="30" customHeight="1">
      <c r="A83" s="398">
        <f>A82+1</f>
        <v>2</v>
      </c>
      <c r="B83" s="399"/>
      <c r="C83" s="221"/>
      <c r="D83" s="221"/>
      <c r="E83" s="32"/>
      <c r="F83" s="399"/>
      <c r="G83" s="399"/>
      <c r="H83" s="399"/>
      <c r="I83" s="399"/>
      <c r="J83" s="399"/>
      <c r="K83" s="414"/>
      <c r="L83" s="415"/>
      <c r="M83" s="415"/>
      <c r="N83" s="415"/>
      <c r="O83" s="415"/>
      <c r="P83" s="415"/>
      <c r="Q83" s="415"/>
      <c r="R83" s="415"/>
      <c r="S83" s="416"/>
      <c r="T83" s="417"/>
      <c r="U83" s="417"/>
      <c r="V83" s="417"/>
      <c r="W83" s="417"/>
      <c r="X83" s="418"/>
      <c r="Y83" s="418"/>
      <c r="Z83" s="418"/>
      <c r="AA83" s="418"/>
      <c r="AB83" s="418"/>
      <c r="AC83" s="418"/>
      <c r="AD83" s="419"/>
      <c r="AF83" s="50"/>
    </row>
    <row r="84" spans="1:32" ht="30" customHeight="1">
      <c r="A84" s="398">
        <f t="shared" ref="A84:A88" si="12">A83+1</f>
        <v>3</v>
      </c>
      <c r="B84" s="399"/>
      <c r="C84" s="221"/>
      <c r="D84" s="221"/>
      <c r="E84" s="32"/>
      <c r="F84" s="399"/>
      <c r="G84" s="399"/>
      <c r="H84" s="399"/>
      <c r="I84" s="399"/>
      <c r="J84" s="399"/>
      <c r="K84" s="414"/>
      <c r="L84" s="415"/>
      <c r="M84" s="415"/>
      <c r="N84" s="415"/>
      <c r="O84" s="415"/>
      <c r="P84" s="415"/>
      <c r="Q84" s="415"/>
      <c r="R84" s="415"/>
      <c r="S84" s="416"/>
      <c r="T84" s="417"/>
      <c r="U84" s="417"/>
      <c r="V84" s="417"/>
      <c r="W84" s="417"/>
      <c r="X84" s="418"/>
      <c r="Y84" s="418"/>
      <c r="Z84" s="418"/>
      <c r="AA84" s="418"/>
      <c r="AB84" s="418"/>
      <c r="AC84" s="418"/>
      <c r="AD84" s="419"/>
      <c r="AF84" s="50"/>
    </row>
    <row r="85" spans="1:32" ht="30" customHeight="1">
      <c r="A85" s="398">
        <f t="shared" si="12"/>
        <v>4</v>
      </c>
      <c r="B85" s="399"/>
      <c r="C85" s="221"/>
      <c r="D85" s="221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si="12"/>
        <v>5</v>
      </c>
      <c r="B86" s="399"/>
      <c r="C86" s="221"/>
      <c r="D86" s="221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12"/>
        <v>6</v>
      </c>
      <c r="B87" s="399"/>
      <c r="C87" s="221"/>
      <c r="D87" s="221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2"/>
        <v>7</v>
      </c>
      <c r="B88" s="399"/>
      <c r="C88" s="221"/>
      <c r="D88" s="221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6" thickBot="1">
      <c r="A89" s="411" t="s">
        <v>407</v>
      </c>
      <c r="B89" s="411"/>
      <c r="C89" s="411"/>
      <c r="D89" s="411"/>
      <c r="E89" s="411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12" t="s">
        <v>111</v>
      </c>
      <c r="B90" s="413"/>
      <c r="C90" s="403" t="s">
        <v>52</v>
      </c>
      <c r="D90" s="403"/>
      <c r="E90" s="403" t="s">
        <v>53</v>
      </c>
      <c r="F90" s="403"/>
      <c r="G90" s="403"/>
      <c r="H90" s="403"/>
      <c r="I90" s="403"/>
      <c r="J90" s="403"/>
      <c r="K90" s="403" t="s">
        <v>54</v>
      </c>
      <c r="L90" s="403"/>
      <c r="M90" s="403"/>
      <c r="N90" s="403"/>
      <c r="O90" s="403"/>
      <c r="P90" s="403"/>
      <c r="Q90" s="403"/>
      <c r="R90" s="403"/>
      <c r="S90" s="403"/>
      <c r="T90" s="403" t="s">
        <v>55</v>
      </c>
      <c r="U90" s="403"/>
      <c r="V90" s="403" t="s">
        <v>56</v>
      </c>
      <c r="W90" s="403"/>
      <c r="X90" s="403"/>
      <c r="Y90" s="403" t="s">
        <v>51</v>
      </c>
      <c r="Z90" s="403"/>
      <c r="AA90" s="403"/>
      <c r="AB90" s="403"/>
      <c r="AC90" s="403"/>
      <c r="AD90" s="404"/>
      <c r="AF90" s="50"/>
    </row>
    <row r="91" spans="1:32" ht="30.75" customHeight="1">
      <c r="A91" s="405">
        <v>1</v>
      </c>
      <c r="B91" s="406"/>
      <c r="C91" s="407"/>
      <c r="D91" s="407"/>
      <c r="E91" s="407"/>
      <c r="F91" s="407"/>
      <c r="G91" s="407"/>
      <c r="H91" s="407"/>
      <c r="I91" s="407"/>
      <c r="J91" s="407"/>
      <c r="K91" s="407"/>
      <c r="L91" s="407"/>
      <c r="M91" s="407"/>
      <c r="N91" s="407"/>
      <c r="O91" s="407"/>
      <c r="P91" s="407"/>
      <c r="Q91" s="407"/>
      <c r="R91" s="407"/>
      <c r="S91" s="407"/>
      <c r="T91" s="407"/>
      <c r="U91" s="407"/>
      <c r="V91" s="408"/>
      <c r="W91" s="408"/>
      <c r="X91" s="408"/>
      <c r="Y91" s="409"/>
      <c r="Z91" s="409"/>
      <c r="AA91" s="409"/>
      <c r="AB91" s="409"/>
      <c r="AC91" s="409"/>
      <c r="AD91" s="410"/>
      <c r="AF91" s="50"/>
    </row>
    <row r="92" spans="1:32" ht="30.75" customHeight="1">
      <c r="A92" s="398">
        <v>2</v>
      </c>
      <c r="B92" s="399"/>
      <c r="C92" s="400"/>
      <c r="D92" s="400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1"/>
      <c r="U92" s="401"/>
      <c r="V92" s="402"/>
      <c r="W92" s="402"/>
      <c r="X92" s="402"/>
      <c r="Y92" s="390"/>
      <c r="Z92" s="390"/>
      <c r="AA92" s="390"/>
      <c r="AB92" s="390"/>
      <c r="AC92" s="390"/>
      <c r="AD92" s="391"/>
      <c r="AF92" s="50"/>
    </row>
    <row r="93" spans="1:32" ht="30.75" customHeight="1" thickBot="1">
      <c r="A93" s="392">
        <v>3</v>
      </c>
      <c r="B93" s="393"/>
      <c r="C93" s="394"/>
      <c r="D93" s="394"/>
      <c r="E93" s="394"/>
      <c r="F93" s="394"/>
      <c r="G93" s="394"/>
      <c r="H93" s="394"/>
      <c r="I93" s="394"/>
      <c r="J93" s="394"/>
      <c r="K93" s="394"/>
      <c r="L93" s="394"/>
      <c r="M93" s="394"/>
      <c r="N93" s="394"/>
      <c r="O93" s="394"/>
      <c r="P93" s="394"/>
      <c r="Q93" s="394"/>
      <c r="R93" s="394"/>
      <c r="S93" s="394"/>
      <c r="T93" s="394"/>
      <c r="U93" s="394"/>
      <c r="V93" s="395"/>
      <c r="W93" s="395"/>
      <c r="X93" s="395"/>
      <c r="Y93" s="396"/>
      <c r="Z93" s="396"/>
      <c r="AA93" s="396"/>
      <c r="AB93" s="396"/>
      <c r="AC93" s="396"/>
      <c r="AD93" s="397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C5A9-79B2-478C-86EF-862F19E1037E}">
  <sheetPr codeName="Sheet11">
    <pageSetUpPr fitToPage="1"/>
  </sheetPr>
  <dimension ref="A1:AF93"/>
  <sheetViews>
    <sheetView view="pageBreakPreview" zoomScale="70" zoomScaleNormal="72" zoomScaleSheetLayoutView="70" workbookViewId="0">
      <selection activeCell="K76" sqref="K76:L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408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225" t="s">
        <v>17</v>
      </c>
      <c r="L5" s="225" t="s">
        <v>18</v>
      </c>
      <c r="M5" s="225" t="s">
        <v>19</v>
      </c>
      <c r="N5" s="22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10312</v>
      </c>
      <c r="K6" s="15">
        <f>L6+5046+2812+7738+10312</f>
        <v>25908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>AC6*AB6*(1-O6)</f>
        <v>0</v>
      </c>
      <c r="AE6" s="36">
        <f t="shared" ref="AE6:AE27" si="6">$AD$28</f>
        <v>0.41477272727272735</v>
      </c>
      <c r="AF6" s="81">
        <f t="shared" ref="AF6:AF27" si="7">A6</f>
        <v>1</v>
      </c>
    </row>
    <row r="7" spans="1:32" ht="27" customHeight="1">
      <c r="A7" s="106">
        <v>2</v>
      </c>
      <c r="B7" s="11" t="s">
        <v>57</v>
      </c>
      <c r="C7" s="34" t="s">
        <v>163</v>
      </c>
      <c r="D7" s="52" t="s">
        <v>138</v>
      </c>
      <c r="E7" s="53" t="s">
        <v>179</v>
      </c>
      <c r="F7" s="30" t="s">
        <v>137</v>
      </c>
      <c r="G7" s="12">
        <v>1</v>
      </c>
      <c r="H7" s="13">
        <v>24</v>
      </c>
      <c r="I7" s="31">
        <v>30000</v>
      </c>
      <c r="J7" s="14">
        <v>5775</v>
      </c>
      <c r="K7" s="15">
        <f>L7+3491+6360</f>
        <v>15626</v>
      </c>
      <c r="L7" s="15">
        <f>3275+2500</f>
        <v>5775</v>
      </c>
      <c r="M7" s="15">
        <f t="shared" si="0"/>
        <v>5775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7" si="8">AC7*AB7*(1-O7)</f>
        <v>1</v>
      </c>
      <c r="AE7" s="36">
        <f t="shared" si="6"/>
        <v>0.41477272727272735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115</v>
      </c>
      <c r="E8" s="53" t="s">
        <v>382</v>
      </c>
      <c r="F8" s="30" t="s">
        <v>168</v>
      </c>
      <c r="G8" s="12">
        <v>1</v>
      </c>
      <c r="H8" s="13">
        <v>22</v>
      </c>
      <c r="I8" s="31">
        <v>1000</v>
      </c>
      <c r="J8" s="5">
        <v>1559</v>
      </c>
      <c r="K8" s="15">
        <f>L8+1559</f>
        <v>1559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8"/>
        <v>0</v>
      </c>
      <c r="AE8" s="36">
        <f t="shared" si="6"/>
        <v>0.41477272727272735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257</v>
      </c>
      <c r="F9" s="30" t="s">
        <v>122</v>
      </c>
      <c r="G9" s="12">
        <v>1</v>
      </c>
      <c r="H9" s="13">
        <v>24</v>
      </c>
      <c r="I9" s="7">
        <v>50000</v>
      </c>
      <c r="J9" s="14">
        <v>3282</v>
      </c>
      <c r="K9" s="15">
        <f>L9+5224+5754+5666+3727</f>
        <v>23653</v>
      </c>
      <c r="L9" s="15">
        <f>2500+782</f>
        <v>3282</v>
      </c>
      <c r="M9" s="15">
        <f t="shared" si="0"/>
        <v>3282</v>
      </c>
      <c r="N9" s="15">
        <v>0</v>
      </c>
      <c r="O9" s="58">
        <f t="shared" si="1"/>
        <v>0</v>
      </c>
      <c r="P9" s="39">
        <f t="shared" si="2"/>
        <v>17</v>
      </c>
      <c r="Q9" s="40">
        <f t="shared" si="3"/>
        <v>7</v>
      </c>
      <c r="R9" s="7"/>
      <c r="S9" s="6">
        <v>7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0.70833333333333337</v>
      </c>
      <c r="AD9" s="10">
        <f t="shared" si="8"/>
        <v>0.70833333333333337</v>
      </c>
      <c r="AE9" s="36">
        <f t="shared" si="6"/>
        <v>0.41477272727272735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2709</v>
      </c>
      <c r="K10" s="15">
        <f>L10+5338+5669+5744+4980+3619+1932+309+2790+5660+4715+1739+3127+5884+1203+3638+5732+5658+5217+2430+1897+5596+5715+3707+799</f>
        <v>95807</v>
      </c>
      <c r="L10" s="15">
        <f>709+2000</f>
        <v>2709</v>
      </c>
      <c r="M10" s="15">
        <f t="shared" si="0"/>
        <v>2709</v>
      </c>
      <c r="N10" s="15">
        <v>0</v>
      </c>
      <c r="O10" s="58">
        <f t="shared" si="1"/>
        <v>0</v>
      </c>
      <c r="P10" s="39">
        <f t="shared" si="2"/>
        <v>12</v>
      </c>
      <c r="Q10" s="40">
        <f t="shared" si="3"/>
        <v>12</v>
      </c>
      <c r="R10" s="7"/>
      <c r="S10" s="6">
        <v>12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</v>
      </c>
      <c r="AD10" s="10">
        <f t="shared" si="8"/>
        <v>0.5</v>
      </c>
      <c r="AE10" s="36">
        <f t="shared" si="6"/>
        <v>0.41477272727272735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138</v>
      </c>
      <c r="E11" s="53" t="s">
        <v>409</v>
      </c>
      <c r="F11" s="30" t="s">
        <v>123</v>
      </c>
      <c r="G11" s="33">
        <v>1</v>
      </c>
      <c r="H11" s="35">
        <v>24</v>
      </c>
      <c r="I11" s="7">
        <v>100</v>
      </c>
      <c r="J11" s="14">
        <v>2109</v>
      </c>
      <c r="K11" s="15">
        <f>L11</f>
        <v>2109</v>
      </c>
      <c r="L11" s="15">
        <f>1000+1109</f>
        <v>2109</v>
      </c>
      <c r="M11" s="15">
        <f t="shared" si="0"/>
        <v>2109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/>
      <c r="S11" s="6"/>
      <c r="T11" s="16"/>
      <c r="U11" s="16"/>
      <c r="V11" s="17"/>
      <c r="W11" s="5">
        <v>14</v>
      </c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 t="shared" si="8"/>
        <v>0.41666666666666669</v>
      </c>
      <c r="AE11" s="36">
        <f t="shared" si="6"/>
        <v>0.41477272727272735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126</v>
      </c>
      <c r="D12" s="52" t="s">
        <v>121</v>
      </c>
      <c r="E12" s="53" t="s">
        <v>368</v>
      </c>
      <c r="F12" s="30" t="s">
        <v>123</v>
      </c>
      <c r="G12" s="12">
        <v>3</v>
      </c>
      <c r="H12" s="13">
        <v>22</v>
      </c>
      <c r="I12" s="31">
        <v>32000</v>
      </c>
      <c r="J12" s="5">
        <v>9357</v>
      </c>
      <c r="K12" s="15">
        <f>L12+7911+15024+5163</f>
        <v>37455</v>
      </c>
      <c r="L12" s="15">
        <f>1000*3+2119*3</f>
        <v>9357</v>
      </c>
      <c r="M12" s="15">
        <f t="shared" si="0"/>
        <v>9357</v>
      </c>
      <c r="N12" s="15">
        <v>0</v>
      </c>
      <c r="O12" s="58">
        <f t="shared" si="1"/>
        <v>0</v>
      </c>
      <c r="P12" s="39">
        <f t="shared" si="2"/>
        <v>18</v>
      </c>
      <c r="Q12" s="40">
        <f t="shared" si="3"/>
        <v>6</v>
      </c>
      <c r="R12" s="7"/>
      <c r="S12" s="6"/>
      <c r="T12" s="16"/>
      <c r="U12" s="16"/>
      <c r="V12" s="17"/>
      <c r="W12" s="5">
        <v>6</v>
      </c>
      <c r="X12" s="16"/>
      <c r="Y12" s="16"/>
      <c r="Z12" s="16"/>
      <c r="AA12" s="18"/>
      <c r="AB12" s="8">
        <f t="shared" si="4"/>
        <v>1</v>
      </c>
      <c r="AC12" s="9">
        <f t="shared" si="5"/>
        <v>0.75</v>
      </c>
      <c r="AD12" s="10">
        <f t="shared" si="8"/>
        <v>0.75</v>
      </c>
      <c r="AE12" s="36">
        <f t="shared" si="6"/>
        <v>0.41477272727272735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126</v>
      </c>
      <c r="D13" s="52"/>
      <c r="E13" s="53" t="s">
        <v>304</v>
      </c>
      <c r="F13" s="30" t="s">
        <v>122</v>
      </c>
      <c r="G13" s="33">
        <v>1</v>
      </c>
      <c r="H13" s="35">
        <v>22</v>
      </c>
      <c r="I13" s="7">
        <v>12000</v>
      </c>
      <c r="J13" s="14">
        <v>4452</v>
      </c>
      <c r="K13" s="15">
        <f>L13+3169+4592+2342</f>
        <v>14555</v>
      </c>
      <c r="L13" s="15">
        <f>2452+2000</f>
        <v>4452</v>
      </c>
      <c r="M13" s="15">
        <f t="shared" si="0"/>
        <v>4452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0.41477272727272735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322</v>
      </c>
      <c r="F14" s="30" t="s">
        <v>305</v>
      </c>
      <c r="G14" s="33">
        <v>1</v>
      </c>
      <c r="H14" s="35">
        <v>50</v>
      </c>
      <c r="I14" s="7">
        <v>1200</v>
      </c>
      <c r="J14" s="5">
        <v>1172</v>
      </c>
      <c r="K14" s="15">
        <f>L14+1901+1172</f>
        <v>3073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0.41477272727272735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138</v>
      </c>
      <c r="E15" s="53" t="s">
        <v>147</v>
      </c>
      <c r="F15" s="30" t="s">
        <v>139</v>
      </c>
      <c r="G15" s="12">
        <v>2</v>
      </c>
      <c r="H15" s="13">
        <v>24</v>
      </c>
      <c r="I15" s="31">
        <v>45000</v>
      </c>
      <c r="J15" s="14">
        <v>11338</v>
      </c>
      <c r="K15" s="15">
        <f>L15+11556+1152</f>
        <v>24046</v>
      </c>
      <c r="L15" s="15">
        <f>3169*2+2500*2</f>
        <v>11338</v>
      </c>
      <c r="M15" s="15">
        <f t="shared" si="0"/>
        <v>11338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0.41477272727272735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404</v>
      </c>
      <c r="D16" s="52"/>
      <c r="E16" s="53" t="s">
        <v>403</v>
      </c>
      <c r="F16" s="30" t="s">
        <v>410</v>
      </c>
      <c r="G16" s="12">
        <v>28</v>
      </c>
      <c r="H16" s="13">
        <v>22</v>
      </c>
      <c r="I16" s="31">
        <v>500000</v>
      </c>
      <c r="J16" s="5">
        <v>288176</v>
      </c>
      <c r="K16" s="15">
        <f>L16</f>
        <v>288176</v>
      </c>
      <c r="L16" s="15">
        <f>4292*28+6000*28</f>
        <v>288176</v>
      </c>
      <c r="M16" s="15">
        <f t="shared" si="0"/>
        <v>288176</v>
      </c>
      <c r="N16" s="15">
        <v>0</v>
      </c>
      <c r="O16" s="58">
        <f t="shared" si="1"/>
        <v>0</v>
      </c>
      <c r="P16" s="39">
        <f t="shared" si="2"/>
        <v>22</v>
      </c>
      <c r="Q16" s="40">
        <f t="shared" si="3"/>
        <v>2</v>
      </c>
      <c r="R16" s="7"/>
      <c r="S16" s="6"/>
      <c r="T16" s="16">
        <v>2</v>
      </c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0.91666666666666663</v>
      </c>
      <c r="AD16" s="10">
        <f t="shared" si="8"/>
        <v>0.91666666666666663</v>
      </c>
      <c r="AE16" s="36">
        <f t="shared" si="6"/>
        <v>0.41477272727272735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116</v>
      </c>
      <c r="D17" s="52" t="s">
        <v>138</v>
      </c>
      <c r="E17" s="53" t="s">
        <v>337</v>
      </c>
      <c r="F17" s="30" t="s">
        <v>204</v>
      </c>
      <c r="G17" s="12">
        <v>1</v>
      </c>
      <c r="H17" s="13">
        <v>24</v>
      </c>
      <c r="I17" s="7">
        <v>700</v>
      </c>
      <c r="J17" s="14">
        <v>1225</v>
      </c>
      <c r="K17" s="15">
        <f>L17+1225</f>
        <v>1225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0.41477272727272735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115</v>
      </c>
      <c r="E18" s="53" t="s">
        <v>172</v>
      </c>
      <c r="F18" s="30" t="s">
        <v>136</v>
      </c>
      <c r="G18" s="12">
        <v>1</v>
      </c>
      <c r="H18" s="13">
        <v>22</v>
      </c>
      <c r="I18" s="31">
        <v>17000</v>
      </c>
      <c r="J18" s="5">
        <v>4397</v>
      </c>
      <c r="K18" s="15">
        <f>L18+1550+666+3747+2255+3128+450+1534+2337+1600+1171+1004+1216</f>
        <v>25055</v>
      </c>
      <c r="L18" s="15">
        <f>2397+2000</f>
        <v>4397</v>
      </c>
      <c r="M18" s="15">
        <f t="shared" si="0"/>
        <v>4397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8"/>
        <v>0.875</v>
      </c>
      <c r="AE18" s="36">
        <f t="shared" si="6"/>
        <v>0.41477272727272735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112</v>
      </c>
      <c r="D19" s="52" t="s">
        <v>159</v>
      </c>
      <c r="E19" s="53" t="s">
        <v>173</v>
      </c>
      <c r="F19" s="30" t="s">
        <v>123</v>
      </c>
      <c r="G19" s="33">
        <v>1</v>
      </c>
      <c r="H19" s="35">
        <v>24</v>
      </c>
      <c r="I19" s="7">
        <v>35000</v>
      </c>
      <c r="J19" s="14">
        <v>1154</v>
      </c>
      <c r="K19" s="15">
        <f>L19+2187+4152+5440+5251+5627+5544+3270+2848</f>
        <v>35473</v>
      </c>
      <c r="L19" s="15">
        <v>1154</v>
      </c>
      <c r="M19" s="15">
        <f t="shared" si="0"/>
        <v>1154</v>
      </c>
      <c r="N19" s="15">
        <v>0</v>
      </c>
      <c r="O19" s="58">
        <f t="shared" si="1"/>
        <v>0</v>
      </c>
      <c r="P19" s="39">
        <f t="shared" si="2"/>
        <v>6</v>
      </c>
      <c r="Q19" s="40">
        <f t="shared" si="3"/>
        <v>18</v>
      </c>
      <c r="R19" s="7"/>
      <c r="S19" s="6">
        <v>18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0.25</v>
      </c>
      <c r="AD19" s="10">
        <f t="shared" si="8"/>
        <v>0.25</v>
      </c>
      <c r="AE19" s="36">
        <f t="shared" si="6"/>
        <v>0.41477272727272735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126</v>
      </c>
      <c r="D20" s="52" t="s">
        <v>115</v>
      </c>
      <c r="E20" s="53" t="s">
        <v>327</v>
      </c>
      <c r="F20" s="30" t="s">
        <v>136</v>
      </c>
      <c r="G20" s="33">
        <v>1</v>
      </c>
      <c r="H20" s="35">
        <v>24</v>
      </c>
      <c r="I20" s="7">
        <v>50000</v>
      </c>
      <c r="J20" s="14">
        <v>4454</v>
      </c>
      <c r="K20" s="15">
        <f>L20+5271+5293+1299</f>
        <v>16317</v>
      </c>
      <c r="L20" s="15">
        <f>2454+2000</f>
        <v>4454</v>
      </c>
      <c r="M20" s="15">
        <f t="shared" si="0"/>
        <v>4454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8"/>
        <v>0.875</v>
      </c>
      <c r="AE20" s="36">
        <f t="shared" si="6"/>
        <v>0.41477272727272735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338</v>
      </c>
      <c r="F21" s="12" t="s">
        <v>114</v>
      </c>
      <c r="G21" s="12">
        <v>3</v>
      </c>
      <c r="H21" s="35">
        <v>20</v>
      </c>
      <c r="I21" s="7">
        <v>250000</v>
      </c>
      <c r="J21" s="14">
        <v>38700</v>
      </c>
      <c r="K21" s="15">
        <f>L21+28566+48777+51264</f>
        <v>167307</v>
      </c>
      <c r="L21" s="15">
        <f>6000*3+6900*3</f>
        <v>38700</v>
      </c>
      <c r="M21" s="15">
        <f t="shared" si="0"/>
        <v>38700</v>
      </c>
      <c r="N21" s="15">
        <v>0</v>
      </c>
      <c r="O21" s="58">
        <f t="shared" si="1"/>
        <v>0</v>
      </c>
      <c r="P21" s="39">
        <f t="shared" si="2"/>
        <v>20</v>
      </c>
      <c r="Q21" s="40">
        <f t="shared" si="3"/>
        <v>4</v>
      </c>
      <c r="R21" s="7"/>
      <c r="S21" s="6"/>
      <c r="T21" s="16"/>
      <c r="U21" s="16"/>
      <c r="V21" s="17"/>
      <c r="W21" s="5">
        <v>4</v>
      </c>
      <c r="X21" s="16"/>
      <c r="Y21" s="16"/>
      <c r="Z21" s="16"/>
      <c r="AA21" s="18"/>
      <c r="AB21" s="8">
        <f t="shared" si="4"/>
        <v>1</v>
      </c>
      <c r="AC21" s="9">
        <f t="shared" si="5"/>
        <v>0.83333333333333337</v>
      </c>
      <c r="AD21" s="10">
        <f t="shared" si="8"/>
        <v>0.83333333333333337</v>
      </c>
      <c r="AE21" s="36">
        <f t="shared" si="6"/>
        <v>0.41477272727272735</v>
      </c>
      <c r="AF21" s="81">
        <f t="shared" si="7"/>
        <v>16</v>
      </c>
    </row>
    <row r="22" spans="1:32" ht="21.75" customHeight="1">
      <c r="A22" s="92">
        <v>31</v>
      </c>
      <c r="B22" s="11" t="s">
        <v>57</v>
      </c>
      <c r="C22" s="11" t="s">
        <v>116</v>
      </c>
      <c r="D22" s="52" t="s">
        <v>115</v>
      </c>
      <c r="E22" s="53" t="s">
        <v>149</v>
      </c>
      <c r="F22" s="12" t="s">
        <v>136</v>
      </c>
      <c r="G22" s="12">
        <v>4</v>
      </c>
      <c r="H22" s="35">
        <v>20</v>
      </c>
      <c r="I22" s="7">
        <v>70000</v>
      </c>
      <c r="J22" s="14">
        <v>22300</v>
      </c>
      <c r="K22" s="15">
        <f>L22+22300</f>
        <v>22300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0.41477272727272735</v>
      </c>
      <c r="AF22" s="81">
        <f t="shared" si="7"/>
        <v>31</v>
      </c>
    </row>
    <row r="23" spans="1:32" ht="21.75" customHeight="1">
      <c r="A23" s="92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" si="9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0.41477272727272735</v>
      </c>
      <c r="AF23" s="81">
        <f t="shared" si="7"/>
        <v>32</v>
      </c>
    </row>
    <row r="24" spans="1:32" ht="21.75" customHeight="1">
      <c r="A24" s="92">
        <v>33</v>
      </c>
      <c r="B24" s="11" t="s">
        <v>57</v>
      </c>
      <c r="C24" s="11" t="s">
        <v>116</v>
      </c>
      <c r="D24" s="52" t="s">
        <v>142</v>
      </c>
      <c r="E24" s="53" t="s">
        <v>151</v>
      </c>
      <c r="F24" s="12" t="s">
        <v>123</v>
      </c>
      <c r="G24" s="12">
        <v>3</v>
      </c>
      <c r="H24" s="35">
        <v>20</v>
      </c>
      <c r="I24" s="7">
        <v>70000</v>
      </c>
      <c r="J24" s="14">
        <v>9744</v>
      </c>
      <c r="K24" s="15">
        <f>L24+22125+9744</f>
        <v>31869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4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0.41477272727272735</v>
      </c>
      <c r="AF24" s="81">
        <f t="shared" si="7"/>
        <v>33</v>
      </c>
    </row>
    <row r="25" spans="1:32" ht="21.75" customHeight="1">
      <c r="A25" s="92">
        <v>34</v>
      </c>
      <c r="B25" s="11" t="s">
        <v>57</v>
      </c>
      <c r="C25" s="11" t="s">
        <v>116</v>
      </c>
      <c r="D25" s="52" t="s">
        <v>127</v>
      </c>
      <c r="E25" s="53" t="s">
        <v>148</v>
      </c>
      <c r="F25" s="12" t="s">
        <v>124</v>
      </c>
      <c r="G25" s="12">
        <v>4</v>
      </c>
      <c r="H25" s="35">
        <v>20</v>
      </c>
      <c r="I25" s="7">
        <v>50000</v>
      </c>
      <c r="J25" s="14">
        <v>26548</v>
      </c>
      <c r="K25" s="15">
        <f>L25+15172+24432+25280+26548</f>
        <v>91432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4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0.41477272727272735</v>
      </c>
      <c r="AF25" s="81">
        <f t="shared" si="7"/>
        <v>34</v>
      </c>
    </row>
    <row r="26" spans="1:32" ht="21.75" customHeight="1">
      <c r="A26" s="92">
        <v>35</v>
      </c>
      <c r="B26" s="11" t="s">
        <v>57</v>
      </c>
      <c r="C26" s="11" t="s">
        <v>116</v>
      </c>
      <c r="D26" s="52" t="s">
        <v>121</v>
      </c>
      <c r="E26" s="53" t="s">
        <v>125</v>
      </c>
      <c r="F26" s="12" t="s">
        <v>124</v>
      </c>
      <c r="G26" s="12">
        <v>4</v>
      </c>
      <c r="H26" s="35">
        <v>20</v>
      </c>
      <c r="I26" s="7">
        <v>50000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0.41477272727272735</v>
      </c>
      <c r="AF26" s="81">
        <f t="shared" si="7"/>
        <v>35</v>
      </c>
    </row>
    <row r="27" spans="1:32" ht="21.75" customHeight="1" thickBot="1">
      <c r="A27" s="92">
        <v>36</v>
      </c>
      <c r="B27" s="11" t="s">
        <v>57</v>
      </c>
      <c r="C27" s="11" t="s">
        <v>113</v>
      </c>
      <c r="D27" s="52"/>
      <c r="E27" s="53" t="s">
        <v>150</v>
      </c>
      <c r="F27" s="12" t="s">
        <v>114</v>
      </c>
      <c r="G27" s="12">
        <v>4</v>
      </c>
      <c r="H27" s="35">
        <v>20</v>
      </c>
      <c r="I27" s="7">
        <v>1000000</v>
      </c>
      <c r="J27" s="14">
        <v>79328</v>
      </c>
      <c r="K27" s="15">
        <f>L27+28388+70816+76368+81764+83428+47688+53180+83092+82192+79328</f>
        <v>686244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>
        <v>24</v>
      </c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0.41477272727272735</v>
      </c>
      <c r="AF27" s="81">
        <f t="shared" si="7"/>
        <v>36</v>
      </c>
    </row>
    <row r="28" spans="1:32" ht="19.5" thickBot="1">
      <c r="A28" s="478" t="s">
        <v>34</v>
      </c>
      <c r="B28" s="479"/>
      <c r="C28" s="479"/>
      <c r="D28" s="479"/>
      <c r="E28" s="479"/>
      <c r="F28" s="479"/>
      <c r="G28" s="479"/>
      <c r="H28" s="480"/>
      <c r="I28" s="22">
        <f t="shared" ref="I28:N28" si="10">SUM(I6:I27)</f>
        <v>2399000</v>
      </c>
      <c r="J28" s="19">
        <f t="shared" si="10"/>
        <v>555035</v>
      </c>
      <c r="K28" s="20">
        <f t="shared" si="10"/>
        <v>1682441</v>
      </c>
      <c r="L28" s="21">
        <f t="shared" si="10"/>
        <v>375903</v>
      </c>
      <c r="M28" s="20">
        <f t="shared" si="10"/>
        <v>375903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219</v>
      </c>
      <c r="Q28" s="43">
        <f t="shared" si="11"/>
        <v>309</v>
      </c>
      <c r="R28" s="23">
        <f t="shared" si="11"/>
        <v>0</v>
      </c>
      <c r="S28" s="24">
        <f t="shared" si="11"/>
        <v>67</v>
      </c>
      <c r="T28" s="24">
        <f t="shared" si="11"/>
        <v>2</v>
      </c>
      <c r="U28" s="24">
        <f t="shared" si="11"/>
        <v>0</v>
      </c>
      <c r="V28" s="25">
        <f t="shared" si="11"/>
        <v>72</v>
      </c>
      <c r="W28" s="26">
        <f t="shared" si="11"/>
        <v>168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0</v>
      </c>
      <c r="AB28" s="28">
        <f>AVERAGE(AB6:AB27)</f>
        <v>0.5714285714285714</v>
      </c>
      <c r="AC28" s="4">
        <f>AVERAGE(AC6:AC27)</f>
        <v>0.41477272727272735</v>
      </c>
      <c r="AD28" s="4">
        <f>AVERAGE(AD6:AD27)</f>
        <v>0.41477272727272735</v>
      </c>
      <c r="AE28" s="29"/>
    </row>
    <row r="29" spans="1:32">
      <c r="T29" s="50" t="s">
        <v>128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129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81" t="s">
        <v>45</v>
      </c>
      <c r="B55" s="481"/>
      <c r="C55" s="481"/>
      <c r="D55" s="481"/>
      <c r="E55" s="48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82" t="s">
        <v>411</v>
      </c>
      <c r="B56" s="483"/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4"/>
      <c r="N56" s="485" t="s">
        <v>415</v>
      </c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7"/>
    </row>
    <row r="57" spans="1:32" ht="27" customHeight="1">
      <c r="A57" s="488" t="s">
        <v>2</v>
      </c>
      <c r="B57" s="489"/>
      <c r="C57" s="226" t="s">
        <v>46</v>
      </c>
      <c r="D57" s="226" t="s">
        <v>47</v>
      </c>
      <c r="E57" s="226" t="s">
        <v>107</v>
      </c>
      <c r="F57" s="490" t="s">
        <v>106</v>
      </c>
      <c r="G57" s="491"/>
      <c r="H57" s="491"/>
      <c r="I57" s="491"/>
      <c r="J57" s="491"/>
      <c r="K57" s="491"/>
      <c r="L57" s="491"/>
      <c r="M57" s="492"/>
      <c r="N57" s="67" t="s">
        <v>110</v>
      </c>
      <c r="O57" s="226" t="s">
        <v>46</v>
      </c>
      <c r="P57" s="490" t="s">
        <v>47</v>
      </c>
      <c r="Q57" s="493"/>
      <c r="R57" s="490" t="s">
        <v>38</v>
      </c>
      <c r="S57" s="491"/>
      <c r="T57" s="491"/>
      <c r="U57" s="493"/>
      <c r="V57" s="490" t="s">
        <v>48</v>
      </c>
      <c r="W57" s="491"/>
      <c r="X57" s="491"/>
      <c r="Y57" s="491"/>
      <c r="Z57" s="491"/>
      <c r="AA57" s="491"/>
      <c r="AB57" s="491"/>
      <c r="AC57" s="491"/>
      <c r="AD57" s="492"/>
    </row>
    <row r="58" spans="1:32" ht="27" customHeight="1">
      <c r="A58" s="455" t="s">
        <v>116</v>
      </c>
      <c r="B58" s="456"/>
      <c r="C58" s="227" t="s">
        <v>164</v>
      </c>
      <c r="D58" s="227" t="s">
        <v>115</v>
      </c>
      <c r="E58" s="229" t="s">
        <v>172</v>
      </c>
      <c r="F58" s="457" t="s">
        <v>412</v>
      </c>
      <c r="G58" s="458"/>
      <c r="H58" s="458"/>
      <c r="I58" s="458"/>
      <c r="J58" s="458"/>
      <c r="K58" s="458"/>
      <c r="L58" s="458"/>
      <c r="M58" s="459"/>
      <c r="N58" s="228" t="s">
        <v>126</v>
      </c>
      <c r="O58" s="234" t="s">
        <v>140</v>
      </c>
      <c r="P58" s="472" t="s">
        <v>127</v>
      </c>
      <c r="Q58" s="473"/>
      <c r="R58" s="472" t="s">
        <v>160</v>
      </c>
      <c r="S58" s="474"/>
      <c r="T58" s="474"/>
      <c r="U58" s="473"/>
      <c r="V58" s="461" t="s">
        <v>416</v>
      </c>
      <c r="W58" s="462"/>
      <c r="X58" s="462"/>
      <c r="Y58" s="462"/>
      <c r="Z58" s="462"/>
      <c r="AA58" s="462"/>
      <c r="AB58" s="462"/>
      <c r="AC58" s="462"/>
      <c r="AD58" s="463"/>
    </row>
    <row r="59" spans="1:32" ht="27" customHeight="1">
      <c r="A59" s="455" t="s">
        <v>126</v>
      </c>
      <c r="B59" s="456"/>
      <c r="C59" s="227" t="s">
        <v>180</v>
      </c>
      <c r="D59" s="227" t="s">
        <v>115</v>
      </c>
      <c r="E59" s="229" t="s">
        <v>327</v>
      </c>
      <c r="F59" s="457" t="s">
        <v>379</v>
      </c>
      <c r="G59" s="458"/>
      <c r="H59" s="458"/>
      <c r="I59" s="458"/>
      <c r="J59" s="458"/>
      <c r="K59" s="458"/>
      <c r="L59" s="458"/>
      <c r="M59" s="459"/>
      <c r="N59" s="228" t="s">
        <v>116</v>
      </c>
      <c r="O59" s="234" t="s">
        <v>164</v>
      </c>
      <c r="P59" s="472" t="s">
        <v>127</v>
      </c>
      <c r="Q59" s="473"/>
      <c r="R59" s="472" t="s">
        <v>417</v>
      </c>
      <c r="S59" s="474"/>
      <c r="T59" s="474"/>
      <c r="U59" s="473"/>
      <c r="V59" s="461" t="s">
        <v>187</v>
      </c>
      <c r="W59" s="462"/>
      <c r="X59" s="462"/>
      <c r="Y59" s="462"/>
      <c r="Z59" s="462"/>
      <c r="AA59" s="462"/>
      <c r="AB59" s="462"/>
      <c r="AC59" s="462"/>
      <c r="AD59" s="463"/>
    </row>
    <row r="60" spans="1:32" ht="27" customHeight="1">
      <c r="A60" s="455" t="s">
        <v>112</v>
      </c>
      <c r="B60" s="456"/>
      <c r="C60" s="227" t="s">
        <v>286</v>
      </c>
      <c r="D60" s="227" t="s">
        <v>121</v>
      </c>
      <c r="E60" s="229" t="s">
        <v>152</v>
      </c>
      <c r="F60" s="457" t="s">
        <v>413</v>
      </c>
      <c r="G60" s="458"/>
      <c r="H60" s="458"/>
      <c r="I60" s="458"/>
      <c r="J60" s="458"/>
      <c r="K60" s="458"/>
      <c r="L60" s="458"/>
      <c r="M60" s="459"/>
      <c r="N60" s="228" t="s">
        <v>112</v>
      </c>
      <c r="O60" s="234" t="s">
        <v>225</v>
      </c>
      <c r="P60" s="472" t="s">
        <v>159</v>
      </c>
      <c r="Q60" s="473"/>
      <c r="R60" s="472" t="s">
        <v>173</v>
      </c>
      <c r="S60" s="474"/>
      <c r="T60" s="474"/>
      <c r="U60" s="473"/>
      <c r="V60" s="461" t="s">
        <v>144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116</v>
      </c>
      <c r="B61" s="456"/>
      <c r="C61" s="227" t="s">
        <v>145</v>
      </c>
      <c r="D61" s="227" t="s">
        <v>157</v>
      </c>
      <c r="E61" s="229" t="s">
        <v>257</v>
      </c>
      <c r="F61" s="457" t="s">
        <v>414</v>
      </c>
      <c r="G61" s="458"/>
      <c r="H61" s="458"/>
      <c r="I61" s="458"/>
      <c r="J61" s="458"/>
      <c r="K61" s="458"/>
      <c r="L61" s="458"/>
      <c r="M61" s="459"/>
      <c r="N61" s="228" t="s">
        <v>113</v>
      </c>
      <c r="O61" s="234" t="s">
        <v>418</v>
      </c>
      <c r="P61" s="472"/>
      <c r="Q61" s="473"/>
      <c r="R61" s="472" t="s">
        <v>419</v>
      </c>
      <c r="S61" s="474"/>
      <c r="T61" s="474"/>
      <c r="U61" s="473"/>
      <c r="V61" s="461" t="s">
        <v>187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116</v>
      </c>
      <c r="B62" s="456"/>
      <c r="C62" s="227" t="s">
        <v>259</v>
      </c>
      <c r="D62" s="227" t="s">
        <v>138</v>
      </c>
      <c r="E62" s="229" t="s">
        <v>409</v>
      </c>
      <c r="F62" s="457" t="s">
        <v>187</v>
      </c>
      <c r="G62" s="458"/>
      <c r="H62" s="458"/>
      <c r="I62" s="458"/>
      <c r="J62" s="458"/>
      <c r="K62" s="458"/>
      <c r="L62" s="458"/>
      <c r="M62" s="459"/>
      <c r="N62" s="228"/>
      <c r="O62" s="234"/>
      <c r="P62" s="472"/>
      <c r="Q62" s="473"/>
      <c r="R62" s="472"/>
      <c r="S62" s="474"/>
      <c r="T62" s="474"/>
      <c r="U62" s="473"/>
      <c r="V62" s="461"/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112</v>
      </c>
      <c r="B63" s="456"/>
      <c r="C63" s="227" t="s">
        <v>225</v>
      </c>
      <c r="D63" s="227" t="s">
        <v>159</v>
      </c>
      <c r="E63" s="229" t="s">
        <v>173</v>
      </c>
      <c r="F63" s="457" t="s">
        <v>288</v>
      </c>
      <c r="G63" s="458"/>
      <c r="H63" s="458"/>
      <c r="I63" s="458"/>
      <c r="J63" s="458"/>
      <c r="K63" s="458"/>
      <c r="L63" s="458"/>
      <c r="M63" s="459"/>
      <c r="N63" s="228"/>
      <c r="O63" s="234"/>
      <c r="P63" s="472"/>
      <c r="Q63" s="473"/>
      <c r="R63" s="472"/>
      <c r="S63" s="474"/>
      <c r="T63" s="474"/>
      <c r="U63" s="473"/>
      <c r="V63" s="461"/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404</v>
      </c>
      <c r="B64" s="456"/>
      <c r="C64" s="227" t="s">
        <v>244</v>
      </c>
      <c r="D64" s="227"/>
      <c r="E64" s="229" t="s">
        <v>403</v>
      </c>
      <c r="F64" s="457" t="s">
        <v>187</v>
      </c>
      <c r="G64" s="458"/>
      <c r="H64" s="458"/>
      <c r="I64" s="458"/>
      <c r="J64" s="458"/>
      <c r="K64" s="458"/>
      <c r="L64" s="458"/>
      <c r="M64" s="459"/>
      <c r="N64" s="228"/>
      <c r="O64" s="234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/>
      <c r="B65" s="456"/>
      <c r="C65" s="227"/>
      <c r="D65" s="227"/>
      <c r="E65" s="229"/>
      <c r="F65" s="457"/>
      <c r="G65" s="458"/>
      <c r="H65" s="458"/>
      <c r="I65" s="458"/>
      <c r="J65" s="458"/>
      <c r="K65" s="458"/>
      <c r="L65" s="458"/>
      <c r="M65" s="459"/>
      <c r="N65" s="228"/>
      <c r="O65" s="234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227"/>
      <c r="D66" s="227"/>
      <c r="E66" s="229"/>
      <c r="F66" s="457"/>
      <c r="G66" s="458"/>
      <c r="H66" s="458"/>
      <c r="I66" s="458"/>
      <c r="J66" s="458"/>
      <c r="K66" s="458"/>
      <c r="L66" s="458"/>
      <c r="M66" s="459"/>
      <c r="N66" s="228"/>
      <c r="O66" s="234"/>
      <c r="P66" s="460"/>
      <c r="Q66" s="460"/>
      <c r="R66" s="460"/>
      <c r="S66" s="460"/>
      <c r="T66" s="460"/>
      <c r="U66" s="460"/>
      <c r="V66" s="461"/>
      <c r="W66" s="462"/>
      <c r="X66" s="462"/>
      <c r="Y66" s="462"/>
      <c r="Z66" s="462"/>
      <c r="AA66" s="462"/>
      <c r="AB66" s="462"/>
      <c r="AC66" s="462"/>
      <c r="AD66" s="463"/>
      <c r="AF66" s="81">
        <f>8*3000</f>
        <v>24000</v>
      </c>
    </row>
    <row r="67" spans="1:32" ht="27" customHeight="1" thickBot="1">
      <c r="A67" s="464"/>
      <c r="B67" s="465"/>
      <c r="C67" s="230"/>
      <c r="D67" s="231"/>
      <c r="E67" s="230"/>
      <c r="F67" s="466"/>
      <c r="G67" s="467"/>
      <c r="H67" s="467"/>
      <c r="I67" s="467"/>
      <c r="J67" s="467"/>
      <c r="K67" s="467"/>
      <c r="L67" s="467"/>
      <c r="M67" s="468"/>
      <c r="N67" s="105"/>
      <c r="O67" s="97"/>
      <c r="P67" s="469"/>
      <c r="Q67" s="469"/>
      <c r="R67" s="469"/>
      <c r="S67" s="469"/>
      <c r="T67" s="469"/>
      <c r="U67" s="469"/>
      <c r="V67" s="470"/>
      <c r="W67" s="470"/>
      <c r="X67" s="470"/>
      <c r="Y67" s="470"/>
      <c r="Z67" s="470"/>
      <c r="AA67" s="470"/>
      <c r="AB67" s="470"/>
      <c r="AC67" s="470"/>
      <c r="AD67" s="471"/>
      <c r="AF67" s="81">
        <f>16*3000</f>
        <v>48000</v>
      </c>
    </row>
    <row r="68" spans="1:32" ht="27.75" thickBot="1">
      <c r="A68" s="453" t="s">
        <v>420</v>
      </c>
      <c r="B68" s="453"/>
      <c r="C68" s="453"/>
      <c r="D68" s="453"/>
      <c r="E68" s="453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54" t="s">
        <v>111</v>
      </c>
      <c r="B69" s="451"/>
      <c r="C69" s="232" t="s">
        <v>2</v>
      </c>
      <c r="D69" s="232" t="s">
        <v>37</v>
      </c>
      <c r="E69" s="232" t="s">
        <v>3</v>
      </c>
      <c r="F69" s="451" t="s">
        <v>109</v>
      </c>
      <c r="G69" s="451"/>
      <c r="H69" s="451"/>
      <c r="I69" s="451"/>
      <c r="J69" s="451"/>
      <c r="K69" s="451" t="s">
        <v>39</v>
      </c>
      <c r="L69" s="451"/>
      <c r="M69" s="232" t="s">
        <v>40</v>
      </c>
      <c r="N69" s="451" t="s">
        <v>41</v>
      </c>
      <c r="O69" s="451"/>
      <c r="P69" s="448" t="s">
        <v>42</v>
      </c>
      <c r="Q69" s="450"/>
      <c r="R69" s="448" t="s">
        <v>43</v>
      </c>
      <c r="S69" s="449"/>
      <c r="T69" s="449"/>
      <c r="U69" s="449"/>
      <c r="V69" s="449"/>
      <c r="W69" s="449"/>
      <c r="X69" s="449"/>
      <c r="Y69" s="449"/>
      <c r="Z69" s="449"/>
      <c r="AA69" s="450"/>
      <c r="AB69" s="451" t="s">
        <v>44</v>
      </c>
      <c r="AC69" s="451"/>
      <c r="AD69" s="452"/>
      <c r="AF69" s="81">
        <f>SUM(AF66:AF68)</f>
        <v>96000</v>
      </c>
    </row>
    <row r="70" spans="1:32" ht="25.5" customHeight="1">
      <c r="A70" s="439">
        <v>1</v>
      </c>
      <c r="B70" s="440"/>
      <c r="C70" s="98" t="s">
        <v>112</v>
      </c>
      <c r="D70" s="236"/>
      <c r="E70" s="233" t="s">
        <v>115</v>
      </c>
      <c r="F70" s="441" t="s">
        <v>421</v>
      </c>
      <c r="G70" s="431"/>
      <c r="H70" s="431"/>
      <c r="I70" s="431"/>
      <c r="J70" s="431"/>
      <c r="K70" s="431" t="s">
        <v>168</v>
      </c>
      <c r="L70" s="431"/>
      <c r="M70" s="51" t="s">
        <v>154</v>
      </c>
      <c r="N70" s="442" t="s">
        <v>155</v>
      </c>
      <c r="O70" s="442"/>
      <c r="P70" s="443">
        <v>50</v>
      </c>
      <c r="Q70" s="443"/>
      <c r="R70" s="444"/>
      <c r="S70" s="444"/>
      <c r="T70" s="444"/>
      <c r="U70" s="444"/>
      <c r="V70" s="444"/>
      <c r="W70" s="444"/>
      <c r="X70" s="444"/>
      <c r="Y70" s="444"/>
      <c r="Z70" s="444"/>
      <c r="AA70" s="444"/>
      <c r="AB70" s="431"/>
      <c r="AC70" s="431"/>
      <c r="AD70" s="432"/>
      <c r="AF70" s="50"/>
    </row>
    <row r="71" spans="1:32" ht="25.5" customHeight="1">
      <c r="A71" s="439">
        <v>2</v>
      </c>
      <c r="B71" s="440"/>
      <c r="C71" s="98" t="s">
        <v>112</v>
      </c>
      <c r="D71" s="236"/>
      <c r="E71" s="233" t="s">
        <v>115</v>
      </c>
      <c r="F71" s="441" t="s">
        <v>421</v>
      </c>
      <c r="G71" s="431"/>
      <c r="H71" s="431"/>
      <c r="I71" s="431"/>
      <c r="J71" s="431"/>
      <c r="K71" s="431" t="s">
        <v>422</v>
      </c>
      <c r="L71" s="431"/>
      <c r="M71" s="51" t="s">
        <v>423</v>
      </c>
      <c r="N71" s="442" t="s">
        <v>155</v>
      </c>
      <c r="O71" s="442"/>
      <c r="P71" s="443">
        <v>30</v>
      </c>
      <c r="Q71" s="443"/>
      <c r="R71" s="444" t="s">
        <v>424</v>
      </c>
      <c r="S71" s="444"/>
      <c r="T71" s="444"/>
      <c r="U71" s="444"/>
      <c r="V71" s="444"/>
      <c r="W71" s="444"/>
      <c r="X71" s="444"/>
      <c r="Y71" s="444"/>
      <c r="Z71" s="444"/>
      <c r="AA71" s="444"/>
      <c r="AB71" s="431"/>
      <c r="AC71" s="431"/>
      <c r="AD71" s="432"/>
      <c r="AF71" s="50"/>
    </row>
    <row r="72" spans="1:32" ht="25.5" customHeight="1">
      <c r="A72" s="439">
        <v>3</v>
      </c>
      <c r="B72" s="440"/>
      <c r="C72" s="98" t="s">
        <v>163</v>
      </c>
      <c r="D72" s="236"/>
      <c r="E72" s="233" t="s">
        <v>115</v>
      </c>
      <c r="F72" s="441" t="s">
        <v>166</v>
      </c>
      <c r="G72" s="431"/>
      <c r="H72" s="431"/>
      <c r="I72" s="431"/>
      <c r="J72" s="431"/>
      <c r="K72" s="431" t="s">
        <v>168</v>
      </c>
      <c r="L72" s="431"/>
      <c r="M72" s="51" t="s">
        <v>425</v>
      </c>
      <c r="N72" s="442" t="s">
        <v>155</v>
      </c>
      <c r="O72" s="442"/>
      <c r="P72" s="443">
        <v>50</v>
      </c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4</v>
      </c>
      <c r="B73" s="440"/>
      <c r="C73" s="98"/>
      <c r="D73" s="236"/>
      <c r="E73" s="233"/>
      <c r="F73" s="445"/>
      <c r="G73" s="446"/>
      <c r="H73" s="446"/>
      <c r="I73" s="446"/>
      <c r="J73" s="447"/>
      <c r="K73" s="431"/>
      <c r="L73" s="431"/>
      <c r="M73" s="51"/>
      <c r="N73" s="442"/>
      <c r="O73" s="442"/>
      <c r="P73" s="443"/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5</v>
      </c>
      <c r="B74" s="440"/>
      <c r="C74" s="98"/>
      <c r="D74" s="236"/>
      <c r="E74" s="233"/>
      <c r="F74" s="445"/>
      <c r="G74" s="446"/>
      <c r="H74" s="446"/>
      <c r="I74" s="446"/>
      <c r="J74" s="447"/>
      <c r="K74" s="431"/>
      <c r="L74" s="431"/>
      <c r="M74" s="51"/>
      <c r="N74" s="442"/>
      <c r="O74" s="442"/>
      <c r="P74" s="443"/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6</v>
      </c>
      <c r="B75" s="440"/>
      <c r="C75" s="98"/>
      <c r="D75" s="236"/>
      <c r="E75" s="233"/>
      <c r="F75" s="445"/>
      <c r="G75" s="446"/>
      <c r="H75" s="446"/>
      <c r="I75" s="446"/>
      <c r="J75" s="447"/>
      <c r="K75" s="431"/>
      <c r="L75" s="431"/>
      <c r="M75" s="51"/>
      <c r="N75" s="442"/>
      <c r="O75" s="442"/>
      <c r="P75" s="443"/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7</v>
      </c>
      <c r="B76" s="440"/>
      <c r="C76" s="98"/>
      <c r="D76" s="236"/>
      <c r="E76" s="233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8</v>
      </c>
      <c r="B77" s="440"/>
      <c r="C77" s="98"/>
      <c r="D77" s="236"/>
      <c r="E77" s="233"/>
      <c r="F77" s="441"/>
      <c r="G77" s="431"/>
      <c r="H77" s="431"/>
      <c r="I77" s="431"/>
      <c r="J77" s="431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9</v>
      </c>
      <c r="B78" s="440"/>
      <c r="C78" s="98"/>
      <c r="D78" s="236"/>
      <c r="E78" s="233"/>
      <c r="F78" s="441"/>
      <c r="G78" s="431"/>
      <c r="H78" s="431"/>
      <c r="I78" s="431"/>
      <c r="J78" s="431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10</v>
      </c>
      <c r="B79" s="440"/>
      <c r="C79" s="98"/>
      <c r="D79" s="236"/>
      <c r="E79" s="233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6.25" customHeight="1" thickBot="1">
      <c r="A80" s="411" t="s">
        <v>426</v>
      </c>
      <c r="B80" s="411"/>
      <c r="C80" s="411"/>
      <c r="D80" s="411"/>
      <c r="E80" s="411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33" t="s">
        <v>111</v>
      </c>
      <c r="B81" s="434"/>
      <c r="C81" s="235" t="s">
        <v>2</v>
      </c>
      <c r="D81" s="235" t="s">
        <v>37</v>
      </c>
      <c r="E81" s="235" t="s">
        <v>120</v>
      </c>
      <c r="F81" s="413" t="s">
        <v>38</v>
      </c>
      <c r="G81" s="413"/>
      <c r="H81" s="413"/>
      <c r="I81" s="413"/>
      <c r="J81" s="413"/>
      <c r="K81" s="435" t="s">
        <v>58</v>
      </c>
      <c r="L81" s="436"/>
      <c r="M81" s="436"/>
      <c r="N81" s="436"/>
      <c r="O81" s="436"/>
      <c r="P81" s="436"/>
      <c r="Q81" s="436"/>
      <c r="R81" s="436"/>
      <c r="S81" s="437"/>
      <c r="T81" s="413" t="s">
        <v>49</v>
      </c>
      <c r="U81" s="413"/>
      <c r="V81" s="435" t="s">
        <v>50</v>
      </c>
      <c r="W81" s="437"/>
      <c r="X81" s="436" t="s">
        <v>51</v>
      </c>
      <c r="Y81" s="436"/>
      <c r="Z81" s="436"/>
      <c r="AA81" s="436"/>
      <c r="AB81" s="436"/>
      <c r="AC81" s="436"/>
      <c r="AD81" s="438"/>
      <c r="AF81" s="50"/>
    </row>
    <row r="82" spans="1:32" ht="33.75" customHeight="1">
      <c r="A82" s="405">
        <v>1</v>
      </c>
      <c r="B82" s="406"/>
      <c r="C82" s="237"/>
      <c r="D82" s="237"/>
      <c r="E82" s="65"/>
      <c r="F82" s="420"/>
      <c r="G82" s="421"/>
      <c r="H82" s="421"/>
      <c r="I82" s="421"/>
      <c r="J82" s="422"/>
      <c r="K82" s="423"/>
      <c r="L82" s="424"/>
      <c r="M82" s="424"/>
      <c r="N82" s="424"/>
      <c r="O82" s="424"/>
      <c r="P82" s="424"/>
      <c r="Q82" s="424"/>
      <c r="R82" s="424"/>
      <c r="S82" s="425"/>
      <c r="T82" s="426"/>
      <c r="U82" s="427"/>
      <c r="V82" s="428"/>
      <c r="W82" s="428"/>
      <c r="X82" s="429"/>
      <c r="Y82" s="429"/>
      <c r="Z82" s="429"/>
      <c r="AA82" s="429"/>
      <c r="AB82" s="429"/>
      <c r="AC82" s="429"/>
      <c r="AD82" s="430"/>
      <c r="AF82" s="50"/>
    </row>
    <row r="83" spans="1:32" ht="30" customHeight="1">
      <c r="A83" s="398">
        <f>A82+1</f>
        <v>2</v>
      </c>
      <c r="B83" s="399"/>
      <c r="C83" s="236"/>
      <c r="D83" s="236"/>
      <c r="E83" s="32"/>
      <c r="F83" s="399"/>
      <c r="G83" s="399"/>
      <c r="H83" s="399"/>
      <c r="I83" s="399"/>
      <c r="J83" s="399"/>
      <c r="K83" s="414"/>
      <c r="L83" s="415"/>
      <c r="M83" s="415"/>
      <c r="N83" s="415"/>
      <c r="O83" s="415"/>
      <c r="P83" s="415"/>
      <c r="Q83" s="415"/>
      <c r="R83" s="415"/>
      <c r="S83" s="416"/>
      <c r="T83" s="417"/>
      <c r="U83" s="417"/>
      <c r="V83" s="417"/>
      <c r="W83" s="417"/>
      <c r="X83" s="418"/>
      <c r="Y83" s="418"/>
      <c r="Z83" s="418"/>
      <c r="AA83" s="418"/>
      <c r="AB83" s="418"/>
      <c r="AC83" s="418"/>
      <c r="AD83" s="419"/>
      <c r="AF83" s="50"/>
    </row>
    <row r="84" spans="1:32" ht="30" customHeight="1">
      <c r="A84" s="398">
        <f t="shared" ref="A84:A88" si="12">A83+1</f>
        <v>3</v>
      </c>
      <c r="B84" s="399"/>
      <c r="C84" s="236"/>
      <c r="D84" s="236"/>
      <c r="E84" s="32"/>
      <c r="F84" s="399"/>
      <c r="G84" s="399"/>
      <c r="H84" s="399"/>
      <c r="I84" s="399"/>
      <c r="J84" s="399"/>
      <c r="K84" s="414"/>
      <c r="L84" s="415"/>
      <c r="M84" s="415"/>
      <c r="N84" s="415"/>
      <c r="O84" s="415"/>
      <c r="P84" s="415"/>
      <c r="Q84" s="415"/>
      <c r="R84" s="415"/>
      <c r="S84" s="416"/>
      <c r="T84" s="417"/>
      <c r="U84" s="417"/>
      <c r="V84" s="417"/>
      <c r="W84" s="417"/>
      <c r="X84" s="418"/>
      <c r="Y84" s="418"/>
      <c r="Z84" s="418"/>
      <c r="AA84" s="418"/>
      <c r="AB84" s="418"/>
      <c r="AC84" s="418"/>
      <c r="AD84" s="419"/>
      <c r="AF84" s="50"/>
    </row>
    <row r="85" spans="1:32" ht="30" customHeight="1">
      <c r="A85" s="398">
        <f t="shared" si="12"/>
        <v>4</v>
      </c>
      <c r="B85" s="399"/>
      <c r="C85" s="236"/>
      <c r="D85" s="236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si="12"/>
        <v>5</v>
      </c>
      <c r="B86" s="399"/>
      <c r="C86" s="236"/>
      <c r="D86" s="236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12"/>
        <v>6</v>
      </c>
      <c r="B87" s="399"/>
      <c r="C87" s="236"/>
      <c r="D87" s="236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2"/>
        <v>7</v>
      </c>
      <c r="B88" s="399"/>
      <c r="C88" s="236"/>
      <c r="D88" s="236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6" thickBot="1">
      <c r="A89" s="411" t="s">
        <v>427</v>
      </c>
      <c r="B89" s="411"/>
      <c r="C89" s="411"/>
      <c r="D89" s="411"/>
      <c r="E89" s="411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12" t="s">
        <v>111</v>
      </c>
      <c r="B90" s="413"/>
      <c r="C90" s="403" t="s">
        <v>52</v>
      </c>
      <c r="D90" s="403"/>
      <c r="E90" s="403" t="s">
        <v>53</v>
      </c>
      <c r="F90" s="403"/>
      <c r="G90" s="403"/>
      <c r="H90" s="403"/>
      <c r="I90" s="403"/>
      <c r="J90" s="403"/>
      <c r="K90" s="403" t="s">
        <v>54</v>
      </c>
      <c r="L90" s="403"/>
      <c r="M90" s="403"/>
      <c r="N90" s="403"/>
      <c r="O90" s="403"/>
      <c r="P90" s="403"/>
      <c r="Q90" s="403"/>
      <c r="R90" s="403"/>
      <c r="S90" s="403"/>
      <c r="T90" s="403" t="s">
        <v>55</v>
      </c>
      <c r="U90" s="403"/>
      <c r="V90" s="403" t="s">
        <v>56</v>
      </c>
      <c r="W90" s="403"/>
      <c r="X90" s="403"/>
      <c r="Y90" s="403" t="s">
        <v>51</v>
      </c>
      <c r="Z90" s="403"/>
      <c r="AA90" s="403"/>
      <c r="AB90" s="403"/>
      <c r="AC90" s="403"/>
      <c r="AD90" s="404"/>
      <c r="AF90" s="50"/>
    </row>
    <row r="91" spans="1:32" ht="30.75" customHeight="1">
      <c r="A91" s="405">
        <v>1</v>
      </c>
      <c r="B91" s="406"/>
      <c r="C91" s="407"/>
      <c r="D91" s="407"/>
      <c r="E91" s="407"/>
      <c r="F91" s="407"/>
      <c r="G91" s="407"/>
      <c r="H91" s="407"/>
      <c r="I91" s="407"/>
      <c r="J91" s="407"/>
      <c r="K91" s="407"/>
      <c r="L91" s="407"/>
      <c r="M91" s="407"/>
      <c r="N91" s="407"/>
      <c r="O91" s="407"/>
      <c r="P91" s="407"/>
      <c r="Q91" s="407"/>
      <c r="R91" s="407"/>
      <c r="S91" s="407"/>
      <c r="T91" s="407"/>
      <c r="U91" s="407"/>
      <c r="V91" s="408"/>
      <c r="W91" s="408"/>
      <c r="X91" s="408"/>
      <c r="Y91" s="409"/>
      <c r="Z91" s="409"/>
      <c r="AA91" s="409"/>
      <c r="AB91" s="409"/>
      <c r="AC91" s="409"/>
      <c r="AD91" s="410"/>
      <c r="AF91" s="50"/>
    </row>
    <row r="92" spans="1:32" ht="30.75" customHeight="1">
      <c r="A92" s="398">
        <v>2</v>
      </c>
      <c r="B92" s="399"/>
      <c r="C92" s="400"/>
      <c r="D92" s="400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1"/>
      <c r="U92" s="401"/>
      <c r="V92" s="402"/>
      <c r="W92" s="402"/>
      <c r="X92" s="402"/>
      <c r="Y92" s="390"/>
      <c r="Z92" s="390"/>
      <c r="AA92" s="390"/>
      <c r="AB92" s="390"/>
      <c r="AC92" s="390"/>
      <c r="AD92" s="391"/>
      <c r="AF92" s="50"/>
    </row>
    <row r="93" spans="1:32" ht="30.75" customHeight="1" thickBot="1">
      <c r="A93" s="392">
        <v>3</v>
      </c>
      <c r="B93" s="393"/>
      <c r="C93" s="394"/>
      <c r="D93" s="394"/>
      <c r="E93" s="394"/>
      <c r="F93" s="394"/>
      <c r="G93" s="394"/>
      <c r="H93" s="394"/>
      <c r="I93" s="394"/>
      <c r="J93" s="394"/>
      <c r="K93" s="394"/>
      <c r="L93" s="394"/>
      <c r="M93" s="394"/>
      <c r="N93" s="394"/>
      <c r="O93" s="394"/>
      <c r="P93" s="394"/>
      <c r="Q93" s="394"/>
      <c r="R93" s="394"/>
      <c r="S93" s="394"/>
      <c r="T93" s="394"/>
      <c r="U93" s="394"/>
      <c r="V93" s="395"/>
      <c r="W93" s="395"/>
      <c r="X93" s="395"/>
      <c r="Y93" s="396"/>
      <c r="Z93" s="396"/>
      <c r="AA93" s="396"/>
      <c r="AB93" s="396"/>
      <c r="AC93" s="396"/>
      <c r="AD93" s="397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F569-9C78-4B05-93E8-832EA7F7E421}">
  <sheetPr codeName="Sheet12">
    <pageSetUpPr fitToPage="1"/>
  </sheetPr>
  <dimension ref="A1:AF93"/>
  <sheetViews>
    <sheetView view="pageBreakPreview" zoomScale="70" zoomScaleNormal="72" zoomScaleSheetLayoutView="70" workbookViewId="0">
      <selection activeCell="R76" sqref="R76:AA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428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225" t="s">
        <v>17</v>
      </c>
      <c r="L5" s="225" t="s">
        <v>18</v>
      </c>
      <c r="M5" s="225" t="s">
        <v>19</v>
      </c>
      <c r="N5" s="22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1880</v>
      </c>
      <c r="K6" s="15">
        <f>L6+5046+2812+7738+10312</f>
        <v>27788</v>
      </c>
      <c r="L6" s="15">
        <f>940*2</f>
        <v>1880</v>
      </c>
      <c r="M6" s="15">
        <f t="shared" ref="M6:M27" si="0">L6-N6</f>
        <v>1880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5</v>
      </c>
      <c r="Q6" s="40">
        <f t="shared" ref="Q6:Q27" si="3">SUM(R6:AA6)</f>
        <v>19</v>
      </c>
      <c r="R6" s="7"/>
      <c r="S6" s="6">
        <v>19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0.20833333333333334</v>
      </c>
      <c r="AD6" s="10">
        <f>AC6*AB6*(1-O6)</f>
        <v>0.20833333333333334</v>
      </c>
      <c r="AE6" s="36">
        <f t="shared" ref="AE6:AE27" si="6">$AD$28</f>
        <v>0.48863636363636365</v>
      </c>
      <c r="AF6" s="81">
        <f t="shared" ref="AF6:AF27" si="7">A6</f>
        <v>1</v>
      </c>
    </row>
    <row r="7" spans="1:32" ht="27" customHeight="1">
      <c r="A7" s="106">
        <v>2</v>
      </c>
      <c r="B7" s="11" t="s">
        <v>57</v>
      </c>
      <c r="C7" s="34" t="s">
        <v>163</v>
      </c>
      <c r="D7" s="52" t="s">
        <v>138</v>
      </c>
      <c r="E7" s="53" t="s">
        <v>179</v>
      </c>
      <c r="F7" s="30" t="s">
        <v>137</v>
      </c>
      <c r="G7" s="12">
        <v>1</v>
      </c>
      <c r="H7" s="13">
        <v>24</v>
      </c>
      <c r="I7" s="31">
        <v>30000</v>
      </c>
      <c r="J7" s="14">
        <v>6107</v>
      </c>
      <c r="K7" s="15">
        <f>L7+3491+6360+5775</f>
        <v>21733</v>
      </c>
      <c r="L7" s="15">
        <f>3066+3041</f>
        <v>6107</v>
      </c>
      <c r="M7" s="15">
        <f t="shared" si="0"/>
        <v>6107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7" si="8">AC7*AB7*(1-O7)</f>
        <v>1</v>
      </c>
      <c r="AE7" s="36">
        <f t="shared" si="6"/>
        <v>0.48863636363636365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115</v>
      </c>
      <c r="E8" s="53" t="s">
        <v>382</v>
      </c>
      <c r="F8" s="30" t="s">
        <v>168</v>
      </c>
      <c r="G8" s="12">
        <v>1</v>
      </c>
      <c r="H8" s="13">
        <v>22</v>
      </c>
      <c r="I8" s="31">
        <v>1000</v>
      </c>
      <c r="J8" s="5">
        <v>1559</v>
      </c>
      <c r="K8" s="15">
        <f>L8+1559</f>
        <v>1559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8"/>
        <v>0</v>
      </c>
      <c r="AE8" s="36">
        <f t="shared" si="6"/>
        <v>0.48863636363636365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257</v>
      </c>
      <c r="F9" s="30" t="s">
        <v>122</v>
      </c>
      <c r="G9" s="12">
        <v>1</v>
      </c>
      <c r="H9" s="13">
        <v>24</v>
      </c>
      <c r="I9" s="7">
        <v>50000</v>
      </c>
      <c r="J9" s="14">
        <v>5741</v>
      </c>
      <c r="K9" s="15">
        <f>L9+5224+5754+5666+3727+3282</f>
        <v>29394</v>
      </c>
      <c r="L9" s="15">
        <f>2881+2860</f>
        <v>5741</v>
      </c>
      <c r="M9" s="15">
        <f t="shared" si="0"/>
        <v>5741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0.48863636363636365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2266</v>
      </c>
      <c r="K10" s="15">
        <f>L10+5338+5669+5744+4980+3619+1932+309+2790+5660+4715+1739+3127+5884+1203+3638+5732+5658+5217+2430+1897+5596+5715+3707+799+2709</f>
        <v>98073</v>
      </c>
      <c r="L10" s="15">
        <f>2062+204</f>
        <v>2266</v>
      </c>
      <c r="M10" s="15">
        <f t="shared" si="0"/>
        <v>2266</v>
      </c>
      <c r="N10" s="15">
        <v>0</v>
      </c>
      <c r="O10" s="58">
        <f t="shared" si="1"/>
        <v>0</v>
      </c>
      <c r="P10" s="39">
        <f t="shared" si="2"/>
        <v>12</v>
      </c>
      <c r="Q10" s="40">
        <f t="shared" si="3"/>
        <v>12</v>
      </c>
      <c r="R10" s="7"/>
      <c r="S10" s="6">
        <v>12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</v>
      </c>
      <c r="AD10" s="10">
        <f t="shared" si="8"/>
        <v>0.5</v>
      </c>
      <c r="AE10" s="36">
        <f t="shared" si="6"/>
        <v>0.48863636363636365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138</v>
      </c>
      <c r="E11" s="53" t="s">
        <v>409</v>
      </c>
      <c r="F11" s="30" t="s">
        <v>123</v>
      </c>
      <c r="G11" s="33">
        <v>1</v>
      </c>
      <c r="H11" s="35">
        <v>24</v>
      </c>
      <c r="I11" s="7">
        <v>100</v>
      </c>
      <c r="J11" s="14">
        <v>2109</v>
      </c>
      <c r="K11" s="15">
        <f>L11+2109</f>
        <v>2109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8"/>
        <v>0</v>
      </c>
      <c r="AE11" s="36">
        <f t="shared" si="6"/>
        <v>0.48863636363636365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222</v>
      </c>
      <c r="F12" s="30" t="s">
        <v>205</v>
      </c>
      <c r="G12" s="12">
        <v>1</v>
      </c>
      <c r="H12" s="13">
        <v>22</v>
      </c>
      <c r="I12" s="31">
        <v>20000</v>
      </c>
      <c r="J12" s="5">
        <v>3965</v>
      </c>
      <c r="K12" s="15">
        <f>L12</f>
        <v>3965</v>
      </c>
      <c r="L12" s="15">
        <f>1431+2534</f>
        <v>3965</v>
      </c>
      <c r="M12" s="15">
        <f t="shared" si="0"/>
        <v>3965</v>
      </c>
      <c r="N12" s="15">
        <v>0</v>
      </c>
      <c r="O12" s="58">
        <f t="shared" si="1"/>
        <v>0</v>
      </c>
      <c r="P12" s="39">
        <f t="shared" si="2"/>
        <v>18</v>
      </c>
      <c r="Q12" s="40">
        <f t="shared" si="3"/>
        <v>6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6</v>
      </c>
      <c r="AB12" s="8">
        <f t="shared" si="4"/>
        <v>1</v>
      </c>
      <c r="AC12" s="9">
        <f t="shared" si="5"/>
        <v>0.75</v>
      </c>
      <c r="AD12" s="10">
        <f t="shared" si="8"/>
        <v>0.75</v>
      </c>
      <c r="AE12" s="36">
        <f t="shared" si="6"/>
        <v>0.48863636363636365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126</v>
      </c>
      <c r="D13" s="52"/>
      <c r="E13" s="53" t="s">
        <v>304</v>
      </c>
      <c r="F13" s="30" t="s">
        <v>122</v>
      </c>
      <c r="G13" s="33">
        <v>1</v>
      </c>
      <c r="H13" s="35">
        <v>22</v>
      </c>
      <c r="I13" s="7">
        <v>12000</v>
      </c>
      <c r="J13" s="14">
        <v>3533</v>
      </c>
      <c r="K13" s="15">
        <f>L13+3169+4592+2342+4452</f>
        <v>18088</v>
      </c>
      <c r="L13" s="15">
        <f>1239+2294</f>
        <v>3533</v>
      </c>
      <c r="M13" s="15">
        <f t="shared" si="0"/>
        <v>3533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 t="shared" si="8"/>
        <v>0.83333333333333337</v>
      </c>
      <c r="AE13" s="36">
        <f t="shared" si="6"/>
        <v>0.48863636363636365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322</v>
      </c>
      <c r="F14" s="30" t="s">
        <v>305</v>
      </c>
      <c r="G14" s="33">
        <v>1</v>
      </c>
      <c r="H14" s="35">
        <v>50</v>
      </c>
      <c r="I14" s="7">
        <v>1200</v>
      </c>
      <c r="J14" s="5">
        <v>1172</v>
      </c>
      <c r="K14" s="15">
        <f>L14+1901+1172</f>
        <v>3073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0.48863636363636365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138</v>
      </c>
      <c r="E15" s="53" t="s">
        <v>147</v>
      </c>
      <c r="F15" s="30" t="s">
        <v>139</v>
      </c>
      <c r="G15" s="12">
        <v>2</v>
      </c>
      <c r="H15" s="13">
        <v>24</v>
      </c>
      <c r="I15" s="31">
        <v>45000</v>
      </c>
      <c r="J15" s="14">
        <v>6210</v>
      </c>
      <c r="K15" s="15">
        <f>L15+11556+1152+11338</f>
        <v>30256</v>
      </c>
      <c r="L15" s="15">
        <f>2320*2+785*2</f>
        <v>6210</v>
      </c>
      <c r="M15" s="15">
        <f t="shared" si="0"/>
        <v>6210</v>
      </c>
      <c r="N15" s="15">
        <v>0</v>
      </c>
      <c r="O15" s="58">
        <f t="shared" si="1"/>
        <v>0</v>
      </c>
      <c r="P15" s="39">
        <f t="shared" si="2"/>
        <v>16</v>
      </c>
      <c r="Q15" s="40">
        <f t="shared" si="3"/>
        <v>8</v>
      </c>
      <c r="R15" s="7"/>
      <c r="S15" s="6">
        <v>8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0.66666666666666663</v>
      </c>
      <c r="AD15" s="10">
        <f t="shared" si="8"/>
        <v>0.66666666666666663</v>
      </c>
      <c r="AE15" s="36">
        <f t="shared" si="6"/>
        <v>0.48863636363636365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404</v>
      </c>
      <c r="D16" s="52"/>
      <c r="E16" s="53" t="s">
        <v>403</v>
      </c>
      <c r="F16" s="30" t="s">
        <v>410</v>
      </c>
      <c r="G16" s="12">
        <v>28</v>
      </c>
      <c r="H16" s="13">
        <v>22</v>
      </c>
      <c r="I16" s="31">
        <v>500000</v>
      </c>
      <c r="J16" s="5">
        <v>275250</v>
      </c>
      <c r="K16" s="15">
        <f>L16+288176</f>
        <v>563426</v>
      </c>
      <c r="L16" s="15">
        <f>5260*25+5750*25</f>
        <v>275250</v>
      </c>
      <c r="M16" s="15">
        <f t="shared" si="0"/>
        <v>275250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0.48863636363636365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116</v>
      </c>
      <c r="D17" s="52" t="s">
        <v>138</v>
      </c>
      <c r="E17" s="53" t="s">
        <v>337</v>
      </c>
      <c r="F17" s="30" t="s">
        <v>204</v>
      </c>
      <c r="G17" s="12">
        <v>1</v>
      </c>
      <c r="H17" s="13">
        <v>24</v>
      </c>
      <c r="I17" s="7">
        <v>700</v>
      </c>
      <c r="J17" s="14">
        <v>1225</v>
      </c>
      <c r="K17" s="15">
        <f>L17+1225</f>
        <v>1225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0.48863636363636365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127</v>
      </c>
      <c r="E18" s="53" t="s">
        <v>429</v>
      </c>
      <c r="F18" s="30" t="s">
        <v>123</v>
      </c>
      <c r="G18" s="12">
        <v>1</v>
      </c>
      <c r="H18" s="13">
        <v>22</v>
      </c>
      <c r="I18" s="31">
        <v>20000</v>
      </c>
      <c r="J18" s="5">
        <v>3360</v>
      </c>
      <c r="K18" s="15">
        <f>L18</f>
        <v>3360</v>
      </c>
      <c r="L18" s="15">
        <f>550+2810</f>
        <v>3360</v>
      </c>
      <c r="M18" s="15">
        <f t="shared" si="0"/>
        <v>3360</v>
      </c>
      <c r="N18" s="15">
        <v>0</v>
      </c>
      <c r="O18" s="58">
        <f t="shared" si="1"/>
        <v>0</v>
      </c>
      <c r="P18" s="39">
        <f t="shared" si="2"/>
        <v>17</v>
      </c>
      <c r="Q18" s="40">
        <f t="shared" si="3"/>
        <v>7</v>
      </c>
      <c r="R18" s="7"/>
      <c r="S18" s="6">
        <v>7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0.70833333333333337</v>
      </c>
      <c r="AD18" s="10">
        <f t="shared" si="8"/>
        <v>0.70833333333333337</v>
      </c>
      <c r="AE18" s="36">
        <f t="shared" si="6"/>
        <v>0.48863636363636365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112</v>
      </c>
      <c r="D19" s="52" t="s">
        <v>159</v>
      </c>
      <c r="E19" s="53" t="s">
        <v>173</v>
      </c>
      <c r="F19" s="30" t="s">
        <v>123</v>
      </c>
      <c r="G19" s="33">
        <v>1</v>
      </c>
      <c r="H19" s="35">
        <v>24</v>
      </c>
      <c r="I19" s="7">
        <v>35000</v>
      </c>
      <c r="J19" s="14">
        <v>2019</v>
      </c>
      <c r="K19" s="15">
        <f>L19+2187+4152+5440+5251+5627+5544+3270+2848+1154</f>
        <v>37492</v>
      </c>
      <c r="L19" s="15">
        <f>2019</f>
        <v>2019</v>
      </c>
      <c r="M19" s="15">
        <f t="shared" si="0"/>
        <v>2019</v>
      </c>
      <c r="N19" s="15">
        <v>0</v>
      </c>
      <c r="O19" s="58">
        <f t="shared" si="1"/>
        <v>0</v>
      </c>
      <c r="P19" s="39">
        <f t="shared" si="2"/>
        <v>11</v>
      </c>
      <c r="Q19" s="40">
        <f t="shared" si="3"/>
        <v>13</v>
      </c>
      <c r="R19" s="7"/>
      <c r="S19" s="6">
        <v>13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0.45833333333333331</v>
      </c>
      <c r="AD19" s="10">
        <f t="shared" si="8"/>
        <v>0.45833333333333331</v>
      </c>
      <c r="AE19" s="36">
        <f t="shared" si="6"/>
        <v>0.48863636363636365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126</v>
      </c>
      <c r="D20" s="52" t="s">
        <v>115</v>
      </c>
      <c r="E20" s="53" t="s">
        <v>327</v>
      </c>
      <c r="F20" s="30" t="s">
        <v>136</v>
      </c>
      <c r="G20" s="33">
        <v>1</v>
      </c>
      <c r="H20" s="35">
        <v>24</v>
      </c>
      <c r="I20" s="7">
        <v>50000</v>
      </c>
      <c r="J20" s="14">
        <v>5587</v>
      </c>
      <c r="K20" s="15">
        <f>L20+5271+5293+1299+4454</f>
        <v>21904</v>
      </c>
      <c r="L20" s="15">
        <f>2783+2804</f>
        <v>5587</v>
      </c>
      <c r="M20" s="15">
        <f t="shared" si="0"/>
        <v>5587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0.48863636363636365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146</v>
      </c>
      <c r="F21" s="12" t="s">
        <v>114</v>
      </c>
      <c r="G21" s="12">
        <v>3</v>
      </c>
      <c r="H21" s="35">
        <v>20</v>
      </c>
      <c r="I21" s="7">
        <v>2000000</v>
      </c>
      <c r="J21" s="14">
        <v>57172</v>
      </c>
      <c r="K21" s="15">
        <f>L21</f>
        <v>57172</v>
      </c>
      <c r="L21" s="15">
        <f>6272*4+8021*4</f>
        <v>57172</v>
      </c>
      <c r="M21" s="15">
        <f t="shared" si="0"/>
        <v>57172</v>
      </c>
      <c r="N21" s="15">
        <v>0</v>
      </c>
      <c r="O21" s="58">
        <f t="shared" si="1"/>
        <v>0</v>
      </c>
      <c r="P21" s="39">
        <f t="shared" si="2"/>
        <v>22</v>
      </c>
      <c r="Q21" s="40">
        <f t="shared" si="3"/>
        <v>2</v>
      </c>
      <c r="R21" s="7"/>
      <c r="S21" s="6"/>
      <c r="T21" s="16">
        <v>2</v>
      </c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0.91666666666666663</v>
      </c>
      <c r="AD21" s="10">
        <f t="shared" si="8"/>
        <v>0.91666666666666663</v>
      </c>
      <c r="AE21" s="36">
        <f t="shared" si="6"/>
        <v>0.48863636363636365</v>
      </c>
      <c r="AF21" s="81">
        <f t="shared" si="7"/>
        <v>16</v>
      </c>
    </row>
    <row r="22" spans="1:32" ht="21.75" customHeight="1">
      <c r="A22" s="92">
        <v>31</v>
      </c>
      <c r="B22" s="11" t="s">
        <v>57</v>
      </c>
      <c r="C22" s="11" t="s">
        <v>116</v>
      </c>
      <c r="D22" s="52" t="s">
        <v>115</v>
      </c>
      <c r="E22" s="53" t="s">
        <v>149</v>
      </c>
      <c r="F22" s="12" t="s">
        <v>136</v>
      </c>
      <c r="G22" s="12">
        <v>4</v>
      </c>
      <c r="H22" s="35">
        <v>20</v>
      </c>
      <c r="I22" s="7">
        <v>70000</v>
      </c>
      <c r="J22" s="14">
        <v>22300</v>
      </c>
      <c r="K22" s="15">
        <f>L22+22300</f>
        <v>22300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0.48863636363636365</v>
      </c>
      <c r="AF22" s="81">
        <f t="shared" si="7"/>
        <v>31</v>
      </c>
    </row>
    <row r="23" spans="1:32" ht="21.75" customHeight="1">
      <c r="A23" s="92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" si="9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0.48863636363636365</v>
      </c>
      <c r="AF23" s="81">
        <f t="shared" si="7"/>
        <v>32</v>
      </c>
    </row>
    <row r="24" spans="1:32" ht="21.75" customHeight="1">
      <c r="A24" s="92">
        <v>33</v>
      </c>
      <c r="B24" s="11" t="s">
        <v>57</v>
      </c>
      <c r="C24" s="11" t="s">
        <v>116</v>
      </c>
      <c r="D24" s="52" t="s">
        <v>142</v>
      </c>
      <c r="E24" s="53" t="s">
        <v>151</v>
      </c>
      <c r="F24" s="12" t="s">
        <v>123</v>
      </c>
      <c r="G24" s="12">
        <v>3</v>
      </c>
      <c r="H24" s="35">
        <v>20</v>
      </c>
      <c r="I24" s="7">
        <v>70000</v>
      </c>
      <c r="J24" s="14">
        <v>18372</v>
      </c>
      <c r="K24" s="15">
        <f>L24+22125+9744</f>
        <v>50241</v>
      </c>
      <c r="L24" s="15">
        <f>2688*3+3436*3</f>
        <v>18372</v>
      </c>
      <c r="M24" s="15">
        <f t="shared" si="0"/>
        <v>18372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114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8"/>
        <v>1</v>
      </c>
      <c r="AE24" s="36">
        <f t="shared" si="6"/>
        <v>0.48863636363636365</v>
      </c>
      <c r="AF24" s="81">
        <f t="shared" si="7"/>
        <v>33</v>
      </c>
    </row>
    <row r="25" spans="1:32" ht="21.75" customHeight="1">
      <c r="A25" s="92">
        <v>34</v>
      </c>
      <c r="B25" s="11" t="s">
        <v>57</v>
      </c>
      <c r="C25" s="11" t="s">
        <v>116</v>
      </c>
      <c r="D25" s="52" t="s">
        <v>127</v>
      </c>
      <c r="E25" s="53" t="s">
        <v>148</v>
      </c>
      <c r="F25" s="12" t="s">
        <v>124</v>
      </c>
      <c r="G25" s="12">
        <v>4</v>
      </c>
      <c r="H25" s="35">
        <v>20</v>
      </c>
      <c r="I25" s="7">
        <v>70000</v>
      </c>
      <c r="J25" s="14">
        <v>16448</v>
      </c>
      <c r="K25" s="15">
        <f>L25</f>
        <v>16448</v>
      </c>
      <c r="L25" s="15">
        <f>880*4+3232*4</f>
        <v>16448</v>
      </c>
      <c r="M25" s="15">
        <f t="shared" si="0"/>
        <v>16448</v>
      </c>
      <c r="N25" s="15">
        <v>0</v>
      </c>
      <c r="O25" s="58">
        <f t="shared" si="1"/>
        <v>0</v>
      </c>
      <c r="P25" s="39">
        <f t="shared" si="2"/>
        <v>17</v>
      </c>
      <c r="Q25" s="40">
        <f t="shared" si="3"/>
        <v>7</v>
      </c>
      <c r="R25" s="7"/>
      <c r="S25" s="6"/>
      <c r="T25" s="16">
        <v>7</v>
      </c>
      <c r="U25" s="16"/>
      <c r="V25" s="114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0.70833333333333337</v>
      </c>
      <c r="AD25" s="10">
        <f t="shared" si="8"/>
        <v>0.70833333333333337</v>
      </c>
      <c r="AE25" s="36">
        <f t="shared" si="6"/>
        <v>0.48863636363636365</v>
      </c>
      <c r="AF25" s="81">
        <f t="shared" si="7"/>
        <v>34</v>
      </c>
    </row>
    <row r="26" spans="1:32" ht="21.75" customHeight="1">
      <c r="A26" s="92">
        <v>35</v>
      </c>
      <c r="B26" s="11" t="s">
        <v>57</v>
      </c>
      <c r="C26" s="11" t="s">
        <v>116</v>
      </c>
      <c r="D26" s="52" t="s">
        <v>121</v>
      </c>
      <c r="E26" s="53" t="s">
        <v>125</v>
      </c>
      <c r="F26" s="12" t="s">
        <v>124</v>
      </c>
      <c r="G26" s="12">
        <v>4</v>
      </c>
      <c r="H26" s="35">
        <v>20</v>
      </c>
      <c r="I26" s="7">
        <v>50000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0.48863636363636365</v>
      </c>
      <c r="AF26" s="81">
        <f t="shared" si="7"/>
        <v>35</v>
      </c>
    </row>
    <row r="27" spans="1:32" ht="21.75" customHeight="1" thickBot="1">
      <c r="A27" s="92">
        <v>36</v>
      </c>
      <c r="B27" s="11" t="s">
        <v>57</v>
      </c>
      <c r="C27" s="11" t="s">
        <v>113</v>
      </c>
      <c r="D27" s="52"/>
      <c r="E27" s="53" t="s">
        <v>150</v>
      </c>
      <c r="F27" s="12" t="s">
        <v>114</v>
      </c>
      <c r="G27" s="12">
        <v>4</v>
      </c>
      <c r="H27" s="35">
        <v>20</v>
      </c>
      <c r="I27" s="7">
        <v>1000000</v>
      </c>
      <c r="J27" s="14">
        <v>79328</v>
      </c>
      <c r="K27" s="15">
        <f>L27+28388+70816+76368+81764+83428+47688+53180+83092+82192+79328</f>
        <v>686244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>
        <v>24</v>
      </c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0.48863636363636365</v>
      </c>
      <c r="AF27" s="81">
        <f t="shared" si="7"/>
        <v>36</v>
      </c>
    </row>
    <row r="28" spans="1:32" ht="19.5" thickBot="1">
      <c r="A28" s="478" t="s">
        <v>34</v>
      </c>
      <c r="B28" s="479"/>
      <c r="C28" s="479"/>
      <c r="D28" s="479"/>
      <c r="E28" s="479"/>
      <c r="F28" s="479"/>
      <c r="G28" s="479"/>
      <c r="H28" s="480"/>
      <c r="I28" s="22">
        <f t="shared" ref="I28:N28" si="10">SUM(I6:I27)</f>
        <v>4160000</v>
      </c>
      <c r="J28" s="19">
        <f t="shared" si="10"/>
        <v>542547</v>
      </c>
      <c r="K28" s="20">
        <f t="shared" si="10"/>
        <v>1769102</v>
      </c>
      <c r="L28" s="21">
        <f t="shared" si="10"/>
        <v>407910</v>
      </c>
      <c r="M28" s="20">
        <f t="shared" si="10"/>
        <v>407910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258</v>
      </c>
      <c r="Q28" s="43">
        <f t="shared" si="11"/>
        <v>270</v>
      </c>
      <c r="R28" s="23">
        <f t="shared" si="11"/>
        <v>0</v>
      </c>
      <c r="S28" s="24">
        <f t="shared" si="11"/>
        <v>63</v>
      </c>
      <c r="T28" s="24">
        <f t="shared" si="11"/>
        <v>9</v>
      </c>
      <c r="U28" s="24">
        <f t="shared" si="11"/>
        <v>0</v>
      </c>
      <c r="V28" s="25">
        <f t="shared" si="11"/>
        <v>48</v>
      </c>
      <c r="W28" s="26">
        <f t="shared" si="11"/>
        <v>48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102</v>
      </c>
      <c r="AB28" s="28">
        <f>AVERAGE(AB6:AB27)</f>
        <v>0.66666666666666663</v>
      </c>
      <c r="AC28" s="4">
        <f>AVERAGE(AC6:AC27)</f>
        <v>0.48863636363636365</v>
      </c>
      <c r="AD28" s="4">
        <f>AVERAGE(AD6:AD27)</f>
        <v>0.48863636363636365</v>
      </c>
      <c r="AE28" s="29"/>
    </row>
    <row r="29" spans="1:32">
      <c r="T29" s="50" t="s">
        <v>128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129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81" t="s">
        <v>45</v>
      </c>
      <c r="B55" s="481"/>
      <c r="C55" s="481"/>
      <c r="D55" s="481"/>
      <c r="E55" s="48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82" t="s">
        <v>444</v>
      </c>
      <c r="B56" s="483"/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4"/>
      <c r="N56" s="485" t="s">
        <v>445</v>
      </c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7"/>
    </row>
    <row r="57" spans="1:32" ht="27" customHeight="1">
      <c r="A57" s="488" t="s">
        <v>2</v>
      </c>
      <c r="B57" s="489"/>
      <c r="C57" s="226" t="s">
        <v>46</v>
      </c>
      <c r="D57" s="226" t="s">
        <v>47</v>
      </c>
      <c r="E57" s="226" t="s">
        <v>107</v>
      </c>
      <c r="F57" s="490" t="s">
        <v>106</v>
      </c>
      <c r="G57" s="491"/>
      <c r="H57" s="491"/>
      <c r="I57" s="491"/>
      <c r="J57" s="491"/>
      <c r="K57" s="491"/>
      <c r="L57" s="491"/>
      <c r="M57" s="492"/>
      <c r="N57" s="67" t="s">
        <v>110</v>
      </c>
      <c r="O57" s="226" t="s">
        <v>46</v>
      </c>
      <c r="P57" s="490" t="s">
        <v>47</v>
      </c>
      <c r="Q57" s="493"/>
      <c r="R57" s="490" t="s">
        <v>38</v>
      </c>
      <c r="S57" s="491"/>
      <c r="T57" s="491"/>
      <c r="U57" s="493"/>
      <c r="V57" s="490" t="s">
        <v>48</v>
      </c>
      <c r="W57" s="491"/>
      <c r="X57" s="491"/>
      <c r="Y57" s="491"/>
      <c r="Z57" s="491"/>
      <c r="AA57" s="491"/>
      <c r="AB57" s="491"/>
      <c r="AC57" s="491"/>
      <c r="AD57" s="492"/>
    </row>
    <row r="58" spans="1:32" ht="27" customHeight="1">
      <c r="A58" s="455" t="s">
        <v>116</v>
      </c>
      <c r="B58" s="456"/>
      <c r="C58" s="227" t="s">
        <v>164</v>
      </c>
      <c r="D58" s="227" t="s">
        <v>127</v>
      </c>
      <c r="E58" s="229" t="s">
        <v>417</v>
      </c>
      <c r="F58" s="457" t="s">
        <v>430</v>
      </c>
      <c r="G58" s="458"/>
      <c r="H58" s="458"/>
      <c r="I58" s="458"/>
      <c r="J58" s="458"/>
      <c r="K58" s="458"/>
      <c r="L58" s="458"/>
      <c r="M58" s="459"/>
      <c r="N58" s="228" t="s">
        <v>112</v>
      </c>
      <c r="O58" s="234" t="s">
        <v>286</v>
      </c>
      <c r="P58" s="472" t="s">
        <v>121</v>
      </c>
      <c r="Q58" s="473"/>
      <c r="R58" s="472" t="s">
        <v>152</v>
      </c>
      <c r="S58" s="474"/>
      <c r="T58" s="474"/>
      <c r="U58" s="473"/>
      <c r="V58" s="461" t="s">
        <v>144</v>
      </c>
      <c r="W58" s="462"/>
      <c r="X58" s="462"/>
      <c r="Y58" s="462"/>
      <c r="Z58" s="462"/>
      <c r="AA58" s="462"/>
      <c r="AB58" s="462"/>
      <c r="AC58" s="462"/>
      <c r="AD58" s="463"/>
    </row>
    <row r="59" spans="1:32" ht="27" customHeight="1">
      <c r="A59" s="455" t="s">
        <v>112</v>
      </c>
      <c r="B59" s="456"/>
      <c r="C59" s="244" t="s">
        <v>225</v>
      </c>
      <c r="D59" s="244" t="s">
        <v>159</v>
      </c>
      <c r="E59" s="245" t="s">
        <v>173</v>
      </c>
      <c r="F59" s="457" t="s">
        <v>314</v>
      </c>
      <c r="G59" s="458"/>
      <c r="H59" s="458"/>
      <c r="I59" s="458"/>
      <c r="J59" s="458"/>
      <c r="K59" s="458"/>
      <c r="L59" s="458"/>
      <c r="M59" s="459"/>
      <c r="N59" s="228" t="s">
        <v>450</v>
      </c>
      <c r="O59" s="234" t="s">
        <v>451</v>
      </c>
      <c r="P59" s="472" t="s">
        <v>439</v>
      </c>
      <c r="Q59" s="473"/>
      <c r="R59" s="472" t="s">
        <v>446</v>
      </c>
      <c r="S59" s="474"/>
      <c r="T59" s="474"/>
      <c r="U59" s="473"/>
      <c r="V59" s="461" t="s">
        <v>447</v>
      </c>
      <c r="W59" s="462"/>
      <c r="X59" s="462"/>
      <c r="Y59" s="462"/>
      <c r="Z59" s="462"/>
      <c r="AA59" s="462"/>
      <c r="AB59" s="462"/>
      <c r="AC59" s="462"/>
      <c r="AD59" s="463"/>
    </row>
    <row r="60" spans="1:32" ht="27" customHeight="1">
      <c r="A60" s="455" t="s">
        <v>112</v>
      </c>
      <c r="B60" s="456"/>
      <c r="C60" s="227" t="s">
        <v>286</v>
      </c>
      <c r="D60" s="227" t="s">
        <v>121</v>
      </c>
      <c r="E60" s="229" t="s">
        <v>152</v>
      </c>
      <c r="F60" s="457" t="s">
        <v>431</v>
      </c>
      <c r="G60" s="458"/>
      <c r="H60" s="458"/>
      <c r="I60" s="458"/>
      <c r="J60" s="458"/>
      <c r="K60" s="458"/>
      <c r="L60" s="458"/>
      <c r="M60" s="459"/>
      <c r="N60" s="228" t="s">
        <v>112</v>
      </c>
      <c r="O60" s="234" t="s">
        <v>453</v>
      </c>
      <c r="P60" s="472" t="s">
        <v>452</v>
      </c>
      <c r="Q60" s="473"/>
      <c r="R60" s="472" t="s">
        <v>448</v>
      </c>
      <c r="S60" s="474"/>
      <c r="T60" s="474"/>
      <c r="U60" s="473"/>
      <c r="V60" s="461" t="s">
        <v>437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126</v>
      </c>
      <c r="B61" s="456"/>
      <c r="C61" s="227" t="s">
        <v>140</v>
      </c>
      <c r="D61" s="227" t="s">
        <v>127</v>
      </c>
      <c r="E61" s="229" t="s">
        <v>432</v>
      </c>
      <c r="F61" s="457" t="s">
        <v>433</v>
      </c>
      <c r="G61" s="458"/>
      <c r="H61" s="458"/>
      <c r="I61" s="458"/>
      <c r="J61" s="458"/>
      <c r="K61" s="458"/>
      <c r="L61" s="458"/>
      <c r="M61" s="459"/>
      <c r="N61" s="228" t="s">
        <v>454</v>
      </c>
      <c r="O61" s="234" t="s">
        <v>455</v>
      </c>
      <c r="P61" s="472" t="s">
        <v>456</v>
      </c>
      <c r="Q61" s="473"/>
      <c r="R61" s="472" t="s">
        <v>449</v>
      </c>
      <c r="S61" s="474"/>
      <c r="T61" s="474"/>
      <c r="U61" s="473"/>
      <c r="V61" s="461" t="s">
        <v>447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112</v>
      </c>
      <c r="B62" s="456"/>
      <c r="C62" s="227" t="s">
        <v>434</v>
      </c>
      <c r="D62" s="227" t="s">
        <v>435</v>
      </c>
      <c r="E62" s="229" t="s">
        <v>436</v>
      </c>
      <c r="F62" s="457" t="s">
        <v>437</v>
      </c>
      <c r="G62" s="458"/>
      <c r="H62" s="458"/>
      <c r="I62" s="458"/>
      <c r="J62" s="458"/>
      <c r="K62" s="458"/>
      <c r="L62" s="458"/>
      <c r="M62" s="459"/>
      <c r="N62" s="228" t="s">
        <v>112</v>
      </c>
      <c r="O62" s="234" t="s">
        <v>458</v>
      </c>
      <c r="P62" s="472" t="s">
        <v>439</v>
      </c>
      <c r="Q62" s="473"/>
      <c r="R62" s="472" t="s">
        <v>457</v>
      </c>
      <c r="S62" s="474"/>
      <c r="T62" s="474"/>
      <c r="U62" s="473"/>
      <c r="V62" s="461" t="s">
        <v>447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116</v>
      </c>
      <c r="B63" s="456"/>
      <c r="C63" s="227" t="s">
        <v>438</v>
      </c>
      <c r="D63" s="227" t="s">
        <v>439</v>
      </c>
      <c r="E63" s="229" t="s">
        <v>440</v>
      </c>
      <c r="F63" s="457" t="s">
        <v>437</v>
      </c>
      <c r="G63" s="458"/>
      <c r="H63" s="458"/>
      <c r="I63" s="458"/>
      <c r="J63" s="458"/>
      <c r="K63" s="458"/>
      <c r="L63" s="458"/>
      <c r="M63" s="459"/>
      <c r="N63" s="228"/>
      <c r="O63" s="234"/>
      <c r="P63" s="472"/>
      <c r="Q63" s="473"/>
      <c r="R63" s="472"/>
      <c r="S63" s="474"/>
      <c r="T63" s="474"/>
      <c r="U63" s="473"/>
      <c r="V63" s="461"/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442</v>
      </c>
      <c r="B64" s="456"/>
      <c r="C64" s="227" t="s">
        <v>443</v>
      </c>
      <c r="D64" s="227"/>
      <c r="E64" s="229" t="s">
        <v>441</v>
      </c>
      <c r="F64" s="457" t="s">
        <v>187</v>
      </c>
      <c r="G64" s="458"/>
      <c r="H64" s="458"/>
      <c r="I64" s="458"/>
      <c r="J64" s="458"/>
      <c r="K64" s="458"/>
      <c r="L64" s="458"/>
      <c r="M64" s="459"/>
      <c r="N64" s="228"/>
      <c r="O64" s="234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/>
      <c r="B65" s="456"/>
      <c r="C65" s="227"/>
      <c r="D65" s="227"/>
      <c r="E65" s="229"/>
      <c r="F65" s="457"/>
      <c r="G65" s="458"/>
      <c r="H65" s="458"/>
      <c r="I65" s="458"/>
      <c r="J65" s="458"/>
      <c r="K65" s="458"/>
      <c r="L65" s="458"/>
      <c r="M65" s="459"/>
      <c r="N65" s="228"/>
      <c r="O65" s="234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227"/>
      <c r="D66" s="227"/>
      <c r="E66" s="229"/>
      <c r="F66" s="457"/>
      <c r="G66" s="458"/>
      <c r="H66" s="458"/>
      <c r="I66" s="458"/>
      <c r="J66" s="458"/>
      <c r="K66" s="458"/>
      <c r="L66" s="458"/>
      <c r="M66" s="459"/>
      <c r="N66" s="228"/>
      <c r="O66" s="234"/>
      <c r="P66" s="460"/>
      <c r="Q66" s="460"/>
      <c r="R66" s="460"/>
      <c r="S66" s="460"/>
      <c r="T66" s="460"/>
      <c r="U66" s="460"/>
      <c r="V66" s="461"/>
      <c r="W66" s="462"/>
      <c r="X66" s="462"/>
      <c r="Y66" s="462"/>
      <c r="Z66" s="462"/>
      <c r="AA66" s="462"/>
      <c r="AB66" s="462"/>
      <c r="AC66" s="462"/>
      <c r="AD66" s="463"/>
      <c r="AF66" s="81">
        <f>8*3000</f>
        <v>24000</v>
      </c>
    </row>
    <row r="67" spans="1:32" ht="27" customHeight="1" thickBot="1">
      <c r="A67" s="464"/>
      <c r="B67" s="465"/>
      <c r="C67" s="230"/>
      <c r="D67" s="231"/>
      <c r="E67" s="230"/>
      <c r="F67" s="466"/>
      <c r="G67" s="467"/>
      <c r="H67" s="467"/>
      <c r="I67" s="467"/>
      <c r="J67" s="467"/>
      <c r="K67" s="467"/>
      <c r="L67" s="467"/>
      <c r="M67" s="468"/>
      <c r="N67" s="105"/>
      <c r="O67" s="97"/>
      <c r="P67" s="469"/>
      <c r="Q67" s="469"/>
      <c r="R67" s="469"/>
      <c r="S67" s="469"/>
      <c r="T67" s="469"/>
      <c r="U67" s="469"/>
      <c r="V67" s="470"/>
      <c r="W67" s="470"/>
      <c r="X67" s="470"/>
      <c r="Y67" s="470"/>
      <c r="Z67" s="470"/>
      <c r="AA67" s="470"/>
      <c r="AB67" s="470"/>
      <c r="AC67" s="470"/>
      <c r="AD67" s="471"/>
      <c r="AF67" s="81">
        <f>16*3000</f>
        <v>48000</v>
      </c>
    </row>
    <row r="68" spans="1:32" ht="27.75" thickBot="1">
      <c r="A68" s="453" t="s">
        <v>459</v>
      </c>
      <c r="B68" s="453"/>
      <c r="C68" s="453"/>
      <c r="D68" s="453"/>
      <c r="E68" s="453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54" t="s">
        <v>111</v>
      </c>
      <c r="B69" s="451"/>
      <c r="C69" s="232" t="s">
        <v>2</v>
      </c>
      <c r="D69" s="232" t="s">
        <v>37</v>
      </c>
      <c r="E69" s="232" t="s">
        <v>3</v>
      </c>
      <c r="F69" s="451" t="s">
        <v>109</v>
      </c>
      <c r="G69" s="451"/>
      <c r="H69" s="451"/>
      <c r="I69" s="451"/>
      <c r="J69" s="451"/>
      <c r="K69" s="451" t="s">
        <v>39</v>
      </c>
      <c r="L69" s="451"/>
      <c r="M69" s="232" t="s">
        <v>40</v>
      </c>
      <c r="N69" s="451" t="s">
        <v>41</v>
      </c>
      <c r="O69" s="451"/>
      <c r="P69" s="448" t="s">
        <v>42</v>
      </c>
      <c r="Q69" s="450"/>
      <c r="R69" s="448" t="s">
        <v>43</v>
      </c>
      <c r="S69" s="449"/>
      <c r="T69" s="449"/>
      <c r="U69" s="449"/>
      <c r="V69" s="449"/>
      <c r="W69" s="449"/>
      <c r="X69" s="449"/>
      <c r="Y69" s="449"/>
      <c r="Z69" s="449"/>
      <c r="AA69" s="450"/>
      <c r="AB69" s="451" t="s">
        <v>44</v>
      </c>
      <c r="AC69" s="451"/>
      <c r="AD69" s="452"/>
      <c r="AF69" s="81">
        <f>SUM(AF66:AF68)</f>
        <v>96000</v>
      </c>
    </row>
    <row r="70" spans="1:32" ht="25.5" customHeight="1">
      <c r="A70" s="439">
        <v>1</v>
      </c>
      <c r="B70" s="440"/>
      <c r="C70" s="98" t="s">
        <v>450</v>
      </c>
      <c r="D70" s="236"/>
      <c r="E70" s="233" t="s">
        <v>439</v>
      </c>
      <c r="F70" s="441" t="s">
        <v>460</v>
      </c>
      <c r="G70" s="431"/>
      <c r="H70" s="431"/>
      <c r="I70" s="431"/>
      <c r="J70" s="431"/>
      <c r="K70" s="431" t="s">
        <v>470</v>
      </c>
      <c r="L70" s="431"/>
      <c r="M70" s="51" t="s">
        <v>474</v>
      </c>
      <c r="N70" s="442" t="s">
        <v>479</v>
      </c>
      <c r="O70" s="442"/>
      <c r="P70" s="443">
        <v>50</v>
      </c>
      <c r="Q70" s="443"/>
      <c r="R70" s="444"/>
      <c r="S70" s="444"/>
      <c r="T70" s="444"/>
      <c r="U70" s="444"/>
      <c r="V70" s="444"/>
      <c r="W70" s="444"/>
      <c r="X70" s="444"/>
      <c r="Y70" s="444"/>
      <c r="Z70" s="444"/>
      <c r="AA70" s="444"/>
      <c r="AB70" s="431"/>
      <c r="AC70" s="431"/>
      <c r="AD70" s="432"/>
      <c r="AF70" s="50"/>
    </row>
    <row r="71" spans="1:32" ht="25.5" customHeight="1">
      <c r="A71" s="439">
        <v>2</v>
      </c>
      <c r="B71" s="440"/>
      <c r="C71" s="98" t="s">
        <v>466</v>
      </c>
      <c r="D71" s="236"/>
      <c r="E71" s="233" t="s">
        <v>439</v>
      </c>
      <c r="F71" s="441" t="s">
        <v>440</v>
      </c>
      <c r="G71" s="431"/>
      <c r="H71" s="431"/>
      <c r="I71" s="431"/>
      <c r="J71" s="431"/>
      <c r="K71" s="431" t="s">
        <v>471</v>
      </c>
      <c r="L71" s="431"/>
      <c r="M71" s="51" t="s">
        <v>475</v>
      </c>
      <c r="N71" s="442" t="s">
        <v>438</v>
      </c>
      <c r="O71" s="442"/>
      <c r="P71" s="443">
        <v>100</v>
      </c>
      <c r="Q71" s="443"/>
      <c r="R71" s="444"/>
      <c r="S71" s="444"/>
      <c r="T71" s="444"/>
      <c r="U71" s="444"/>
      <c r="V71" s="444"/>
      <c r="W71" s="444"/>
      <c r="X71" s="444"/>
      <c r="Y71" s="444"/>
      <c r="Z71" s="444"/>
      <c r="AA71" s="444"/>
      <c r="AB71" s="431"/>
      <c r="AC71" s="431"/>
      <c r="AD71" s="432"/>
      <c r="AF71" s="50"/>
    </row>
    <row r="72" spans="1:32" ht="25.5" customHeight="1">
      <c r="A72" s="439">
        <v>3</v>
      </c>
      <c r="B72" s="440"/>
      <c r="C72" s="98" t="s">
        <v>467</v>
      </c>
      <c r="D72" s="236"/>
      <c r="E72" s="233" t="s">
        <v>468</v>
      </c>
      <c r="F72" s="441" t="s">
        <v>461</v>
      </c>
      <c r="G72" s="431"/>
      <c r="H72" s="431"/>
      <c r="I72" s="431"/>
      <c r="J72" s="431"/>
      <c r="K72" s="431" t="s">
        <v>472</v>
      </c>
      <c r="L72" s="431"/>
      <c r="M72" s="51" t="s">
        <v>476</v>
      </c>
      <c r="N72" s="442" t="s">
        <v>451</v>
      </c>
      <c r="O72" s="442"/>
      <c r="P72" s="443">
        <v>20</v>
      </c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4</v>
      </c>
      <c r="B73" s="440"/>
      <c r="C73" s="98" t="s">
        <v>467</v>
      </c>
      <c r="D73" s="236"/>
      <c r="E73" s="233" t="s">
        <v>469</v>
      </c>
      <c r="F73" s="445" t="s">
        <v>462</v>
      </c>
      <c r="G73" s="446"/>
      <c r="H73" s="446"/>
      <c r="I73" s="446"/>
      <c r="J73" s="447"/>
      <c r="K73" s="431" t="s">
        <v>472</v>
      </c>
      <c r="L73" s="431"/>
      <c r="M73" s="51" t="s">
        <v>476</v>
      </c>
      <c r="N73" s="442" t="s">
        <v>451</v>
      </c>
      <c r="O73" s="442"/>
      <c r="P73" s="443">
        <v>10</v>
      </c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5</v>
      </c>
      <c r="B74" s="440"/>
      <c r="C74" s="98" t="s">
        <v>454</v>
      </c>
      <c r="D74" s="236"/>
      <c r="E74" s="233" t="s">
        <v>456</v>
      </c>
      <c r="F74" s="445" t="s">
        <v>463</v>
      </c>
      <c r="G74" s="446"/>
      <c r="H74" s="446"/>
      <c r="I74" s="446"/>
      <c r="J74" s="447"/>
      <c r="K74" s="431" t="s">
        <v>478</v>
      </c>
      <c r="L74" s="431"/>
      <c r="M74" s="51" t="s">
        <v>477</v>
      </c>
      <c r="N74" s="442" t="s">
        <v>455</v>
      </c>
      <c r="O74" s="442"/>
      <c r="P74" s="443">
        <v>500</v>
      </c>
      <c r="Q74" s="443"/>
      <c r="R74" s="444" t="s">
        <v>480</v>
      </c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6</v>
      </c>
      <c r="B75" s="440"/>
      <c r="C75" s="98" t="s">
        <v>466</v>
      </c>
      <c r="D75" s="236"/>
      <c r="E75" s="233" t="s">
        <v>435</v>
      </c>
      <c r="F75" s="445" t="s">
        <v>464</v>
      </c>
      <c r="G75" s="446"/>
      <c r="H75" s="446"/>
      <c r="I75" s="446"/>
      <c r="J75" s="447"/>
      <c r="K75" s="431">
        <v>8301</v>
      </c>
      <c r="L75" s="431"/>
      <c r="M75" s="51" t="s">
        <v>477</v>
      </c>
      <c r="N75" s="442" t="s">
        <v>455</v>
      </c>
      <c r="O75" s="442"/>
      <c r="P75" s="443">
        <v>50</v>
      </c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7</v>
      </c>
      <c r="B76" s="440"/>
      <c r="C76" s="98" t="s">
        <v>466</v>
      </c>
      <c r="D76" s="236"/>
      <c r="E76" s="233" t="s">
        <v>435</v>
      </c>
      <c r="F76" s="445" t="s">
        <v>465</v>
      </c>
      <c r="G76" s="446"/>
      <c r="H76" s="446"/>
      <c r="I76" s="446"/>
      <c r="J76" s="447"/>
      <c r="K76" s="431" t="s">
        <v>473</v>
      </c>
      <c r="L76" s="431"/>
      <c r="M76" s="51" t="s">
        <v>476</v>
      </c>
      <c r="N76" s="442" t="s">
        <v>455</v>
      </c>
      <c r="O76" s="442"/>
      <c r="P76" s="443">
        <v>50</v>
      </c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8</v>
      </c>
      <c r="B77" s="440"/>
      <c r="C77" s="98"/>
      <c r="D77" s="236"/>
      <c r="E77" s="233"/>
      <c r="F77" s="441"/>
      <c r="G77" s="431"/>
      <c r="H77" s="431"/>
      <c r="I77" s="431"/>
      <c r="J77" s="431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9</v>
      </c>
      <c r="B78" s="440"/>
      <c r="C78" s="98"/>
      <c r="D78" s="236"/>
      <c r="E78" s="233"/>
      <c r="F78" s="441"/>
      <c r="G78" s="431"/>
      <c r="H78" s="431"/>
      <c r="I78" s="431"/>
      <c r="J78" s="431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10</v>
      </c>
      <c r="B79" s="440"/>
      <c r="C79" s="98"/>
      <c r="D79" s="236"/>
      <c r="E79" s="233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6.25" customHeight="1" thickBot="1">
      <c r="A80" s="411" t="s">
        <v>481</v>
      </c>
      <c r="B80" s="411"/>
      <c r="C80" s="411"/>
      <c r="D80" s="411"/>
      <c r="E80" s="411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33" t="s">
        <v>111</v>
      </c>
      <c r="B81" s="434"/>
      <c r="C81" s="235" t="s">
        <v>2</v>
      </c>
      <c r="D81" s="235" t="s">
        <v>37</v>
      </c>
      <c r="E81" s="235" t="s">
        <v>120</v>
      </c>
      <c r="F81" s="413" t="s">
        <v>38</v>
      </c>
      <c r="G81" s="413"/>
      <c r="H81" s="413"/>
      <c r="I81" s="413"/>
      <c r="J81" s="413"/>
      <c r="K81" s="435" t="s">
        <v>58</v>
      </c>
      <c r="L81" s="436"/>
      <c r="M81" s="436"/>
      <c r="N81" s="436"/>
      <c r="O81" s="436"/>
      <c r="P81" s="436"/>
      <c r="Q81" s="436"/>
      <c r="R81" s="436"/>
      <c r="S81" s="437"/>
      <c r="T81" s="413" t="s">
        <v>49</v>
      </c>
      <c r="U81" s="413"/>
      <c r="V81" s="435" t="s">
        <v>50</v>
      </c>
      <c r="W81" s="437"/>
      <c r="X81" s="436" t="s">
        <v>51</v>
      </c>
      <c r="Y81" s="436"/>
      <c r="Z81" s="436"/>
      <c r="AA81" s="436"/>
      <c r="AB81" s="436"/>
      <c r="AC81" s="436"/>
      <c r="AD81" s="438"/>
      <c r="AF81" s="50"/>
    </row>
    <row r="82" spans="1:32" ht="33.75" customHeight="1">
      <c r="A82" s="405">
        <v>1</v>
      </c>
      <c r="B82" s="406"/>
      <c r="C82" s="237"/>
      <c r="D82" s="237"/>
      <c r="E82" s="65"/>
      <c r="F82" s="420"/>
      <c r="G82" s="421"/>
      <c r="H82" s="421"/>
      <c r="I82" s="421"/>
      <c r="J82" s="422"/>
      <c r="K82" s="423"/>
      <c r="L82" s="424"/>
      <c r="M82" s="424"/>
      <c r="N82" s="424"/>
      <c r="O82" s="424"/>
      <c r="P82" s="424"/>
      <c r="Q82" s="424"/>
      <c r="R82" s="424"/>
      <c r="S82" s="425"/>
      <c r="T82" s="426"/>
      <c r="U82" s="427"/>
      <c r="V82" s="428"/>
      <c r="W82" s="428"/>
      <c r="X82" s="429"/>
      <c r="Y82" s="429"/>
      <c r="Z82" s="429"/>
      <c r="AA82" s="429"/>
      <c r="AB82" s="429"/>
      <c r="AC82" s="429"/>
      <c r="AD82" s="430"/>
      <c r="AF82" s="50"/>
    </row>
    <row r="83" spans="1:32" ht="30" customHeight="1">
      <c r="A83" s="398">
        <f>A82+1</f>
        <v>2</v>
      </c>
      <c r="B83" s="399"/>
      <c r="C83" s="236"/>
      <c r="D83" s="236"/>
      <c r="E83" s="32"/>
      <c r="F83" s="399"/>
      <c r="G83" s="399"/>
      <c r="H83" s="399"/>
      <c r="I83" s="399"/>
      <c r="J83" s="399"/>
      <c r="K83" s="414"/>
      <c r="L83" s="415"/>
      <c r="M83" s="415"/>
      <c r="N83" s="415"/>
      <c r="O83" s="415"/>
      <c r="P83" s="415"/>
      <c r="Q83" s="415"/>
      <c r="R83" s="415"/>
      <c r="S83" s="416"/>
      <c r="T83" s="417"/>
      <c r="U83" s="417"/>
      <c r="V83" s="417"/>
      <c r="W83" s="417"/>
      <c r="X83" s="418"/>
      <c r="Y83" s="418"/>
      <c r="Z83" s="418"/>
      <c r="AA83" s="418"/>
      <c r="AB83" s="418"/>
      <c r="AC83" s="418"/>
      <c r="AD83" s="419"/>
      <c r="AF83" s="50"/>
    </row>
    <row r="84" spans="1:32" ht="30" customHeight="1">
      <c r="A84" s="398">
        <f t="shared" ref="A84:A88" si="12">A83+1</f>
        <v>3</v>
      </c>
      <c r="B84" s="399"/>
      <c r="C84" s="236"/>
      <c r="D84" s="236"/>
      <c r="E84" s="32"/>
      <c r="F84" s="399"/>
      <c r="G84" s="399"/>
      <c r="H84" s="399"/>
      <c r="I84" s="399"/>
      <c r="J84" s="399"/>
      <c r="K84" s="414"/>
      <c r="L84" s="415"/>
      <c r="M84" s="415"/>
      <c r="N84" s="415"/>
      <c r="O84" s="415"/>
      <c r="P84" s="415"/>
      <c r="Q84" s="415"/>
      <c r="R84" s="415"/>
      <c r="S84" s="416"/>
      <c r="T84" s="417"/>
      <c r="U84" s="417"/>
      <c r="V84" s="417"/>
      <c r="W84" s="417"/>
      <c r="X84" s="418"/>
      <c r="Y84" s="418"/>
      <c r="Z84" s="418"/>
      <c r="AA84" s="418"/>
      <c r="AB84" s="418"/>
      <c r="AC84" s="418"/>
      <c r="AD84" s="419"/>
      <c r="AF84" s="50"/>
    </row>
    <row r="85" spans="1:32" ht="30" customHeight="1">
      <c r="A85" s="398">
        <f t="shared" si="12"/>
        <v>4</v>
      </c>
      <c r="B85" s="399"/>
      <c r="C85" s="236"/>
      <c r="D85" s="236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si="12"/>
        <v>5</v>
      </c>
      <c r="B86" s="399"/>
      <c r="C86" s="236"/>
      <c r="D86" s="236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12"/>
        <v>6</v>
      </c>
      <c r="B87" s="399"/>
      <c r="C87" s="236"/>
      <c r="D87" s="236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2"/>
        <v>7</v>
      </c>
      <c r="B88" s="399"/>
      <c r="C88" s="236"/>
      <c r="D88" s="236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6" thickBot="1">
      <c r="A89" s="411" t="s">
        <v>482</v>
      </c>
      <c r="B89" s="411"/>
      <c r="C89" s="411"/>
      <c r="D89" s="411"/>
      <c r="E89" s="411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12" t="s">
        <v>111</v>
      </c>
      <c r="B90" s="413"/>
      <c r="C90" s="403" t="s">
        <v>52</v>
      </c>
      <c r="D90" s="403"/>
      <c r="E90" s="403" t="s">
        <v>53</v>
      </c>
      <c r="F90" s="403"/>
      <c r="G90" s="403"/>
      <c r="H90" s="403"/>
      <c r="I90" s="403"/>
      <c r="J90" s="403"/>
      <c r="K90" s="403" t="s">
        <v>54</v>
      </c>
      <c r="L90" s="403"/>
      <c r="M90" s="403"/>
      <c r="N90" s="403"/>
      <c r="O90" s="403"/>
      <c r="P90" s="403"/>
      <c r="Q90" s="403"/>
      <c r="R90" s="403"/>
      <c r="S90" s="403"/>
      <c r="T90" s="403" t="s">
        <v>55</v>
      </c>
      <c r="U90" s="403"/>
      <c r="V90" s="403" t="s">
        <v>56</v>
      </c>
      <c r="W90" s="403"/>
      <c r="X90" s="403"/>
      <c r="Y90" s="403" t="s">
        <v>51</v>
      </c>
      <c r="Z90" s="403"/>
      <c r="AA90" s="403"/>
      <c r="AB90" s="403"/>
      <c r="AC90" s="403"/>
      <c r="AD90" s="404"/>
      <c r="AF90" s="50"/>
    </row>
    <row r="91" spans="1:32" ht="30.75" customHeight="1">
      <c r="A91" s="405">
        <v>1</v>
      </c>
      <c r="B91" s="406"/>
      <c r="C91" s="407"/>
      <c r="D91" s="407"/>
      <c r="E91" s="407"/>
      <c r="F91" s="407"/>
      <c r="G91" s="407"/>
      <c r="H91" s="407"/>
      <c r="I91" s="407"/>
      <c r="J91" s="407"/>
      <c r="K91" s="407"/>
      <c r="L91" s="407"/>
      <c r="M91" s="407"/>
      <c r="N91" s="407"/>
      <c r="O91" s="407"/>
      <c r="P91" s="407"/>
      <c r="Q91" s="407"/>
      <c r="R91" s="407"/>
      <c r="S91" s="407"/>
      <c r="T91" s="407"/>
      <c r="U91" s="407"/>
      <c r="V91" s="408"/>
      <c r="W91" s="408"/>
      <c r="X91" s="408"/>
      <c r="Y91" s="409"/>
      <c r="Z91" s="409"/>
      <c r="AA91" s="409"/>
      <c r="AB91" s="409"/>
      <c r="AC91" s="409"/>
      <c r="AD91" s="410"/>
      <c r="AF91" s="50"/>
    </row>
    <row r="92" spans="1:32" ht="30.75" customHeight="1">
      <c r="A92" s="398">
        <v>2</v>
      </c>
      <c r="B92" s="399"/>
      <c r="C92" s="400"/>
      <c r="D92" s="400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1"/>
      <c r="U92" s="401"/>
      <c r="V92" s="402"/>
      <c r="W92" s="402"/>
      <c r="X92" s="402"/>
      <c r="Y92" s="390"/>
      <c r="Z92" s="390"/>
      <c r="AA92" s="390"/>
      <c r="AB92" s="390"/>
      <c r="AC92" s="390"/>
      <c r="AD92" s="391"/>
      <c r="AF92" s="50"/>
    </row>
    <row r="93" spans="1:32" ht="30.75" customHeight="1" thickBot="1">
      <c r="A93" s="392">
        <v>3</v>
      </c>
      <c r="B93" s="393"/>
      <c r="C93" s="394"/>
      <c r="D93" s="394"/>
      <c r="E93" s="394"/>
      <c r="F93" s="394"/>
      <c r="G93" s="394"/>
      <c r="H93" s="394"/>
      <c r="I93" s="394"/>
      <c r="J93" s="394"/>
      <c r="K93" s="394"/>
      <c r="L93" s="394"/>
      <c r="M93" s="394"/>
      <c r="N93" s="394"/>
      <c r="O93" s="394"/>
      <c r="P93" s="394"/>
      <c r="Q93" s="394"/>
      <c r="R93" s="394"/>
      <c r="S93" s="394"/>
      <c r="T93" s="394"/>
      <c r="U93" s="394"/>
      <c r="V93" s="395"/>
      <c r="W93" s="395"/>
      <c r="X93" s="395"/>
      <c r="Y93" s="396"/>
      <c r="Z93" s="396"/>
      <c r="AA93" s="396"/>
      <c r="AB93" s="396"/>
      <c r="AC93" s="396"/>
      <c r="AD93" s="397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79C1-5690-476F-91B8-6506400EB3B8}">
  <sheetPr codeName="Sheet13">
    <pageSetUpPr fitToPage="1"/>
  </sheetPr>
  <dimension ref="A1:AF94"/>
  <sheetViews>
    <sheetView view="pageBreakPreview" zoomScale="70" zoomScaleNormal="72" zoomScaleSheetLayoutView="70" workbookViewId="0">
      <selection activeCell="A91" sqref="A91:B9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483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250" t="s">
        <v>17</v>
      </c>
      <c r="L5" s="250" t="s">
        <v>18</v>
      </c>
      <c r="M5" s="250" t="s">
        <v>19</v>
      </c>
      <c r="N5" s="25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1880</v>
      </c>
      <c r="K6" s="15">
        <f>L6+5046+2812+7738+10312+1880</f>
        <v>27788</v>
      </c>
      <c r="L6" s="15"/>
      <c r="M6" s="15">
        <f t="shared" ref="M6:M28" si="0">L6-N6</f>
        <v>0</v>
      </c>
      <c r="N6" s="15">
        <v>0</v>
      </c>
      <c r="O6" s="58" t="str">
        <f t="shared" ref="O6:O29" si="1">IF(L6=0,"0",N6/L6)</f>
        <v>0</v>
      </c>
      <c r="P6" s="39" t="str">
        <f t="shared" ref="P6:P28" si="2">IF(L6=0,"0",(24-Q6))</f>
        <v>0</v>
      </c>
      <c r="Q6" s="40">
        <f t="shared" ref="Q6:Q28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0</v>
      </c>
      <c r="AC6" s="9">
        <f t="shared" ref="AC6:AC28" si="5">IF(P6=0,"0",(P6/24))</f>
        <v>0</v>
      </c>
      <c r="AD6" s="10">
        <f>AC6*AB6*(1-O6)</f>
        <v>0</v>
      </c>
      <c r="AE6" s="36">
        <f t="shared" ref="AE6:AE28" si="6">$AD$29</f>
        <v>0.53804347826086962</v>
      </c>
      <c r="AF6" s="81">
        <f t="shared" ref="AF6:AF28" si="7">A6</f>
        <v>1</v>
      </c>
    </row>
    <row r="7" spans="1:32" ht="27" customHeight="1">
      <c r="A7" s="106">
        <v>2</v>
      </c>
      <c r="B7" s="11" t="s">
        <v>57</v>
      </c>
      <c r="C7" s="34" t="s">
        <v>163</v>
      </c>
      <c r="D7" s="52" t="s">
        <v>138</v>
      </c>
      <c r="E7" s="53" t="s">
        <v>179</v>
      </c>
      <c r="F7" s="30" t="s">
        <v>137</v>
      </c>
      <c r="G7" s="12">
        <v>1</v>
      </c>
      <c r="H7" s="13">
        <v>24</v>
      </c>
      <c r="I7" s="31">
        <v>30000</v>
      </c>
      <c r="J7" s="14">
        <v>6201</v>
      </c>
      <c r="K7" s="15">
        <f>L7+3491+6360+5775+6107</f>
        <v>27934</v>
      </c>
      <c r="L7" s="15">
        <f>3121+3080</f>
        <v>6201</v>
      </c>
      <c r="M7" s="15">
        <f t="shared" si="0"/>
        <v>6201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8" si="8">AC7*AB7*(1-O7)</f>
        <v>1</v>
      </c>
      <c r="AE7" s="36">
        <f t="shared" si="6"/>
        <v>0.53804347826086962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115</v>
      </c>
      <c r="E8" s="53" t="s">
        <v>382</v>
      </c>
      <c r="F8" s="30" t="s">
        <v>168</v>
      </c>
      <c r="G8" s="12">
        <v>1</v>
      </c>
      <c r="H8" s="13">
        <v>22</v>
      </c>
      <c r="I8" s="31">
        <v>1000</v>
      </c>
      <c r="J8" s="5">
        <v>1559</v>
      </c>
      <c r="K8" s="15">
        <f>L8+1559</f>
        <v>1559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8"/>
        <v>0</v>
      </c>
      <c r="AE8" s="36">
        <f t="shared" si="6"/>
        <v>0.53804347826086962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157</v>
      </c>
      <c r="E9" s="53" t="s">
        <v>257</v>
      </c>
      <c r="F9" s="30" t="s">
        <v>122</v>
      </c>
      <c r="G9" s="12">
        <v>1</v>
      </c>
      <c r="H9" s="13">
        <v>24</v>
      </c>
      <c r="I9" s="7">
        <v>50000</v>
      </c>
      <c r="J9" s="14">
        <v>5275</v>
      </c>
      <c r="K9" s="15">
        <f>L9+5224+5754+5666+3727+3282+5741</f>
        <v>34669</v>
      </c>
      <c r="L9" s="15">
        <f>2386+2889</f>
        <v>5275</v>
      </c>
      <c r="M9" s="15">
        <f t="shared" si="0"/>
        <v>5275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0.53804347826086962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5086</v>
      </c>
      <c r="K10" s="15">
        <f>L10+5338+5669+5744+4980+3619+1932+309+2790+5660+4715+1739+3127+5884+1203+3638+5732+5658+5217+2430+1897+5596+5715+3707+799+2709+2266</f>
        <v>103159</v>
      </c>
      <c r="L10" s="15">
        <f>2772+2314</f>
        <v>5086</v>
      </c>
      <c r="M10" s="15">
        <f t="shared" si="0"/>
        <v>5086</v>
      </c>
      <c r="N10" s="15">
        <v>0</v>
      </c>
      <c r="O10" s="58">
        <f t="shared" si="1"/>
        <v>0</v>
      </c>
      <c r="P10" s="39">
        <f t="shared" si="2"/>
        <v>23</v>
      </c>
      <c r="Q10" s="40">
        <f t="shared" si="3"/>
        <v>1</v>
      </c>
      <c r="R10" s="7"/>
      <c r="S10" s="6">
        <v>1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0.95833333333333337</v>
      </c>
      <c r="AD10" s="10">
        <f t="shared" si="8"/>
        <v>0.95833333333333337</v>
      </c>
      <c r="AE10" s="36">
        <f t="shared" si="6"/>
        <v>0.53804347826086962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138</v>
      </c>
      <c r="E11" s="53" t="s">
        <v>409</v>
      </c>
      <c r="F11" s="30" t="s">
        <v>123</v>
      </c>
      <c r="G11" s="33">
        <v>1</v>
      </c>
      <c r="H11" s="35">
        <v>24</v>
      </c>
      <c r="I11" s="7">
        <v>100</v>
      </c>
      <c r="J11" s="14">
        <v>2109</v>
      </c>
      <c r="K11" s="15">
        <f>L11+2109</f>
        <v>2109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8"/>
        <v>0</v>
      </c>
      <c r="AE11" s="36">
        <f t="shared" si="6"/>
        <v>0.53804347826086962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222</v>
      </c>
      <c r="F12" s="30" t="s">
        <v>205</v>
      </c>
      <c r="G12" s="12">
        <v>1</v>
      </c>
      <c r="H12" s="13">
        <v>22</v>
      </c>
      <c r="I12" s="31">
        <v>20000</v>
      </c>
      <c r="J12" s="5">
        <v>5033</v>
      </c>
      <c r="K12" s="15">
        <f>L12+3965</f>
        <v>8998</v>
      </c>
      <c r="L12" s="15">
        <f>2522+2511</f>
        <v>5033</v>
      </c>
      <c r="M12" s="15">
        <f t="shared" si="0"/>
        <v>5033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0.53804347826086962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126</v>
      </c>
      <c r="D13" s="52"/>
      <c r="E13" s="53" t="s">
        <v>304</v>
      </c>
      <c r="F13" s="30" t="s">
        <v>122</v>
      </c>
      <c r="G13" s="33">
        <v>1</v>
      </c>
      <c r="H13" s="35">
        <v>22</v>
      </c>
      <c r="I13" s="7">
        <v>12000</v>
      </c>
      <c r="J13" s="14">
        <v>2343</v>
      </c>
      <c r="K13" s="15">
        <f>L13+3169+4592+2342+4452+3533</f>
        <v>20431</v>
      </c>
      <c r="L13" s="15">
        <f>2343</f>
        <v>2343</v>
      </c>
      <c r="M13" s="15">
        <f t="shared" si="0"/>
        <v>2343</v>
      </c>
      <c r="N13" s="15">
        <v>0</v>
      </c>
      <c r="O13" s="58">
        <f t="shared" si="1"/>
        <v>0</v>
      </c>
      <c r="P13" s="39">
        <f t="shared" si="2"/>
        <v>13</v>
      </c>
      <c r="Q13" s="40">
        <f t="shared" si="3"/>
        <v>11</v>
      </c>
      <c r="R13" s="7"/>
      <c r="S13" s="6">
        <v>11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0.54166666666666663</v>
      </c>
      <c r="AD13" s="10">
        <f t="shared" si="8"/>
        <v>0.54166666666666663</v>
      </c>
      <c r="AE13" s="36">
        <f t="shared" si="6"/>
        <v>0.53804347826086962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163</v>
      </c>
      <c r="D14" s="52" t="s">
        <v>115</v>
      </c>
      <c r="E14" s="53" t="s">
        <v>484</v>
      </c>
      <c r="F14" s="30" t="s">
        <v>139</v>
      </c>
      <c r="G14" s="33">
        <v>1</v>
      </c>
      <c r="H14" s="35">
        <v>50</v>
      </c>
      <c r="I14" s="7">
        <v>100</v>
      </c>
      <c r="J14" s="5">
        <v>250</v>
      </c>
      <c r="K14" s="15">
        <f>L14</f>
        <v>250</v>
      </c>
      <c r="L14" s="15">
        <v>250</v>
      </c>
      <c r="M14" s="15">
        <f t="shared" si="0"/>
        <v>250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>
        <v>18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8"/>
        <v>0.25</v>
      </c>
      <c r="AE14" s="36">
        <f t="shared" si="6"/>
        <v>0.53804347826086962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138</v>
      </c>
      <c r="E15" s="53" t="s">
        <v>147</v>
      </c>
      <c r="F15" s="30" t="s">
        <v>139</v>
      </c>
      <c r="G15" s="12">
        <v>2</v>
      </c>
      <c r="H15" s="13">
        <v>24</v>
      </c>
      <c r="I15" s="31">
        <v>45000</v>
      </c>
      <c r="J15" s="14">
        <v>12150</v>
      </c>
      <c r="K15" s="15">
        <f>L15+11556+1152+11338+6210</f>
        <v>42406</v>
      </c>
      <c r="L15" s="15">
        <f>3048*2+3027*2</f>
        <v>12150</v>
      </c>
      <c r="M15" s="15">
        <f t="shared" si="0"/>
        <v>12150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0.53804347826086962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234</v>
      </c>
      <c r="F16" s="30" t="s">
        <v>235</v>
      </c>
      <c r="G16" s="12">
        <v>1</v>
      </c>
      <c r="H16" s="13">
        <v>22</v>
      </c>
      <c r="I16" s="31">
        <v>45000</v>
      </c>
      <c r="J16" s="5">
        <v>275250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0.53804347826086962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126</v>
      </c>
      <c r="D17" s="52" t="s">
        <v>127</v>
      </c>
      <c r="E17" s="53" t="s">
        <v>485</v>
      </c>
      <c r="F17" s="30" t="s">
        <v>213</v>
      </c>
      <c r="G17" s="12">
        <v>4</v>
      </c>
      <c r="H17" s="13">
        <v>24</v>
      </c>
      <c r="I17" s="7">
        <v>30000</v>
      </c>
      <c r="J17" s="14">
        <v>20644</v>
      </c>
      <c r="K17" s="15">
        <f>L17</f>
        <v>20644</v>
      </c>
      <c r="L17" s="15">
        <f>2171*4+2990*4</f>
        <v>20644</v>
      </c>
      <c r="M17" s="15">
        <f t="shared" si="0"/>
        <v>20644</v>
      </c>
      <c r="N17" s="15">
        <v>0</v>
      </c>
      <c r="O17" s="58">
        <f t="shared" si="1"/>
        <v>0</v>
      </c>
      <c r="P17" s="39">
        <f t="shared" si="2"/>
        <v>22</v>
      </c>
      <c r="Q17" s="40">
        <f t="shared" si="3"/>
        <v>2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</v>
      </c>
      <c r="AB17" s="8">
        <f t="shared" si="4"/>
        <v>1</v>
      </c>
      <c r="AC17" s="9">
        <f t="shared" si="5"/>
        <v>0.91666666666666663</v>
      </c>
      <c r="AD17" s="10">
        <f t="shared" si="8"/>
        <v>0.91666666666666663</v>
      </c>
      <c r="AE17" s="36">
        <f t="shared" si="6"/>
        <v>0.53804347826086962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127</v>
      </c>
      <c r="E18" s="53" t="s">
        <v>429</v>
      </c>
      <c r="F18" s="30" t="s">
        <v>123</v>
      </c>
      <c r="G18" s="12">
        <v>1</v>
      </c>
      <c r="H18" s="13">
        <v>22</v>
      </c>
      <c r="I18" s="31">
        <v>20000</v>
      </c>
      <c r="J18" s="5">
        <v>5962</v>
      </c>
      <c r="K18" s="15">
        <f>L18+3360</f>
        <v>9322</v>
      </c>
      <c r="L18" s="15">
        <f>2981+2981</f>
        <v>5962</v>
      </c>
      <c r="M18" s="15">
        <f t="shared" si="0"/>
        <v>5962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0.53804347826086962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112</v>
      </c>
      <c r="D19" s="52" t="s">
        <v>159</v>
      </c>
      <c r="E19" s="53" t="s">
        <v>173</v>
      </c>
      <c r="F19" s="30" t="s">
        <v>123</v>
      </c>
      <c r="G19" s="33">
        <v>1</v>
      </c>
      <c r="H19" s="35">
        <v>24</v>
      </c>
      <c r="I19" s="7">
        <v>35000</v>
      </c>
      <c r="J19" s="14">
        <v>5645</v>
      </c>
      <c r="K19" s="15">
        <f>L19+2187+4152+5440+5251+5627+5544+3270+2848+1154+2019</f>
        <v>43137</v>
      </c>
      <c r="L19" s="15">
        <f>2834+2811</f>
        <v>5645</v>
      </c>
      <c r="M19" s="15">
        <f t="shared" si="0"/>
        <v>5645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0.53804347826086962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126</v>
      </c>
      <c r="D20" s="52" t="s">
        <v>115</v>
      </c>
      <c r="E20" s="53" t="s">
        <v>327</v>
      </c>
      <c r="F20" s="30" t="s">
        <v>136</v>
      </c>
      <c r="G20" s="33">
        <v>1</v>
      </c>
      <c r="H20" s="35">
        <v>24</v>
      </c>
      <c r="I20" s="7">
        <v>50000</v>
      </c>
      <c r="J20" s="14">
        <v>1645</v>
      </c>
      <c r="K20" s="15">
        <f>L20+5271+5293+1299+4454+5587</f>
        <v>23549</v>
      </c>
      <c r="L20" s="15">
        <v>1645</v>
      </c>
      <c r="M20" s="15">
        <f t="shared" si="0"/>
        <v>1645</v>
      </c>
      <c r="N20" s="15">
        <v>0</v>
      </c>
      <c r="O20" s="58">
        <f t="shared" si="1"/>
        <v>0</v>
      </c>
      <c r="P20" s="39">
        <f t="shared" si="2"/>
        <v>8</v>
      </c>
      <c r="Q20" s="40">
        <f t="shared" si="3"/>
        <v>16</v>
      </c>
      <c r="R20" s="7"/>
      <c r="S20" s="6"/>
      <c r="T20" s="16"/>
      <c r="U20" s="16"/>
      <c r="V20" s="17">
        <v>16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0.33333333333333331</v>
      </c>
      <c r="AD20" s="10">
        <f t="shared" si="8"/>
        <v>0.33333333333333331</v>
      </c>
      <c r="AE20" s="36">
        <f t="shared" si="6"/>
        <v>0.53804347826086962</v>
      </c>
      <c r="AF20" s="81">
        <f t="shared" si="7"/>
        <v>15</v>
      </c>
    </row>
    <row r="21" spans="1:32" ht="27" customHeight="1">
      <c r="A21" s="106">
        <v>15</v>
      </c>
      <c r="B21" s="11" t="s">
        <v>57</v>
      </c>
      <c r="C21" s="11" t="s">
        <v>112</v>
      </c>
      <c r="D21" s="52" t="s">
        <v>115</v>
      </c>
      <c r="E21" s="53" t="s">
        <v>143</v>
      </c>
      <c r="F21" s="30" t="s">
        <v>136</v>
      </c>
      <c r="G21" s="33">
        <v>2</v>
      </c>
      <c r="H21" s="35">
        <v>24</v>
      </c>
      <c r="I21" s="7">
        <v>70000</v>
      </c>
      <c r="J21" s="14">
        <v>3150</v>
      </c>
      <c r="K21" s="15">
        <f>L21</f>
        <v>3150</v>
      </c>
      <c r="L21" s="15">
        <f>1575*2</f>
        <v>3150</v>
      </c>
      <c r="M21" s="15">
        <f t="shared" ref="M21" si="9">L21-N21</f>
        <v>3150</v>
      </c>
      <c r="N21" s="15">
        <v>0</v>
      </c>
      <c r="O21" s="58">
        <f t="shared" ref="O21" si="10">IF(L21=0,"0",N21/L21)</f>
        <v>0</v>
      </c>
      <c r="P21" s="39">
        <f t="shared" ref="P21" si="11">IF(L21=0,"0",(24-Q21))</f>
        <v>9</v>
      </c>
      <c r="Q21" s="40">
        <f t="shared" ref="Q21" si="12">SUM(R21:AA21)</f>
        <v>15</v>
      </c>
      <c r="R21" s="7">
        <v>5</v>
      </c>
      <c r="S21" s="6">
        <v>10</v>
      </c>
      <c r="T21" s="16"/>
      <c r="U21" s="16"/>
      <c r="V21" s="17"/>
      <c r="W21" s="5"/>
      <c r="X21" s="16"/>
      <c r="Y21" s="16"/>
      <c r="Z21" s="16"/>
      <c r="AA21" s="18"/>
      <c r="AB21" s="8">
        <f t="shared" ref="AB21" si="13">IF(J21=0,"0",(L21/J21))</f>
        <v>1</v>
      </c>
      <c r="AC21" s="9">
        <f t="shared" ref="AC21" si="14">IF(P21=0,"0",(P21/24))</f>
        <v>0.375</v>
      </c>
      <c r="AD21" s="10">
        <f t="shared" ref="AD21" si="15">AC21*AB21*(1-O21)</f>
        <v>0.375</v>
      </c>
      <c r="AE21" s="36">
        <f t="shared" si="6"/>
        <v>0.53804347826086962</v>
      </c>
      <c r="AF21" s="81">
        <f t="shared" ref="AF21" si="16">A21</f>
        <v>15</v>
      </c>
    </row>
    <row r="22" spans="1:32" ht="26.25" customHeight="1">
      <c r="A22" s="92">
        <v>16</v>
      </c>
      <c r="B22" s="11" t="s">
        <v>57</v>
      </c>
      <c r="C22" s="11" t="s">
        <v>113</v>
      </c>
      <c r="D22" s="52"/>
      <c r="E22" s="53" t="s">
        <v>146</v>
      </c>
      <c r="F22" s="12" t="s">
        <v>114</v>
      </c>
      <c r="G22" s="12">
        <v>3</v>
      </c>
      <c r="H22" s="35">
        <v>20</v>
      </c>
      <c r="I22" s="7">
        <v>2000000</v>
      </c>
      <c r="J22" s="14">
        <v>63944</v>
      </c>
      <c r="K22" s="15">
        <f>L22+57172</f>
        <v>121116</v>
      </c>
      <c r="L22" s="15">
        <f>7860*4+8126*4</f>
        <v>63944</v>
      </c>
      <c r="M22" s="15">
        <f t="shared" si="0"/>
        <v>63944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8"/>
        <v>1</v>
      </c>
      <c r="AE22" s="36">
        <f t="shared" si="6"/>
        <v>0.53804347826086962</v>
      </c>
      <c r="AF22" s="81">
        <f t="shared" si="7"/>
        <v>16</v>
      </c>
    </row>
    <row r="23" spans="1:32" ht="21.75" customHeight="1">
      <c r="A23" s="92">
        <v>31</v>
      </c>
      <c r="B23" s="11" t="s">
        <v>57</v>
      </c>
      <c r="C23" s="11" t="s">
        <v>116</v>
      </c>
      <c r="D23" s="52" t="s">
        <v>115</v>
      </c>
      <c r="E23" s="53" t="s">
        <v>149</v>
      </c>
      <c r="F23" s="12" t="s">
        <v>136</v>
      </c>
      <c r="G23" s="12">
        <v>4</v>
      </c>
      <c r="H23" s="35">
        <v>20</v>
      </c>
      <c r="I23" s="7">
        <v>70000</v>
      </c>
      <c r="J23" s="14">
        <v>22300</v>
      </c>
      <c r="K23" s="15">
        <f>L23+22300</f>
        <v>22300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0.53804347826086962</v>
      </c>
      <c r="AF23" s="81">
        <f t="shared" si="7"/>
        <v>31</v>
      </c>
    </row>
    <row r="24" spans="1:32" ht="21.75" customHeight="1">
      <c r="A24" s="92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ref="K24" si="17"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0.53804347826086962</v>
      </c>
      <c r="AF24" s="81">
        <f t="shared" si="7"/>
        <v>32</v>
      </c>
    </row>
    <row r="25" spans="1:32" ht="21.75" customHeight="1">
      <c r="A25" s="92">
        <v>33</v>
      </c>
      <c r="B25" s="11" t="s">
        <v>57</v>
      </c>
      <c r="C25" s="11" t="s">
        <v>116</v>
      </c>
      <c r="D25" s="52" t="s">
        <v>142</v>
      </c>
      <c r="E25" s="53" t="s">
        <v>151</v>
      </c>
      <c r="F25" s="12" t="s">
        <v>123</v>
      </c>
      <c r="G25" s="12">
        <v>3</v>
      </c>
      <c r="H25" s="35">
        <v>20</v>
      </c>
      <c r="I25" s="7">
        <v>70000</v>
      </c>
      <c r="J25" s="14">
        <v>21786</v>
      </c>
      <c r="K25" s="15">
        <f>L25+22125+9744+18372</f>
        <v>72027</v>
      </c>
      <c r="L25" s="15">
        <f>3692*3+3570*3</f>
        <v>21786</v>
      </c>
      <c r="M25" s="15">
        <f t="shared" si="0"/>
        <v>21786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114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8"/>
        <v>1</v>
      </c>
      <c r="AE25" s="36">
        <f t="shared" si="6"/>
        <v>0.53804347826086962</v>
      </c>
      <c r="AF25" s="81">
        <f t="shared" si="7"/>
        <v>33</v>
      </c>
    </row>
    <row r="26" spans="1:32" ht="21.75" customHeight="1">
      <c r="A26" s="92">
        <v>34</v>
      </c>
      <c r="B26" s="11" t="s">
        <v>57</v>
      </c>
      <c r="C26" s="11" t="s">
        <v>116</v>
      </c>
      <c r="D26" s="52" t="s">
        <v>127</v>
      </c>
      <c r="E26" s="53" t="s">
        <v>148</v>
      </c>
      <c r="F26" s="12" t="s">
        <v>124</v>
      </c>
      <c r="G26" s="12">
        <v>4</v>
      </c>
      <c r="H26" s="35">
        <v>20</v>
      </c>
      <c r="I26" s="7">
        <v>70000</v>
      </c>
      <c r="J26" s="14">
        <v>27472</v>
      </c>
      <c r="K26" s="15">
        <f>L26+16448</f>
        <v>43920</v>
      </c>
      <c r="L26" s="15">
        <f>3469*4+3399*4</f>
        <v>27472</v>
      </c>
      <c r="M26" s="15">
        <f t="shared" si="0"/>
        <v>27472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14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8"/>
        <v>1</v>
      </c>
      <c r="AE26" s="36">
        <f t="shared" si="6"/>
        <v>0.53804347826086962</v>
      </c>
      <c r="AF26" s="81">
        <f t="shared" si="7"/>
        <v>34</v>
      </c>
    </row>
    <row r="27" spans="1:32" ht="21.75" customHeight="1">
      <c r="A27" s="92">
        <v>35</v>
      </c>
      <c r="B27" s="11" t="s">
        <v>57</v>
      </c>
      <c r="C27" s="11" t="s">
        <v>116</v>
      </c>
      <c r="D27" s="52" t="s">
        <v>121</v>
      </c>
      <c r="E27" s="53" t="s">
        <v>125</v>
      </c>
      <c r="F27" s="12" t="s">
        <v>124</v>
      </c>
      <c r="G27" s="12">
        <v>4</v>
      </c>
      <c r="H27" s="35">
        <v>20</v>
      </c>
      <c r="I27" s="7">
        <v>50000</v>
      </c>
      <c r="J27" s="14">
        <v>26944</v>
      </c>
      <c r="K27" s="15">
        <f>L27+24592+26944+21716</f>
        <v>73252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0.53804347826086962</v>
      </c>
      <c r="AF27" s="81">
        <f t="shared" si="7"/>
        <v>35</v>
      </c>
    </row>
    <row r="28" spans="1:32" ht="21.75" customHeight="1" thickBot="1">
      <c r="A28" s="92">
        <v>36</v>
      </c>
      <c r="B28" s="11" t="s">
        <v>57</v>
      </c>
      <c r="C28" s="11" t="s">
        <v>113</v>
      </c>
      <c r="D28" s="52"/>
      <c r="E28" s="53" t="s">
        <v>150</v>
      </c>
      <c r="F28" s="12" t="s">
        <v>114</v>
      </c>
      <c r="G28" s="12">
        <v>4</v>
      </c>
      <c r="H28" s="35">
        <v>20</v>
      </c>
      <c r="I28" s="7">
        <v>1000000</v>
      </c>
      <c r="J28" s="14">
        <v>79328</v>
      </c>
      <c r="K28" s="15">
        <f>L28+28388+70816+76368+81764+83428+47688+53180+83092+82192+79328</f>
        <v>686244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>
        <v>24</v>
      </c>
      <c r="W28" s="5"/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0.53804347826086962</v>
      </c>
      <c r="AF28" s="81">
        <f t="shared" si="7"/>
        <v>36</v>
      </c>
    </row>
    <row r="29" spans="1:32" ht="19.5" thickBot="1">
      <c r="A29" s="478" t="s">
        <v>34</v>
      </c>
      <c r="B29" s="479"/>
      <c r="C29" s="479"/>
      <c r="D29" s="479"/>
      <c r="E29" s="479"/>
      <c r="F29" s="479"/>
      <c r="G29" s="479"/>
      <c r="H29" s="480"/>
      <c r="I29" s="22">
        <f t="shared" ref="I29:N29" si="18">SUM(I6:I28)</f>
        <v>3803200</v>
      </c>
      <c r="J29" s="19">
        <f t="shared" si="18"/>
        <v>595956</v>
      </c>
      <c r="K29" s="20">
        <f t="shared" si="18"/>
        <v>1387964</v>
      </c>
      <c r="L29" s="21">
        <f t="shared" si="18"/>
        <v>186586</v>
      </c>
      <c r="M29" s="20">
        <f t="shared" si="18"/>
        <v>186586</v>
      </c>
      <c r="N29" s="21">
        <f t="shared" si="18"/>
        <v>0</v>
      </c>
      <c r="O29" s="41">
        <f t="shared" si="1"/>
        <v>0</v>
      </c>
      <c r="P29" s="42">
        <f t="shared" ref="P29:AA29" si="19">SUM(P6:P28)</f>
        <v>297</v>
      </c>
      <c r="Q29" s="43">
        <f t="shared" si="19"/>
        <v>255</v>
      </c>
      <c r="R29" s="23">
        <f t="shared" si="19"/>
        <v>5</v>
      </c>
      <c r="S29" s="24">
        <f t="shared" si="19"/>
        <v>88</v>
      </c>
      <c r="T29" s="24">
        <f t="shared" si="19"/>
        <v>0</v>
      </c>
      <c r="U29" s="24">
        <f t="shared" si="19"/>
        <v>0</v>
      </c>
      <c r="V29" s="25">
        <f t="shared" si="19"/>
        <v>64</v>
      </c>
      <c r="W29" s="26">
        <f t="shared" si="19"/>
        <v>48</v>
      </c>
      <c r="X29" s="27">
        <f t="shared" si="19"/>
        <v>0</v>
      </c>
      <c r="Y29" s="27">
        <f t="shared" si="19"/>
        <v>0</v>
      </c>
      <c r="Z29" s="27">
        <f t="shared" si="19"/>
        <v>0</v>
      </c>
      <c r="AA29" s="27">
        <f t="shared" si="19"/>
        <v>50</v>
      </c>
      <c r="AB29" s="28">
        <f>AVERAGE(AB6:AB28)</f>
        <v>0.68181818181818177</v>
      </c>
      <c r="AC29" s="4">
        <f>AVERAGE(AC6:AC28)</f>
        <v>0.53804347826086962</v>
      </c>
      <c r="AD29" s="4">
        <f>AVERAGE(AD6:AD28)</f>
        <v>0.53804347826086962</v>
      </c>
      <c r="AE29" s="29"/>
    </row>
    <row r="30" spans="1:32">
      <c r="T30" s="50" t="s">
        <v>128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129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2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81" t="s">
        <v>45</v>
      </c>
      <c r="B56" s="481"/>
      <c r="C56" s="481"/>
      <c r="D56" s="481"/>
      <c r="E56" s="481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82" t="s">
        <v>486</v>
      </c>
      <c r="B57" s="483"/>
      <c r="C57" s="483"/>
      <c r="D57" s="483"/>
      <c r="E57" s="483"/>
      <c r="F57" s="483"/>
      <c r="G57" s="483"/>
      <c r="H57" s="483"/>
      <c r="I57" s="483"/>
      <c r="J57" s="483"/>
      <c r="K57" s="483"/>
      <c r="L57" s="483"/>
      <c r="M57" s="484"/>
      <c r="N57" s="485" t="s">
        <v>498</v>
      </c>
      <c r="O57" s="486"/>
      <c r="P57" s="486"/>
      <c r="Q57" s="486"/>
      <c r="R57" s="486"/>
      <c r="S57" s="486"/>
      <c r="T57" s="486"/>
      <c r="U57" s="486"/>
      <c r="V57" s="486"/>
      <c r="W57" s="486"/>
      <c r="X57" s="486"/>
      <c r="Y57" s="486"/>
      <c r="Z57" s="486"/>
      <c r="AA57" s="486"/>
      <c r="AB57" s="486"/>
      <c r="AC57" s="486"/>
      <c r="AD57" s="487"/>
    </row>
    <row r="58" spans="1:32" ht="27" customHeight="1">
      <c r="A58" s="488" t="s">
        <v>2</v>
      </c>
      <c r="B58" s="489"/>
      <c r="C58" s="249" t="s">
        <v>46</v>
      </c>
      <c r="D58" s="249" t="s">
        <v>47</v>
      </c>
      <c r="E58" s="249" t="s">
        <v>107</v>
      </c>
      <c r="F58" s="490" t="s">
        <v>106</v>
      </c>
      <c r="G58" s="491"/>
      <c r="H58" s="491"/>
      <c r="I58" s="491"/>
      <c r="J58" s="491"/>
      <c r="K58" s="491"/>
      <c r="L58" s="491"/>
      <c r="M58" s="492"/>
      <c r="N58" s="67" t="s">
        <v>110</v>
      </c>
      <c r="O58" s="249" t="s">
        <v>46</v>
      </c>
      <c r="P58" s="490" t="s">
        <v>47</v>
      </c>
      <c r="Q58" s="493"/>
      <c r="R58" s="490" t="s">
        <v>38</v>
      </c>
      <c r="S58" s="491"/>
      <c r="T58" s="491"/>
      <c r="U58" s="493"/>
      <c r="V58" s="490" t="s">
        <v>48</v>
      </c>
      <c r="W58" s="491"/>
      <c r="X58" s="491"/>
      <c r="Y58" s="491"/>
      <c r="Z58" s="491"/>
      <c r="AA58" s="491"/>
      <c r="AB58" s="491"/>
      <c r="AC58" s="491"/>
      <c r="AD58" s="492"/>
    </row>
    <row r="59" spans="1:32" ht="27" customHeight="1">
      <c r="A59" s="455" t="s">
        <v>126</v>
      </c>
      <c r="B59" s="456"/>
      <c r="C59" s="244" t="s">
        <v>192</v>
      </c>
      <c r="D59" s="244" t="s">
        <v>127</v>
      </c>
      <c r="E59" s="245" t="s">
        <v>485</v>
      </c>
      <c r="F59" s="457" t="s">
        <v>187</v>
      </c>
      <c r="G59" s="458"/>
      <c r="H59" s="458"/>
      <c r="I59" s="458"/>
      <c r="J59" s="458"/>
      <c r="K59" s="458"/>
      <c r="L59" s="458"/>
      <c r="M59" s="459"/>
      <c r="N59" s="248" t="s">
        <v>116</v>
      </c>
      <c r="O59" s="242" t="s">
        <v>145</v>
      </c>
      <c r="P59" s="472" t="s">
        <v>499</v>
      </c>
      <c r="Q59" s="473"/>
      <c r="R59" s="472" t="s">
        <v>500</v>
      </c>
      <c r="S59" s="474"/>
      <c r="T59" s="474"/>
      <c r="U59" s="473"/>
      <c r="V59" s="461" t="s">
        <v>187</v>
      </c>
      <c r="W59" s="462"/>
      <c r="X59" s="462"/>
      <c r="Y59" s="462"/>
      <c r="Z59" s="462"/>
      <c r="AA59" s="462"/>
      <c r="AB59" s="462"/>
      <c r="AC59" s="462"/>
      <c r="AD59" s="463"/>
    </row>
    <row r="60" spans="1:32" ht="27" customHeight="1">
      <c r="A60" s="455" t="s">
        <v>112</v>
      </c>
      <c r="B60" s="456"/>
      <c r="C60" s="253" t="s">
        <v>286</v>
      </c>
      <c r="D60" s="253" t="s">
        <v>121</v>
      </c>
      <c r="E60" s="255" t="s">
        <v>152</v>
      </c>
      <c r="F60" s="457" t="s">
        <v>144</v>
      </c>
      <c r="G60" s="458"/>
      <c r="H60" s="458"/>
      <c r="I60" s="458"/>
      <c r="J60" s="458"/>
      <c r="K60" s="458"/>
      <c r="L60" s="458"/>
      <c r="M60" s="459"/>
      <c r="N60" s="248" t="s">
        <v>126</v>
      </c>
      <c r="O60" s="242" t="s">
        <v>501</v>
      </c>
      <c r="P60" s="472" t="s">
        <v>127</v>
      </c>
      <c r="Q60" s="473"/>
      <c r="R60" s="472" t="s">
        <v>502</v>
      </c>
      <c r="S60" s="474"/>
      <c r="T60" s="474"/>
      <c r="U60" s="473"/>
      <c r="V60" s="461" t="s">
        <v>503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112</v>
      </c>
      <c r="B61" s="456"/>
      <c r="C61" s="244" t="s">
        <v>487</v>
      </c>
      <c r="D61" s="244" t="s">
        <v>488</v>
      </c>
      <c r="E61" s="245" t="s">
        <v>489</v>
      </c>
      <c r="F61" s="457" t="s">
        <v>490</v>
      </c>
      <c r="G61" s="458"/>
      <c r="H61" s="458"/>
      <c r="I61" s="458"/>
      <c r="J61" s="458"/>
      <c r="K61" s="458"/>
      <c r="L61" s="458"/>
      <c r="M61" s="459"/>
      <c r="N61" s="248" t="s">
        <v>112</v>
      </c>
      <c r="O61" s="242" t="s">
        <v>453</v>
      </c>
      <c r="P61" s="472" t="s">
        <v>452</v>
      </c>
      <c r="Q61" s="473"/>
      <c r="R61" s="472" t="s">
        <v>448</v>
      </c>
      <c r="S61" s="474"/>
      <c r="T61" s="474"/>
      <c r="U61" s="473"/>
      <c r="V61" s="461" t="s">
        <v>503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492</v>
      </c>
      <c r="B62" s="456"/>
      <c r="C62" s="244" t="s">
        <v>493</v>
      </c>
      <c r="D62" s="244" t="s">
        <v>494</v>
      </c>
      <c r="E62" s="245" t="s">
        <v>484</v>
      </c>
      <c r="F62" s="457" t="s">
        <v>491</v>
      </c>
      <c r="G62" s="458"/>
      <c r="H62" s="458"/>
      <c r="I62" s="458"/>
      <c r="J62" s="458"/>
      <c r="K62" s="458"/>
      <c r="L62" s="458"/>
      <c r="M62" s="459"/>
      <c r="N62" s="254" t="s">
        <v>112</v>
      </c>
      <c r="O62" s="260" t="s">
        <v>180</v>
      </c>
      <c r="P62" s="472" t="s">
        <v>115</v>
      </c>
      <c r="Q62" s="473"/>
      <c r="R62" s="472" t="s">
        <v>143</v>
      </c>
      <c r="S62" s="474"/>
      <c r="T62" s="474"/>
      <c r="U62" s="473"/>
      <c r="V62" s="461" t="s">
        <v>503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112</v>
      </c>
      <c r="B63" s="456"/>
      <c r="C63" s="244" t="s">
        <v>497</v>
      </c>
      <c r="D63" s="244" t="s">
        <v>494</v>
      </c>
      <c r="E63" s="245" t="s">
        <v>495</v>
      </c>
      <c r="F63" s="457" t="s">
        <v>496</v>
      </c>
      <c r="G63" s="458"/>
      <c r="H63" s="458"/>
      <c r="I63" s="458"/>
      <c r="J63" s="458"/>
      <c r="K63" s="458"/>
      <c r="L63" s="458"/>
      <c r="M63" s="459"/>
      <c r="N63" s="248"/>
      <c r="O63" s="242"/>
      <c r="P63" s="472"/>
      <c r="Q63" s="473"/>
      <c r="R63" s="472"/>
      <c r="S63" s="474"/>
      <c r="T63" s="474"/>
      <c r="U63" s="473"/>
      <c r="V63" s="461"/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/>
      <c r="B64" s="456"/>
      <c r="C64" s="244"/>
      <c r="D64" s="244"/>
      <c r="E64" s="245"/>
      <c r="F64" s="457"/>
      <c r="G64" s="458"/>
      <c r="H64" s="458"/>
      <c r="I64" s="458"/>
      <c r="J64" s="458"/>
      <c r="K64" s="458"/>
      <c r="L64" s="458"/>
      <c r="M64" s="459"/>
      <c r="N64" s="248"/>
      <c r="O64" s="242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/>
      <c r="B65" s="456"/>
      <c r="C65" s="244"/>
      <c r="D65" s="244"/>
      <c r="E65" s="245"/>
      <c r="F65" s="457"/>
      <c r="G65" s="458"/>
      <c r="H65" s="458"/>
      <c r="I65" s="458"/>
      <c r="J65" s="458"/>
      <c r="K65" s="458"/>
      <c r="L65" s="458"/>
      <c r="M65" s="459"/>
      <c r="N65" s="248"/>
      <c r="O65" s="242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244"/>
      <c r="D66" s="244"/>
      <c r="E66" s="245"/>
      <c r="F66" s="457"/>
      <c r="G66" s="458"/>
      <c r="H66" s="458"/>
      <c r="I66" s="458"/>
      <c r="J66" s="458"/>
      <c r="K66" s="458"/>
      <c r="L66" s="458"/>
      <c r="M66" s="459"/>
      <c r="N66" s="248"/>
      <c r="O66" s="242"/>
      <c r="P66" s="472"/>
      <c r="Q66" s="473"/>
      <c r="R66" s="472"/>
      <c r="S66" s="474"/>
      <c r="T66" s="474"/>
      <c r="U66" s="473"/>
      <c r="V66" s="461"/>
      <c r="W66" s="462"/>
      <c r="X66" s="462"/>
      <c r="Y66" s="462"/>
      <c r="Z66" s="462"/>
      <c r="AA66" s="462"/>
      <c r="AB66" s="462"/>
      <c r="AC66" s="462"/>
      <c r="AD66" s="463"/>
    </row>
    <row r="67" spans="1:32" ht="27" customHeight="1">
      <c r="A67" s="455"/>
      <c r="B67" s="456"/>
      <c r="C67" s="244"/>
      <c r="D67" s="244"/>
      <c r="E67" s="245"/>
      <c r="F67" s="457"/>
      <c r="G67" s="458"/>
      <c r="H67" s="458"/>
      <c r="I67" s="458"/>
      <c r="J67" s="458"/>
      <c r="K67" s="458"/>
      <c r="L67" s="458"/>
      <c r="M67" s="459"/>
      <c r="N67" s="248"/>
      <c r="O67" s="242"/>
      <c r="P67" s="460"/>
      <c r="Q67" s="460"/>
      <c r="R67" s="460"/>
      <c r="S67" s="460"/>
      <c r="T67" s="460"/>
      <c r="U67" s="460"/>
      <c r="V67" s="461"/>
      <c r="W67" s="462"/>
      <c r="X67" s="462"/>
      <c r="Y67" s="462"/>
      <c r="Z67" s="462"/>
      <c r="AA67" s="462"/>
      <c r="AB67" s="462"/>
      <c r="AC67" s="462"/>
      <c r="AD67" s="463"/>
      <c r="AF67" s="81">
        <f>8*3000</f>
        <v>24000</v>
      </c>
    </row>
    <row r="68" spans="1:32" ht="27" customHeight="1" thickBot="1">
      <c r="A68" s="464"/>
      <c r="B68" s="465"/>
      <c r="C68" s="246"/>
      <c r="D68" s="247"/>
      <c r="E68" s="246"/>
      <c r="F68" s="466"/>
      <c r="G68" s="467"/>
      <c r="H68" s="467"/>
      <c r="I68" s="467"/>
      <c r="J68" s="467"/>
      <c r="K68" s="467"/>
      <c r="L68" s="467"/>
      <c r="M68" s="468"/>
      <c r="N68" s="105"/>
      <c r="O68" s="97"/>
      <c r="P68" s="469"/>
      <c r="Q68" s="469"/>
      <c r="R68" s="469"/>
      <c r="S68" s="469"/>
      <c r="T68" s="469"/>
      <c r="U68" s="469"/>
      <c r="V68" s="470"/>
      <c r="W68" s="470"/>
      <c r="X68" s="470"/>
      <c r="Y68" s="470"/>
      <c r="Z68" s="470"/>
      <c r="AA68" s="470"/>
      <c r="AB68" s="470"/>
      <c r="AC68" s="470"/>
      <c r="AD68" s="471"/>
      <c r="AF68" s="81">
        <f>16*3000</f>
        <v>48000</v>
      </c>
    </row>
    <row r="69" spans="1:32" ht="27.75" thickBot="1">
      <c r="A69" s="453" t="s">
        <v>504</v>
      </c>
      <c r="B69" s="453"/>
      <c r="C69" s="453"/>
      <c r="D69" s="453"/>
      <c r="E69" s="453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1">
        <v>24000</v>
      </c>
    </row>
    <row r="70" spans="1:32" ht="29.25" customHeight="1" thickBot="1">
      <c r="A70" s="454" t="s">
        <v>111</v>
      </c>
      <c r="B70" s="451"/>
      <c r="C70" s="243" t="s">
        <v>2</v>
      </c>
      <c r="D70" s="243" t="s">
        <v>37</v>
      </c>
      <c r="E70" s="243" t="s">
        <v>3</v>
      </c>
      <c r="F70" s="451" t="s">
        <v>109</v>
      </c>
      <c r="G70" s="451"/>
      <c r="H70" s="451"/>
      <c r="I70" s="451"/>
      <c r="J70" s="451"/>
      <c r="K70" s="451" t="s">
        <v>39</v>
      </c>
      <c r="L70" s="451"/>
      <c r="M70" s="243" t="s">
        <v>40</v>
      </c>
      <c r="N70" s="451" t="s">
        <v>41</v>
      </c>
      <c r="O70" s="451"/>
      <c r="P70" s="448" t="s">
        <v>42</v>
      </c>
      <c r="Q70" s="450"/>
      <c r="R70" s="448" t="s">
        <v>43</v>
      </c>
      <c r="S70" s="449"/>
      <c r="T70" s="449"/>
      <c r="U70" s="449"/>
      <c r="V70" s="449"/>
      <c r="W70" s="449"/>
      <c r="X70" s="449"/>
      <c r="Y70" s="449"/>
      <c r="Z70" s="449"/>
      <c r="AA70" s="450"/>
      <c r="AB70" s="451" t="s">
        <v>44</v>
      </c>
      <c r="AC70" s="451"/>
      <c r="AD70" s="452"/>
      <c r="AF70" s="81">
        <f>SUM(AF67:AF69)</f>
        <v>96000</v>
      </c>
    </row>
    <row r="71" spans="1:32" ht="25.5" customHeight="1">
      <c r="A71" s="439">
        <v>1</v>
      </c>
      <c r="B71" s="440"/>
      <c r="C71" s="98" t="s">
        <v>116</v>
      </c>
      <c r="D71" s="238"/>
      <c r="E71" s="241" t="s">
        <v>439</v>
      </c>
      <c r="F71" s="441" t="s">
        <v>505</v>
      </c>
      <c r="G71" s="431"/>
      <c r="H71" s="431"/>
      <c r="I71" s="431"/>
      <c r="J71" s="431"/>
      <c r="K71" s="431">
        <v>7301</v>
      </c>
      <c r="L71" s="431"/>
      <c r="M71" s="51" t="s">
        <v>358</v>
      </c>
      <c r="N71" s="442" t="s">
        <v>479</v>
      </c>
      <c r="O71" s="442"/>
      <c r="P71" s="443">
        <v>50</v>
      </c>
      <c r="Q71" s="443"/>
      <c r="R71" s="444" t="s">
        <v>506</v>
      </c>
      <c r="S71" s="444"/>
      <c r="T71" s="444"/>
      <c r="U71" s="444"/>
      <c r="V71" s="444"/>
      <c r="W71" s="444"/>
      <c r="X71" s="444"/>
      <c r="Y71" s="444"/>
      <c r="Z71" s="444"/>
      <c r="AA71" s="444"/>
      <c r="AB71" s="431"/>
      <c r="AC71" s="431"/>
      <c r="AD71" s="432"/>
      <c r="AF71" s="50"/>
    </row>
    <row r="72" spans="1:32" ht="25.5" customHeight="1">
      <c r="A72" s="439">
        <v>2</v>
      </c>
      <c r="B72" s="440"/>
      <c r="C72" s="98" t="s">
        <v>116</v>
      </c>
      <c r="D72" s="238"/>
      <c r="E72" s="241" t="s">
        <v>508</v>
      </c>
      <c r="F72" s="441" t="s">
        <v>507</v>
      </c>
      <c r="G72" s="431"/>
      <c r="H72" s="431"/>
      <c r="I72" s="431"/>
      <c r="J72" s="431"/>
      <c r="K72" s="431" t="s">
        <v>509</v>
      </c>
      <c r="L72" s="431"/>
      <c r="M72" s="51" t="s">
        <v>358</v>
      </c>
      <c r="N72" s="442" t="s">
        <v>155</v>
      </c>
      <c r="O72" s="442"/>
      <c r="P72" s="443">
        <v>50</v>
      </c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3</v>
      </c>
      <c r="B73" s="440"/>
      <c r="C73" s="98" t="s">
        <v>511</v>
      </c>
      <c r="D73" s="238"/>
      <c r="E73" s="241" t="s">
        <v>512</v>
      </c>
      <c r="F73" s="441" t="s">
        <v>510</v>
      </c>
      <c r="G73" s="431"/>
      <c r="H73" s="431"/>
      <c r="I73" s="431"/>
      <c r="J73" s="431"/>
      <c r="K73" s="431" t="s">
        <v>513</v>
      </c>
      <c r="L73" s="431"/>
      <c r="M73" s="51" t="s">
        <v>514</v>
      </c>
      <c r="N73" s="442" t="s">
        <v>515</v>
      </c>
      <c r="O73" s="442"/>
      <c r="P73" s="443">
        <v>50</v>
      </c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4</v>
      </c>
      <c r="B74" s="440"/>
      <c r="C74" s="98" t="s">
        <v>116</v>
      </c>
      <c r="D74" s="238"/>
      <c r="E74" s="241" t="s">
        <v>517</v>
      </c>
      <c r="F74" s="445" t="s">
        <v>516</v>
      </c>
      <c r="G74" s="446"/>
      <c r="H74" s="446"/>
      <c r="I74" s="446"/>
      <c r="J74" s="447"/>
      <c r="K74" s="431" t="s">
        <v>518</v>
      </c>
      <c r="L74" s="431"/>
      <c r="M74" s="51" t="s">
        <v>514</v>
      </c>
      <c r="N74" s="442" t="s">
        <v>519</v>
      </c>
      <c r="O74" s="442"/>
      <c r="P74" s="443">
        <v>50</v>
      </c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5</v>
      </c>
      <c r="B75" s="440"/>
      <c r="C75" s="98"/>
      <c r="D75" s="238"/>
      <c r="E75" s="241"/>
      <c r="F75" s="445"/>
      <c r="G75" s="446"/>
      <c r="H75" s="446"/>
      <c r="I75" s="446"/>
      <c r="J75" s="447"/>
      <c r="K75" s="431"/>
      <c r="L75" s="431"/>
      <c r="M75" s="51"/>
      <c r="N75" s="442"/>
      <c r="O75" s="442"/>
      <c r="P75" s="443"/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6</v>
      </c>
      <c r="B76" s="440"/>
      <c r="C76" s="98"/>
      <c r="D76" s="238"/>
      <c r="E76" s="241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7</v>
      </c>
      <c r="B77" s="440"/>
      <c r="C77" s="98"/>
      <c r="D77" s="238"/>
      <c r="E77" s="241"/>
      <c r="F77" s="445"/>
      <c r="G77" s="446"/>
      <c r="H77" s="446"/>
      <c r="I77" s="446"/>
      <c r="J77" s="447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8</v>
      </c>
      <c r="B78" s="440"/>
      <c r="C78" s="98"/>
      <c r="D78" s="238"/>
      <c r="E78" s="241"/>
      <c r="F78" s="441"/>
      <c r="G78" s="431"/>
      <c r="H78" s="431"/>
      <c r="I78" s="431"/>
      <c r="J78" s="431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9</v>
      </c>
      <c r="B79" s="440"/>
      <c r="C79" s="98"/>
      <c r="D79" s="238"/>
      <c r="E79" s="241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5.5" customHeight="1">
      <c r="A80" s="439">
        <v>10</v>
      </c>
      <c r="B80" s="440"/>
      <c r="C80" s="98"/>
      <c r="D80" s="238"/>
      <c r="E80" s="241"/>
      <c r="F80" s="441"/>
      <c r="G80" s="431"/>
      <c r="H80" s="431"/>
      <c r="I80" s="431"/>
      <c r="J80" s="431"/>
      <c r="K80" s="431"/>
      <c r="L80" s="431"/>
      <c r="M80" s="51"/>
      <c r="N80" s="442"/>
      <c r="O80" s="442"/>
      <c r="P80" s="443"/>
      <c r="Q80" s="443"/>
      <c r="R80" s="444"/>
      <c r="S80" s="444"/>
      <c r="T80" s="444"/>
      <c r="U80" s="444"/>
      <c r="V80" s="444"/>
      <c r="W80" s="444"/>
      <c r="X80" s="444"/>
      <c r="Y80" s="444"/>
      <c r="Z80" s="444"/>
      <c r="AA80" s="444"/>
      <c r="AB80" s="431"/>
      <c r="AC80" s="431"/>
      <c r="AD80" s="432"/>
      <c r="AF80" s="50"/>
    </row>
    <row r="81" spans="1:32" ht="26.25" customHeight="1" thickBot="1">
      <c r="A81" s="411" t="s">
        <v>520</v>
      </c>
      <c r="B81" s="411"/>
      <c r="C81" s="411"/>
      <c r="D81" s="411"/>
      <c r="E81" s="411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33" t="s">
        <v>111</v>
      </c>
      <c r="B82" s="434"/>
      <c r="C82" s="240" t="s">
        <v>2</v>
      </c>
      <c r="D82" s="240" t="s">
        <v>37</v>
      </c>
      <c r="E82" s="240" t="s">
        <v>120</v>
      </c>
      <c r="F82" s="413" t="s">
        <v>38</v>
      </c>
      <c r="G82" s="413"/>
      <c r="H82" s="413"/>
      <c r="I82" s="413"/>
      <c r="J82" s="413"/>
      <c r="K82" s="435" t="s">
        <v>58</v>
      </c>
      <c r="L82" s="436"/>
      <c r="M82" s="436"/>
      <c r="N82" s="436"/>
      <c r="O82" s="436"/>
      <c r="P82" s="436"/>
      <c r="Q82" s="436"/>
      <c r="R82" s="436"/>
      <c r="S82" s="437"/>
      <c r="T82" s="413" t="s">
        <v>49</v>
      </c>
      <c r="U82" s="413"/>
      <c r="V82" s="435" t="s">
        <v>50</v>
      </c>
      <c r="W82" s="437"/>
      <c r="X82" s="436" t="s">
        <v>51</v>
      </c>
      <c r="Y82" s="436"/>
      <c r="Z82" s="436"/>
      <c r="AA82" s="436"/>
      <c r="AB82" s="436"/>
      <c r="AC82" s="436"/>
      <c r="AD82" s="438"/>
      <c r="AF82" s="50"/>
    </row>
    <row r="83" spans="1:32" ht="33.75" customHeight="1">
      <c r="A83" s="405">
        <v>1</v>
      </c>
      <c r="B83" s="406"/>
      <c r="C83" s="239"/>
      <c r="D83" s="239"/>
      <c r="E83" s="65"/>
      <c r="F83" s="420"/>
      <c r="G83" s="421"/>
      <c r="H83" s="421"/>
      <c r="I83" s="421"/>
      <c r="J83" s="422"/>
      <c r="K83" s="423"/>
      <c r="L83" s="424"/>
      <c r="M83" s="424"/>
      <c r="N83" s="424"/>
      <c r="O83" s="424"/>
      <c r="P83" s="424"/>
      <c r="Q83" s="424"/>
      <c r="R83" s="424"/>
      <c r="S83" s="425"/>
      <c r="T83" s="426"/>
      <c r="U83" s="427"/>
      <c r="V83" s="428"/>
      <c r="W83" s="428"/>
      <c r="X83" s="429"/>
      <c r="Y83" s="429"/>
      <c r="Z83" s="429"/>
      <c r="AA83" s="429"/>
      <c r="AB83" s="429"/>
      <c r="AC83" s="429"/>
      <c r="AD83" s="430"/>
      <c r="AF83" s="50"/>
    </row>
    <row r="84" spans="1:32" ht="30" customHeight="1">
      <c r="A84" s="398">
        <f>A83+1</f>
        <v>2</v>
      </c>
      <c r="B84" s="399"/>
      <c r="C84" s="238"/>
      <c r="D84" s="238"/>
      <c r="E84" s="32"/>
      <c r="F84" s="399"/>
      <c r="G84" s="399"/>
      <c r="H84" s="399"/>
      <c r="I84" s="399"/>
      <c r="J84" s="399"/>
      <c r="K84" s="414"/>
      <c r="L84" s="415"/>
      <c r="M84" s="415"/>
      <c r="N84" s="415"/>
      <c r="O84" s="415"/>
      <c r="P84" s="415"/>
      <c r="Q84" s="415"/>
      <c r="R84" s="415"/>
      <c r="S84" s="416"/>
      <c r="T84" s="417"/>
      <c r="U84" s="417"/>
      <c r="V84" s="417"/>
      <c r="W84" s="417"/>
      <c r="X84" s="418"/>
      <c r="Y84" s="418"/>
      <c r="Z84" s="418"/>
      <c r="AA84" s="418"/>
      <c r="AB84" s="418"/>
      <c r="AC84" s="418"/>
      <c r="AD84" s="419"/>
      <c r="AF84" s="50"/>
    </row>
    <row r="85" spans="1:32" ht="30" customHeight="1">
      <c r="A85" s="398">
        <f t="shared" ref="A85:A89" si="20">A84+1</f>
        <v>3</v>
      </c>
      <c r="B85" s="399"/>
      <c r="C85" s="238"/>
      <c r="D85" s="238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si="20"/>
        <v>4</v>
      </c>
      <c r="B86" s="399"/>
      <c r="C86" s="238"/>
      <c r="D86" s="238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20"/>
        <v>5</v>
      </c>
      <c r="B87" s="399"/>
      <c r="C87" s="238"/>
      <c r="D87" s="238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20"/>
        <v>6</v>
      </c>
      <c r="B88" s="399"/>
      <c r="C88" s="238"/>
      <c r="D88" s="238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0" customHeight="1">
      <c r="A89" s="398">
        <f t="shared" si="20"/>
        <v>7</v>
      </c>
      <c r="B89" s="399"/>
      <c r="C89" s="238"/>
      <c r="D89" s="238"/>
      <c r="E89" s="32"/>
      <c r="F89" s="399"/>
      <c r="G89" s="399"/>
      <c r="H89" s="399"/>
      <c r="I89" s="399"/>
      <c r="J89" s="399"/>
      <c r="K89" s="414"/>
      <c r="L89" s="415"/>
      <c r="M89" s="415"/>
      <c r="N89" s="415"/>
      <c r="O89" s="415"/>
      <c r="P89" s="415"/>
      <c r="Q89" s="415"/>
      <c r="R89" s="415"/>
      <c r="S89" s="416"/>
      <c r="T89" s="417"/>
      <c r="U89" s="417"/>
      <c r="V89" s="417"/>
      <c r="W89" s="417"/>
      <c r="X89" s="418"/>
      <c r="Y89" s="418"/>
      <c r="Z89" s="418"/>
      <c r="AA89" s="418"/>
      <c r="AB89" s="418"/>
      <c r="AC89" s="418"/>
      <c r="AD89" s="419"/>
      <c r="AF89" s="50"/>
    </row>
    <row r="90" spans="1:32" ht="36" thickBot="1">
      <c r="A90" s="411" t="s">
        <v>521</v>
      </c>
      <c r="B90" s="411"/>
      <c r="C90" s="411"/>
      <c r="D90" s="411"/>
      <c r="E90" s="411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12" t="s">
        <v>111</v>
      </c>
      <c r="B91" s="413"/>
      <c r="C91" s="403" t="s">
        <v>52</v>
      </c>
      <c r="D91" s="403"/>
      <c r="E91" s="403" t="s">
        <v>53</v>
      </c>
      <c r="F91" s="403"/>
      <c r="G91" s="403"/>
      <c r="H91" s="403"/>
      <c r="I91" s="403"/>
      <c r="J91" s="403"/>
      <c r="K91" s="403" t="s">
        <v>54</v>
      </c>
      <c r="L91" s="403"/>
      <c r="M91" s="403"/>
      <c r="N91" s="403"/>
      <c r="O91" s="403"/>
      <c r="P91" s="403"/>
      <c r="Q91" s="403"/>
      <c r="R91" s="403"/>
      <c r="S91" s="403"/>
      <c r="T91" s="403" t="s">
        <v>55</v>
      </c>
      <c r="U91" s="403"/>
      <c r="V91" s="403" t="s">
        <v>56</v>
      </c>
      <c r="W91" s="403"/>
      <c r="X91" s="403"/>
      <c r="Y91" s="403" t="s">
        <v>51</v>
      </c>
      <c r="Z91" s="403"/>
      <c r="AA91" s="403"/>
      <c r="AB91" s="403"/>
      <c r="AC91" s="403"/>
      <c r="AD91" s="404"/>
      <c r="AF91" s="50"/>
    </row>
    <row r="92" spans="1:32" ht="30.75" customHeight="1">
      <c r="A92" s="405">
        <v>1</v>
      </c>
      <c r="B92" s="406"/>
      <c r="C92" s="407"/>
      <c r="D92" s="407"/>
      <c r="E92" s="407"/>
      <c r="F92" s="407"/>
      <c r="G92" s="407"/>
      <c r="H92" s="407"/>
      <c r="I92" s="407"/>
      <c r="J92" s="407"/>
      <c r="K92" s="407"/>
      <c r="L92" s="407"/>
      <c r="M92" s="407"/>
      <c r="N92" s="407"/>
      <c r="O92" s="407"/>
      <c r="P92" s="407"/>
      <c r="Q92" s="407"/>
      <c r="R92" s="407"/>
      <c r="S92" s="407"/>
      <c r="T92" s="407"/>
      <c r="U92" s="407"/>
      <c r="V92" s="408"/>
      <c r="W92" s="408"/>
      <c r="X92" s="408"/>
      <c r="Y92" s="409"/>
      <c r="Z92" s="409"/>
      <c r="AA92" s="409"/>
      <c r="AB92" s="409"/>
      <c r="AC92" s="409"/>
      <c r="AD92" s="410"/>
      <c r="AF92" s="50"/>
    </row>
    <row r="93" spans="1:32" ht="30.75" customHeight="1">
      <c r="A93" s="398">
        <v>2</v>
      </c>
      <c r="B93" s="399"/>
      <c r="C93" s="400"/>
      <c r="D93" s="400"/>
      <c r="E93" s="400"/>
      <c r="F93" s="400"/>
      <c r="G93" s="400"/>
      <c r="H93" s="400"/>
      <c r="I93" s="400"/>
      <c r="J93" s="400"/>
      <c r="K93" s="400"/>
      <c r="L93" s="400"/>
      <c r="M93" s="400"/>
      <c r="N93" s="400"/>
      <c r="O93" s="400"/>
      <c r="P93" s="400"/>
      <c r="Q93" s="400"/>
      <c r="R93" s="400"/>
      <c r="S93" s="400"/>
      <c r="T93" s="401"/>
      <c r="U93" s="401"/>
      <c r="V93" s="402"/>
      <c r="W93" s="402"/>
      <c r="X93" s="402"/>
      <c r="Y93" s="390"/>
      <c r="Z93" s="390"/>
      <c r="AA93" s="390"/>
      <c r="AB93" s="390"/>
      <c r="AC93" s="390"/>
      <c r="AD93" s="391"/>
      <c r="AF93" s="50"/>
    </row>
    <row r="94" spans="1:32" ht="30.75" customHeight="1" thickBot="1">
      <c r="A94" s="392">
        <v>3</v>
      </c>
      <c r="B94" s="393"/>
      <c r="C94" s="394"/>
      <c r="D94" s="394"/>
      <c r="E94" s="394"/>
      <c r="F94" s="394"/>
      <c r="G94" s="394"/>
      <c r="H94" s="394"/>
      <c r="I94" s="394"/>
      <c r="J94" s="394"/>
      <c r="K94" s="394"/>
      <c r="L94" s="394"/>
      <c r="M94" s="394"/>
      <c r="N94" s="394"/>
      <c r="O94" s="394"/>
      <c r="P94" s="394"/>
      <c r="Q94" s="394"/>
      <c r="R94" s="394"/>
      <c r="S94" s="394"/>
      <c r="T94" s="394"/>
      <c r="U94" s="394"/>
      <c r="V94" s="395"/>
      <c r="W94" s="395"/>
      <c r="X94" s="395"/>
      <c r="Y94" s="396"/>
      <c r="Z94" s="396"/>
      <c r="AA94" s="396"/>
      <c r="AB94" s="396"/>
      <c r="AC94" s="396"/>
      <c r="AD94" s="397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AF8D-AD1C-42B6-A334-5E4F50CB073C}">
  <sheetPr codeName="Sheet14">
    <pageSetUpPr fitToPage="1"/>
  </sheetPr>
  <dimension ref="A1:AF93"/>
  <sheetViews>
    <sheetView view="pageBreakPreview" zoomScale="70" zoomScaleNormal="72" zoomScaleSheetLayoutView="70" workbookViewId="0">
      <selection activeCell="F84" sqref="F84:J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522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251" t="s">
        <v>17</v>
      </c>
      <c r="L5" s="251" t="s">
        <v>18</v>
      </c>
      <c r="M5" s="251" t="s">
        <v>19</v>
      </c>
      <c r="N5" s="25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1880</v>
      </c>
      <c r="K6" s="15">
        <f>L6+5046+2812+7738+10312+1880</f>
        <v>27788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>AC6*AB6*(1-O6)</f>
        <v>0</v>
      </c>
      <c r="AE6" s="36">
        <f t="shared" ref="AE6:AE27" si="6">$AD$28</f>
        <v>0.61931818181818177</v>
      </c>
      <c r="AF6" s="81">
        <f t="shared" ref="AF6:AF27" si="7">A6</f>
        <v>1</v>
      </c>
    </row>
    <row r="7" spans="1:32" ht="27" customHeight="1">
      <c r="A7" s="106">
        <v>2</v>
      </c>
      <c r="B7" s="11" t="s">
        <v>57</v>
      </c>
      <c r="C7" s="34" t="s">
        <v>163</v>
      </c>
      <c r="D7" s="52" t="s">
        <v>138</v>
      </c>
      <c r="E7" s="53" t="s">
        <v>179</v>
      </c>
      <c r="F7" s="30" t="s">
        <v>137</v>
      </c>
      <c r="G7" s="12">
        <v>1</v>
      </c>
      <c r="H7" s="13">
        <v>24</v>
      </c>
      <c r="I7" s="31">
        <v>30000</v>
      </c>
      <c r="J7" s="14">
        <v>6133</v>
      </c>
      <c r="K7" s="15">
        <f>L7+3491+6360+5775+6107+6201</f>
        <v>34067</v>
      </c>
      <c r="L7" s="15">
        <f>3102+3031</f>
        <v>6133</v>
      </c>
      <c r="M7" s="15">
        <f t="shared" si="0"/>
        <v>6133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7" si="8">AC7*AB7*(1-O7)</f>
        <v>1</v>
      </c>
      <c r="AE7" s="36">
        <f t="shared" si="6"/>
        <v>0.61931818181818177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115</v>
      </c>
      <c r="E8" s="53" t="s">
        <v>382</v>
      </c>
      <c r="F8" s="30" t="s">
        <v>168</v>
      </c>
      <c r="G8" s="12">
        <v>1</v>
      </c>
      <c r="H8" s="13">
        <v>22</v>
      </c>
      <c r="I8" s="31">
        <v>1000</v>
      </c>
      <c r="J8" s="5">
        <v>1559</v>
      </c>
      <c r="K8" s="15">
        <f>L8+1559</f>
        <v>1559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8"/>
        <v>0</v>
      </c>
      <c r="AE8" s="36">
        <f t="shared" si="6"/>
        <v>0.61931818181818177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499</v>
      </c>
      <c r="E9" s="53" t="s">
        <v>523</v>
      </c>
      <c r="F9" s="30" t="s">
        <v>524</v>
      </c>
      <c r="G9" s="12" t="s">
        <v>525</v>
      </c>
      <c r="H9" s="13">
        <v>24</v>
      </c>
      <c r="I9" s="7">
        <v>20000</v>
      </c>
      <c r="J9" s="14">
        <v>4212</v>
      </c>
      <c r="K9" s="15">
        <f>L9</f>
        <v>4212</v>
      </c>
      <c r="L9" s="15">
        <f>2604+1608</f>
        <v>4212</v>
      </c>
      <c r="M9" s="15">
        <f t="shared" si="0"/>
        <v>4212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8"/>
        <v>0.875</v>
      </c>
      <c r="AE9" s="36">
        <f t="shared" si="6"/>
        <v>0.61931818181818177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3381</v>
      </c>
      <c r="K10" s="15">
        <f>L10+5338+5669+5744+4980+3619+1932+309+2790+5660+4715+1739+3127+5884+1203+3638+5732+5658+5217+2430+1897+5596+5715+3707+799+2709+2266+5086</f>
        <v>106540</v>
      </c>
      <c r="L10" s="15">
        <f>682+2699</f>
        <v>3381</v>
      </c>
      <c r="M10" s="15">
        <f t="shared" si="0"/>
        <v>3381</v>
      </c>
      <c r="N10" s="15">
        <v>0</v>
      </c>
      <c r="O10" s="58">
        <f t="shared" si="1"/>
        <v>0</v>
      </c>
      <c r="P10" s="39">
        <f t="shared" si="2"/>
        <v>18</v>
      </c>
      <c r="Q10" s="40">
        <f t="shared" si="3"/>
        <v>6</v>
      </c>
      <c r="R10" s="7"/>
      <c r="S10" s="6">
        <v>6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0.75</v>
      </c>
      <c r="AD10" s="10">
        <f t="shared" si="8"/>
        <v>0.75</v>
      </c>
      <c r="AE10" s="36">
        <f t="shared" si="6"/>
        <v>0.61931818181818177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121</v>
      </c>
      <c r="E11" s="53" t="s">
        <v>526</v>
      </c>
      <c r="F11" s="30" t="s">
        <v>235</v>
      </c>
      <c r="G11" s="33">
        <v>1</v>
      </c>
      <c r="H11" s="35">
        <v>24</v>
      </c>
      <c r="I11" s="7">
        <v>20000</v>
      </c>
      <c r="J11" s="14">
        <v>3446</v>
      </c>
      <c r="K11" s="15">
        <f>L11</f>
        <v>3446</v>
      </c>
      <c r="L11" s="15">
        <f>945+2501</f>
        <v>3446</v>
      </c>
      <c r="M11" s="15">
        <f t="shared" si="0"/>
        <v>3446</v>
      </c>
      <c r="N11" s="15">
        <v>0</v>
      </c>
      <c r="O11" s="58">
        <f t="shared" si="1"/>
        <v>0</v>
      </c>
      <c r="P11" s="39">
        <f t="shared" si="2"/>
        <v>18</v>
      </c>
      <c r="Q11" s="40">
        <f t="shared" si="3"/>
        <v>6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6</v>
      </c>
      <c r="AB11" s="8">
        <f t="shared" si="4"/>
        <v>1</v>
      </c>
      <c r="AC11" s="9">
        <f t="shared" si="5"/>
        <v>0.75</v>
      </c>
      <c r="AD11" s="10">
        <f t="shared" si="8"/>
        <v>0.75</v>
      </c>
      <c r="AE11" s="36">
        <f t="shared" si="6"/>
        <v>0.61931818181818177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222</v>
      </c>
      <c r="F12" s="30" t="s">
        <v>205</v>
      </c>
      <c r="G12" s="12">
        <v>1</v>
      </c>
      <c r="H12" s="13">
        <v>22</v>
      </c>
      <c r="I12" s="31">
        <v>20000</v>
      </c>
      <c r="J12" s="5">
        <v>4782</v>
      </c>
      <c r="K12" s="15">
        <f>L12+3965+5033</f>
        <v>13780</v>
      </c>
      <c r="L12" s="15">
        <f>2517+2265</f>
        <v>4782</v>
      </c>
      <c r="M12" s="15">
        <f t="shared" si="0"/>
        <v>4782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0.61931818181818177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126</v>
      </c>
      <c r="D13" s="52"/>
      <c r="E13" s="53" t="s">
        <v>304</v>
      </c>
      <c r="F13" s="30" t="s">
        <v>122</v>
      </c>
      <c r="G13" s="33">
        <v>1</v>
      </c>
      <c r="H13" s="35">
        <v>22</v>
      </c>
      <c r="I13" s="7">
        <v>12000</v>
      </c>
      <c r="J13" s="14">
        <v>4609</v>
      </c>
      <c r="K13" s="15">
        <f>L13+3169+4592+2342+4452+3533+2343</f>
        <v>25040</v>
      </c>
      <c r="L13" s="15">
        <f>2278+2331</f>
        <v>4609</v>
      </c>
      <c r="M13" s="15">
        <f t="shared" si="0"/>
        <v>4609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0.61931818181818177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163</v>
      </c>
      <c r="D14" s="52" t="s">
        <v>115</v>
      </c>
      <c r="E14" s="53" t="s">
        <v>484</v>
      </c>
      <c r="F14" s="30" t="s">
        <v>139</v>
      </c>
      <c r="G14" s="33">
        <v>1</v>
      </c>
      <c r="H14" s="35">
        <v>50</v>
      </c>
      <c r="I14" s="7">
        <v>100</v>
      </c>
      <c r="J14" s="5">
        <v>250</v>
      </c>
      <c r="K14" s="15">
        <f>L14+250</f>
        <v>250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0.61931818181818177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138</v>
      </c>
      <c r="E15" s="53" t="s">
        <v>147</v>
      </c>
      <c r="F15" s="30" t="s">
        <v>139</v>
      </c>
      <c r="G15" s="12">
        <v>2</v>
      </c>
      <c r="H15" s="13">
        <v>24</v>
      </c>
      <c r="I15" s="31">
        <v>45000</v>
      </c>
      <c r="J15" s="14">
        <v>11990</v>
      </c>
      <c r="K15" s="15">
        <f>L15+11556+1152+11338+6210+12150</f>
        <v>54396</v>
      </c>
      <c r="L15" s="15">
        <f>3035*2+2960*2</f>
        <v>11990</v>
      </c>
      <c r="M15" s="15">
        <f t="shared" si="0"/>
        <v>11990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0.61931818181818177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527</v>
      </c>
      <c r="F16" s="30" t="s">
        <v>123</v>
      </c>
      <c r="G16" s="12">
        <v>2</v>
      </c>
      <c r="H16" s="13">
        <v>22</v>
      </c>
      <c r="I16" s="31">
        <v>10000</v>
      </c>
      <c r="J16" s="5">
        <v>6894</v>
      </c>
      <c r="K16" s="15">
        <f>L16</f>
        <v>6894</v>
      </c>
      <c r="L16" s="15">
        <f>1247*2+2200*2</f>
        <v>6894</v>
      </c>
      <c r="M16" s="15">
        <f t="shared" si="0"/>
        <v>6894</v>
      </c>
      <c r="N16" s="15">
        <v>0</v>
      </c>
      <c r="O16" s="58">
        <f t="shared" si="1"/>
        <v>0</v>
      </c>
      <c r="P16" s="39">
        <f t="shared" si="2"/>
        <v>19</v>
      </c>
      <c r="Q16" s="40">
        <f t="shared" si="3"/>
        <v>5</v>
      </c>
      <c r="R16" s="7"/>
      <c r="S16" s="6">
        <v>5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0.79166666666666663</v>
      </c>
      <c r="AD16" s="10">
        <f t="shared" si="8"/>
        <v>0.79166666666666663</v>
      </c>
      <c r="AE16" s="36">
        <f t="shared" si="6"/>
        <v>0.61931818181818177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126</v>
      </c>
      <c r="D17" s="52" t="s">
        <v>127</v>
      </c>
      <c r="E17" s="53" t="s">
        <v>485</v>
      </c>
      <c r="F17" s="30" t="s">
        <v>213</v>
      </c>
      <c r="G17" s="12">
        <v>4</v>
      </c>
      <c r="H17" s="13">
        <v>24</v>
      </c>
      <c r="I17" s="7">
        <v>30000</v>
      </c>
      <c r="J17" s="14">
        <v>21192</v>
      </c>
      <c r="K17" s="15">
        <f>L17+20644</f>
        <v>41836</v>
      </c>
      <c r="L17" s="15">
        <f>2434*4+2864*4</f>
        <v>21192</v>
      </c>
      <c r="M17" s="15">
        <f t="shared" si="0"/>
        <v>21192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0.61931818181818177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127</v>
      </c>
      <c r="E18" s="53" t="s">
        <v>417</v>
      </c>
      <c r="F18" s="30" t="s">
        <v>123</v>
      </c>
      <c r="G18" s="12">
        <v>1</v>
      </c>
      <c r="H18" s="13">
        <v>22</v>
      </c>
      <c r="I18" s="31">
        <v>20000</v>
      </c>
      <c r="J18" s="5">
        <v>5080</v>
      </c>
      <c r="K18" s="15">
        <f>L18+3360+5962</f>
        <v>14402</v>
      </c>
      <c r="L18" s="15">
        <f>2328+2752</f>
        <v>5080</v>
      </c>
      <c r="M18" s="15">
        <f t="shared" si="0"/>
        <v>5080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8"/>
        <v>0.875</v>
      </c>
      <c r="AE18" s="36">
        <f t="shared" si="6"/>
        <v>0.61931818181818177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112</v>
      </c>
      <c r="D19" s="52" t="s">
        <v>159</v>
      </c>
      <c r="E19" s="53" t="s">
        <v>173</v>
      </c>
      <c r="F19" s="30" t="s">
        <v>123</v>
      </c>
      <c r="G19" s="33">
        <v>1</v>
      </c>
      <c r="H19" s="35">
        <v>24</v>
      </c>
      <c r="I19" s="7">
        <v>35000</v>
      </c>
      <c r="J19" s="14">
        <v>3423</v>
      </c>
      <c r="K19" s="15">
        <f>L19+2187+4152+5440+5251+5627+5544+3270+2848+1154+2019+5645</f>
        <v>46560</v>
      </c>
      <c r="L19" s="15">
        <f>2520+903</f>
        <v>3423</v>
      </c>
      <c r="M19" s="15">
        <f t="shared" si="0"/>
        <v>3423</v>
      </c>
      <c r="N19" s="15">
        <v>0</v>
      </c>
      <c r="O19" s="58">
        <f t="shared" si="1"/>
        <v>0</v>
      </c>
      <c r="P19" s="39">
        <f t="shared" si="2"/>
        <v>16</v>
      </c>
      <c r="Q19" s="40">
        <f t="shared" si="3"/>
        <v>8</v>
      </c>
      <c r="R19" s="7"/>
      <c r="S19" s="6">
        <v>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0.66666666666666663</v>
      </c>
      <c r="AD19" s="10">
        <f t="shared" si="8"/>
        <v>0.66666666666666663</v>
      </c>
      <c r="AE19" s="36">
        <f t="shared" si="6"/>
        <v>0.61931818181818177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112</v>
      </c>
      <c r="D20" s="52" t="s">
        <v>115</v>
      </c>
      <c r="E20" s="53" t="s">
        <v>143</v>
      </c>
      <c r="F20" s="30" t="s">
        <v>136</v>
      </c>
      <c r="G20" s="33">
        <v>2</v>
      </c>
      <c r="H20" s="35">
        <v>24</v>
      </c>
      <c r="I20" s="7">
        <v>70000</v>
      </c>
      <c r="J20" s="14">
        <v>7466</v>
      </c>
      <c r="K20" s="15">
        <f>L20+3150</f>
        <v>10616</v>
      </c>
      <c r="L20" s="15">
        <f>2400+2533*2</f>
        <v>7466</v>
      </c>
      <c r="M20" s="15">
        <f t="shared" si="0"/>
        <v>7466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8"/>
        <v>0.91666666666666663</v>
      </c>
      <c r="AE20" s="36">
        <f t="shared" si="6"/>
        <v>0.61931818181818177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146</v>
      </c>
      <c r="F21" s="12" t="s">
        <v>114</v>
      </c>
      <c r="G21" s="12">
        <v>3</v>
      </c>
      <c r="H21" s="35">
        <v>20</v>
      </c>
      <c r="I21" s="7">
        <v>2000000</v>
      </c>
      <c r="J21" s="14">
        <v>63948</v>
      </c>
      <c r="K21" s="15">
        <f>L21+57172+63944</f>
        <v>185064</v>
      </c>
      <c r="L21" s="15">
        <f>8082*4+7905*4</f>
        <v>63948</v>
      </c>
      <c r="M21" s="15">
        <f t="shared" si="0"/>
        <v>63948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0.61931818181818177</v>
      </c>
      <c r="AF21" s="81">
        <f t="shared" si="7"/>
        <v>16</v>
      </c>
    </row>
    <row r="22" spans="1:32" ht="21.75" customHeight="1">
      <c r="A22" s="92">
        <v>31</v>
      </c>
      <c r="B22" s="11" t="s">
        <v>57</v>
      </c>
      <c r="C22" s="11" t="s">
        <v>116</v>
      </c>
      <c r="D22" s="52" t="s">
        <v>115</v>
      </c>
      <c r="E22" s="53" t="s">
        <v>149</v>
      </c>
      <c r="F22" s="12" t="s">
        <v>136</v>
      </c>
      <c r="G22" s="12">
        <v>4</v>
      </c>
      <c r="H22" s="35">
        <v>20</v>
      </c>
      <c r="I22" s="7">
        <v>70000</v>
      </c>
      <c r="J22" s="14">
        <v>22300</v>
      </c>
      <c r="K22" s="15">
        <f>L22+22300</f>
        <v>22300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0.61931818181818177</v>
      </c>
      <c r="AF22" s="81">
        <f t="shared" si="7"/>
        <v>31</v>
      </c>
    </row>
    <row r="23" spans="1:32" ht="21.75" customHeight="1">
      <c r="A23" s="92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" si="9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0.61931818181818177</v>
      </c>
      <c r="AF23" s="81">
        <f t="shared" si="7"/>
        <v>32</v>
      </c>
    </row>
    <row r="24" spans="1:32" ht="21.75" customHeight="1">
      <c r="A24" s="92">
        <v>33</v>
      </c>
      <c r="B24" s="11" t="s">
        <v>57</v>
      </c>
      <c r="C24" s="11" t="s">
        <v>116</v>
      </c>
      <c r="D24" s="52" t="s">
        <v>142</v>
      </c>
      <c r="E24" s="53" t="s">
        <v>151</v>
      </c>
      <c r="F24" s="12" t="s">
        <v>123</v>
      </c>
      <c r="G24" s="12">
        <v>3</v>
      </c>
      <c r="H24" s="35">
        <v>20</v>
      </c>
      <c r="I24" s="7">
        <v>70000</v>
      </c>
      <c r="J24" s="14">
        <v>19983</v>
      </c>
      <c r="K24" s="15">
        <f>L24+22125+9744+18372+21786</f>
        <v>92010</v>
      </c>
      <c r="L24" s="15">
        <f>4187*3+2474*3</f>
        <v>19983</v>
      </c>
      <c r="M24" s="15">
        <f t="shared" si="0"/>
        <v>19983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114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8"/>
        <v>1</v>
      </c>
      <c r="AE24" s="36">
        <f t="shared" si="6"/>
        <v>0.61931818181818177</v>
      </c>
      <c r="AF24" s="81">
        <f t="shared" si="7"/>
        <v>33</v>
      </c>
    </row>
    <row r="25" spans="1:32" ht="21.75" customHeight="1">
      <c r="A25" s="92">
        <v>34</v>
      </c>
      <c r="B25" s="11" t="s">
        <v>57</v>
      </c>
      <c r="C25" s="11" t="s">
        <v>116</v>
      </c>
      <c r="D25" s="52" t="s">
        <v>127</v>
      </c>
      <c r="E25" s="53" t="s">
        <v>148</v>
      </c>
      <c r="F25" s="12" t="s">
        <v>124</v>
      </c>
      <c r="G25" s="12">
        <v>4</v>
      </c>
      <c r="H25" s="35">
        <v>20</v>
      </c>
      <c r="I25" s="7">
        <v>70000</v>
      </c>
      <c r="J25" s="14">
        <v>26896</v>
      </c>
      <c r="K25" s="15">
        <f>L25+16448+27472</f>
        <v>70816</v>
      </c>
      <c r="L25" s="15">
        <f>3877*4+2847*4</f>
        <v>26896</v>
      </c>
      <c r="M25" s="15">
        <f t="shared" si="0"/>
        <v>26896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114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8"/>
        <v>1</v>
      </c>
      <c r="AE25" s="36">
        <f t="shared" si="6"/>
        <v>0.61931818181818177</v>
      </c>
      <c r="AF25" s="81">
        <f t="shared" si="7"/>
        <v>34</v>
      </c>
    </row>
    <row r="26" spans="1:32" ht="21.75" customHeight="1">
      <c r="A26" s="92">
        <v>35</v>
      </c>
      <c r="B26" s="11" t="s">
        <v>57</v>
      </c>
      <c r="C26" s="11" t="s">
        <v>116</v>
      </c>
      <c r="D26" s="52" t="s">
        <v>121</v>
      </c>
      <c r="E26" s="53" t="s">
        <v>125</v>
      </c>
      <c r="F26" s="12" t="s">
        <v>124</v>
      </c>
      <c r="G26" s="12">
        <v>4</v>
      </c>
      <c r="H26" s="35">
        <v>20</v>
      </c>
      <c r="I26" s="7">
        <v>50000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0.61931818181818177</v>
      </c>
      <c r="AF26" s="81">
        <f t="shared" si="7"/>
        <v>35</v>
      </c>
    </row>
    <row r="27" spans="1:32" ht="21.75" customHeight="1" thickBot="1">
      <c r="A27" s="92">
        <v>36</v>
      </c>
      <c r="B27" s="11" t="s">
        <v>57</v>
      </c>
      <c r="C27" s="11" t="s">
        <v>113</v>
      </c>
      <c r="D27" s="52"/>
      <c r="E27" s="53" t="s">
        <v>150</v>
      </c>
      <c r="F27" s="12" t="s">
        <v>114</v>
      </c>
      <c r="G27" s="12">
        <v>4</v>
      </c>
      <c r="H27" s="35">
        <v>20</v>
      </c>
      <c r="I27" s="7">
        <v>1000000</v>
      </c>
      <c r="J27" s="14">
        <v>79328</v>
      </c>
      <c r="K27" s="15">
        <f>L27+28388+70816+76368+81764+83428+47688+53180+83092+82192+79328</f>
        <v>686244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>
        <v>24</v>
      </c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0.61931818181818177</v>
      </c>
      <c r="AF27" s="81">
        <f t="shared" si="7"/>
        <v>36</v>
      </c>
    </row>
    <row r="28" spans="1:32" ht="19.5" thickBot="1">
      <c r="A28" s="478" t="s">
        <v>34</v>
      </c>
      <c r="B28" s="479"/>
      <c r="C28" s="479"/>
      <c r="D28" s="479"/>
      <c r="E28" s="479"/>
      <c r="F28" s="479"/>
      <c r="G28" s="479"/>
      <c r="H28" s="480"/>
      <c r="I28" s="22">
        <f t="shared" ref="I28:N28" si="10">SUM(I6:I27)</f>
        <v>3708100</v>
      </c>
      <c r="J28" s="19">
        <f t="shared" si="10"/>
        <v>325696</v>
      </c>
      <c r="K28" s="20">
        <f t="shared" si="10"/>
        <v>1521072</v>
      </c>
      <c r="L28" s="21">
        <f t="shared" si="10"/>
        <v>193435</v>
      </c>
      <c r="M28" s="20">
        <f t="shared" si="10"/>
        <v>193435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327</v>
      </c>
      <c r="Q28" s="43">
        <f t="shared" si="11"/>
        <v>201</v>
      </c>
      <c r="R28" s="23">
        <f t="shared" si="11"/>
        <v>0</v>
      </c>
      <c r="S28" s="24">
        <f t="shared" si="11"/>
        <v>75</v>
      </c>
      <c r="T28" s="24">
        <f t="shared" si="11"/>
        <v>0</v>
      </c>
      <c r="U28" s="24">
        <f t="shared" si="11"/>
        <v>0</v>
      </c>
      <c r="V28" s="25">
        <f t="shared" si="11"/>
        <v>48</v>
      </c>
      <c r="W28" s="26">
        <f t="shared" si="11"/>
        <v>48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30</v>
      </c>
      <c r="AB28" s="28">
        <f>AVERAGE(AB6:AB27)</f>
        <v>0.7142857142857143</v>
      </c>
      <c r="AC28" s="4">
        <f>AVERAGE(AC6:AC27)</f>
        <v>0.61931818181818177</v>
      </c>
      <c r="AD28" s="4">
        <f>AVERAGE(AD6:AD27)</f>
        <v>0.61931818181818177</v>
      </c>
      <c r="AE28" s="29"/>
    </row>
    <row r="29" spans="1:32">
      <c r="T29" s="50" t="s">
        <v>128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129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81" t="s">
        <v>45</v>
      </c>
      <c r="B55" s="481"/>
      <c r="C55" s="481"/>
      <c r="D55" s="481"/>
      <c r="E55" s="48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82" t="s">
        <v>528</v>
      </c>
      <c r="B56" s="483"/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4"/>
      <c r="N56" s="485" t="s">
        <v>539</v>
      </c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7"/>
    </row>
    <row r="57" spans="1:32" ht="27" customHeight="1">
      <c r="A57" s="488" t="s">
        <v>2</v>
      </c>
      <c r="B57" s="489"/>
      <c r="C57" s="252" t="s">
        <v>46</v>
      </c>
      <c r="D57" s="252" t="s">
        <v>47</v>
      </c>
      <c r="E57" s="252" t="s">
        <v>107</v>
      </c>
      <c r="F57" s="490" t="s">
        <v>106</v>
      </c>
      <c r="G57" s="491"/>
      <c r="H57" s="491"/>
      <c r="I57" s="491"/>
      <c r="J57" s="491"/>
      <c r="K57" s="491"/>
      <c r="L57" s="491"/>
      <c r="M57" s="492"/>
      <c r="N57" s="67" t="s">
        <v>110</v>
      </c>
      <c r="O57" s="252" t="s">
        <v>46</v>
      </c>
      <c r="P57" s="490" t="s">
        <v>47</v>
      </c>
      <c r="Q57" s="493"/>
      <c r="R57" s="490" t="s">
        <v>38</v>
      </c>
      <c r="S57" s="491"/>
      <c r="T57" s="491"/>
      <c r="U57" s="493"/>
      <c r="V57" s="490" t="s">
        <v>48</v>
      </c>
      <c r="W57" s="491"/>
      <c r="X57" s="491"/>
      <c r="Y57" s="491"/>
      <c r="Z57" s="491"/>
      <c r="AA57" s="491"/>
      <c r="AB57" s="491"/>
      <c r="AC57" s="491"/>
      <c r="AD57" s="492"/>
    </row>
    <row r="58" spans="1:32" ht="27" customHeight="1">
      <c r="A58" s="455" t="s">
        <v>116</v>
      </c>
      <c r="B58" s="456"/>
      <c r="C58" s="253" t="s">
        <v>145</v>
      </c>
      <c r="D58" s="253" t="s">
        <v>499</v>
      </c>
      <c r="E58" s="255" t="s">
        <v>529</v>
      </c>
      <c r="F58" s="457" t="s">
        <v>530</v>
      </c>
      <c r="G58" s="458"/>
      <c r="H58" s="458"/>
      <c r="I58" s="458"/>
      <c r="J58" s="458"/>
      <c r="K58" s="458"/>
      <c r="L58" s="458"/>
      <c r="M58" s="459"/>
      <c r="N58" s="254" t="s">
        <v>116</v>
      </c>
      <c r="O58" s="260" t="s">
        <v>145</v>
      </c>
      <c r="P58" s="472" t="s">
        <v>499</v>
      </c>
      <c r="Q58" s="473"/>
      <c r="R58" s="472" t="s">
        <v>500</v>
      </c>
      <c r="S58" s="474"/>
      <c r="T58" s="474"/>
      <c r="U58" s="473"/>
      <c r="V58" s="461" t="s">
        <v>187</v>
      </c>
      <c r="W58" s="462"/>
      <c r="X58" s="462"/>
      <c r="Y58" s="462"/>
      <c r="Z58" s="462"/>
      <c r="AA58" s="462"/>
      <c r="AB58" s="462"/>
      <c r="AC58" s="462"/>
      <c r="AD58" s="463"/>
    </row>
    <row r="59" spans="1:32" ht="27" customHeight="1">
      <c r="A59" s="455" t="s">
        <v>112</v>
      </c>
      <c r="B59" s="456"/>
      <c r="C59" s="253" t="s">
        <v>259</v>
      </c>
      <c r="D59" s="253" t="s">
        <v>121</v>
      </c>
      <c r="E59" s="255" t="s">
        <v>526</v>
      </c>
      <c r="F59" s="457" t="s">
        <v>187</v>
      </c>
      <c r="G59" s="458"/>
      <c r="H59" s="458"/>
      <c r="I59" s="458"/>
      <c r="J59" s="458"/>
      <c r="K59" s="458"/>
      <c r="L59" s="458"/>
      <c r="M59" s="459"/>
      <c r="N59" s="254" t="s">
        <v>126</v>
      </c>
      <c r="O59" s="260" t="s">
        <v>501</v>
      </c>
      <c r="P59" s="472" t="s">
        <v>127</v>
      </c>
      <c r="Q59" s="473"/>
      <c r="R59" s="472" t="s">
        <v>502</v>
      </c>
      <c r="S59" s="474"/>
      <c r="T59" s="474"/>
      <c r="U59" s="473"/>
      <c r="V59" s="461" t="s">
        <v>503</v>
      </c>
      <c r="W59" s="462"/>
      <c r="X59" s="462"/>
      <c r="Y59" s="462"/>
      <c r="Z59" s="462"/>
      <c r="AA59" s="462"/>
      <c r="AB59" s="462"/>
      <c r="AC59" s="462"/>
      <c r="AD59" s="463"/>
    </row>
    <row r="60" spans="1:32" ht="27" customHeight="1">
      <c r="A60" s="455" t="s">
        <v>112</v>
      </c>
      <c r="B60" s="456"/>
      <c r="C60" s="253" t="s">
        <v>487</v>
      </c>
      <c r="D60" s="253" t="s">
        <v>488</v>
      </c>
      <c r="E60" s="255" t="s">
        <v>527</v>
      </c>
      <c r="F60" s="457" t="s">
        <v>531</v>
      </c>
      <c r="G60" s="458"/>
      <c r="H60" s="458"/>
      <c r="I60" s="458"/>
      <c r="J60" s="458"/>
      <c r="K60" s="458"/>
      <c r="L60" s="458"/>
      <c r="M60" s="459"/>
      <c r="N60" s="254" t="s">
        <v>112</v>
      </c>
      <c r="O60" s="260" t="s">
        <v>155</v>
      </c>
      <c r="P60" s="472" t="s">
        <v>159</v>
      </c>
      <c r="Q60" s="473"/>
      <c r="R60" s="472" t="s">
        <v>234</v>
      </c>
      <c r="S60" s="474"/>
      <c r="T60" s="474"/>
      <c r="U60" s="473"/>
      <c r="V60" s="461" t="s">
        <v>503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112</v>
      </c>
      <c r="B61" s="456"/>
      <c r="C61" s="253" t="s">
        <v>534</v>
      </c>
      <c r="D61" s="253" t="s">
        <v>159</v>
      </c>
      <c r="E61" s="255" t="s">
        <v>532</v>
      </c>
      <c r="F61" s="457" t="s">
        <v>533</v>
      </c>
      <c r="G61" s="458"/>
      <c r="H61" s="458"/>
      <c r="I61" s="458"/>
      <c r="J61" s="458"/>
      <c r="K61" s="458"/>
      <c r="L61" s="458"/>
      <c r="M61" s="459"/>
      <c r="N61" s="254" t="s">
        <v>112</v>
      </c>
      <c r="O61" s="260" t="s">
        <v>244</v>
      </c>
      <c r="P61" s="472" t="s">
        <v>159</v>
      </c>
      <c r="Q61" s="473"/>
      <c r="R61" s="472" t="s">
        <v>527</v>
      </c>
      <c r="S61" s="474"/>
      <c r="T61" s="474"/>
      <c r="U61" s="473"/>
      <c r="V61" s="461" t="s">
        <v>503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112</v>
      </c>
      <c r="B62" s="456"/>
      <c r="C62" s="253" t="s">
        <v>497</v>
      </c>
      <c r="D62" s="253" t="s">
        <v>494</v>
      </c>
      <c r="E62" s="255" t="s">
        <v>495</v>
      </c>
      <c r="F62" s="457" t="s">
        <v>535</v>
      </c>
      <c r="G62" s="458"/>
      <c r="H62" s="458"/>
      <c r="I62" s="458"/>
      <c r="J62" s="458"/>
      <c r="K62" s="458"/>
      <c r="L62" s="458"/>
      <c r="M62" s="459"/>
      <c r="N62" s="254" t="s">
        <v>112</v>
      </c>
      <c r="O62" s="260" t="s">
        <v>541</v>
      </c>
      <c r="P62" s="472" t="s">
        <v>542</v>
      </c>
      <c r="Q62" s="473"/>
      <c r="R62" s="472" t="s">
        <v>540</v>
      </c>
      <c r="S62" s="474"/>
      <c r="T62" s="474"/>
      <c r="U62" s="473"/>
      <c r="V62" s="461" t="s">
        <v>144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116</v>
      </c>
      <c r="B63" s="456"/>
      <c r="C63" s="253" t="s">
        <v>537</v>
      </c>
      <c r="D63" s="253" t="s">
        <v>538</v>
      </c>
      <c r="E63" s="255" t="s">
        <v>536</v>
      </c>
      <c r="F63" s="457" t="s">
        <v>533</v>
      </c>
      <c r="G63" s="458"/>
      <c r="H63" s="458"/>
      <c r="I63" s="458"/>
      <c r="J63" s="458"/>
      <c r="K63" s="458"/>
      <c r="L63" s="458"/>
      <c r="M63" s="459"/>
      <c r="N63" s="254"/>
      <c r="O63" s="260"/>
      <c r="P63" s="472"/>
      <c r="Q63" s="473"/>
      <c r="R63" s="472"/>
      <c r="S63" s="474"/>
      <c r="T63" s="474"/>
      <c r="U63" s="473"/>
      <c r="V63" s="461"/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/>
      <c r="B64" s="456"/>
      <c r="C64" s="253"/>
      <c r="D64" s="253"/>
      <c r="E64" s="255"/>
      <c r="F64" s="457"/>
      <c r="G64" s="458"/>
      <c r="H64" s="458"/>
      <c r="I64" s="458"/>
      <c r="J64" s="458"/>
      <c r="K64" s="458"/>
      <c r="L64" s="458"/>
      <c r="M64" s="459"/>
      <c r="N64" s="254"/>
      <c r="O64" s="260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/>
      <c r="B65" s="456"/>
      <c r="C65" s="253"/>
      <c r="D65" s="253"/>
      <c r="E65" s="255"/>
      <c r="F65" s="457"/>
      <c r="G65" s="458"/>
      <c r="H65" s="458"/>
      <c r="I65" s="458"/>
      <c r="J65" s="458"/>
      <c r="K65" s="458"/>
      <c r="L65" s="458"/>
      <c r="M65" s="459"/>
      <c r="N65" s="254"/>
      <c r="O65" s="260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253"/>
      <c r="D66" s="253"/>
      <c r="E66" s="255"/>
      <c r="F66" s="457"/>
      <c r="G66" s="458"/>
      <c r="H66" s="458"/>
      <c r="I66" s="458"/>
      <c r="J66" s="458"/>
      <c r="K66" s="458"/>
      <c r="L66" s="458"/>
      <c r="M66" s="459"/>
      <c r="N66" s="254"/>
      <c r="O66" s="260"/>
      <c r="P66" s="460"/>
      <c r="Q66" s="460"/>
      <c r="R66" s="460"/>
      <c r="S66" s="460"/>
      <c r="T66" s="460"/>
      <c r="U66" s="460"/>
      <c r="V66" s="461"/>
      <c r="W66" s="462"/>
      <c r="X66" s="462"/>
      <c r="Y66" s="462"/>
      <c r="Z66" s="462"/>
      <c r="AA66" s="462"/>
      <c r="AB66" s="462"/>
      <c r="AC66" s="462"/>
      <c r="AD66" s="463"/>
      <c r="AF66" s="81">
        <f>8*3000</f>
        <v>24000</v>
      </c>
    </row>
    <row r="67" spans="1:32" ht="27" customHeight="1" thickBot="1">
      <c r="A67" s="464"/>
      <c r="B67" s="465"/>
      <c r="C67" s="256"/>
      <c r="D67" s="257"/>
      <c r="E67" s="256"/>
      <c r="F67" s="466"/>
      <c r="G67" s="467"/>
      <c r="H67" s="467"/>
      <c r="I67" s="467"/>
      <c r="J67" s="467"/>
      <c r="K67" s="467"/>
      <c r="L67" s="467"/>
      <c r="M67" s="468"/>
      <c r="N67" s="105"/>
      <c r="O67" s="97"/>
      <c r="P67" s="469"/>
      <c r="Q67" s="469"/>
      <c r="R67" s="469"/>
      <c r="S67" s="469"/>
      <c r="T67" s="469"/>
      <c r="U67" s="469"/>
      <c r="V67" s="470"/>
      <c r="W67" s="470"/>
      <c r="X67" s="470"/>
      <c r="Y67" s="470"/>
      <c r="Z67" s="470"/>
      <c r="AA67" s="470"/>
      <c r="AB67" s="470"/>
      <c r="AC67" s="470"/>
      <c r="AD67" s="471"/>
      <c r="AF67" s="81">
        <f>16*3000</f>
        <v>48000</v>
      </c>
    </row>
    <row r="68" spans="1:32" ht="27.75" thickBot="1">
      <c r="A68" s="453" t="s">
        <v>543</v>
      </c>
      <c r="B68" s="453"/>
      <c r="C68" s="453"/>
      <c r="D68" s="453"/>
      <c r="E68" s="453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54" t="s">
        <v>111</v>
      </c>
      <c r="B69" s="451"/>
      <c r="C69" s="258" t="s">
        <v>2</v>
      </c>
      <c r="D69" s="258" t="s">
        <v>37</v>
      </c>
      <c r="E69" s="258" t="s">
        <v>3</v>
      </c>
      <c r="F69" s="451" t="s">
        <v>109</v>
      </c>
      <c r="G69" s="451"/>
      <c r="H69" s="451"/>
      <c r="I69" s="451"/>
      <c r="J69" s="451"/>
      <c r="K69" s="451" t="s">
        <v>39</v>
      </c>
      <c r="L69" s="451"/>
      <c r="M69" s="258" t="s">
        <v>40</v>
      </c>
      <c r="N69" s="451" t="s">
        <v>41</v>
      </c>
      <c r="O69" s="451"/>
      <c r="P69" s="448" t="s">
        <v>42</v>
      </c>
      <c r="Q69" s="450"/>
      <c r="R69" s="448" t="s">
        <v>43</v>
      </c>
      <c r="S69" s="449"/>
      <c r="T69" s="449"/>
      <c r="U69" s="449"/>
      <c r="V69" s="449"/>
      <c r="W69" s="449"/>
      <c r="X69" s="449"/>
      <c r="Y69" s="449"/>
      <c r="Z69" s="449"/>
      <c r="AA69" s="450"/>
      <c r="AB69" s="451" t="s">
        <v>44</v>
      </c>
      <c r="AC69" s="451"/>
      <c r="AD69" s="452"/>
      <c r="AF69" s="81">
        <f>SUM(AF66:AF68)</f>
        <v>96000</v>
      </c>
    </row>
    <row r="70" spans="1:32" ht="25.5" customHeight="1">
      <c r="A70" s="439">
        <v>1</v>
      </c>
      <c r="B70" s="440"/>
      <c r="C70" s="98" t="s">
        <v>548</v>
      </c>
      <c r="D70" s="262"/>
      <c r="E70" s="259" t="s">
        <v>542</v>
      </c>
      <c r="F70" s="441" t="s">
        <v>544</v>
      </c>
      <c r="G70" s="431"/>
      <c r="H70" s="431"/>
      <c r="I70" s="431"/>
      <c r="J70" s="431"/>
      <c r="K70" s="431" t="s">
        <v>549</v>
      </c>
      <c r="L70" s="431"/>
      <c r="M70" s="51" t="s">
        <v>550</v>
      </c>
      <c r="N70" s="442" t="s">
        <v>551</v>
      </c>
      <c r="O70" s="442"/>
      <c r="P70" s="443">
        <v>50</v>
      </c>
      <c r="Q70" s="443"/>
      <c r="R70" s="444" t="s">
        <v>552</v>
      </c>
      <c r="S70" s="444"/>
      <c r="T70" s="444"/>
      <c r="U70" s="444"/>
      <c r="V70" s="444"/>
      <c r="W70" s="444"/>
      <c r="X70" s="444"/>
      <c r="Y70" s="444"/>
      <c r="Z70" s="444"/>
      <c r="AA70" s="444"/>
      <c r="AB70" s="431"/>
      <c r="AC70" s="431"/>
      <c r="AD70" s="432"/>
      <c r="AF70" s="50"/>
    </row>
    <row r="71" spans="1:32" ht="25.5" customHeight="1">
      <c r="A71" s="439">
        <v>2</v>
      </c>
      <c r="B71" s="440"/>
      <c r="C71" s="98" t="s">
        <v>553</v>
      </c>
      <c r="D71" s="262"/>
      <c r="E71" s="259" t="s">
        <v>554</v>
      </c>
      <c r="F71" s="441" t="s">
        <v>545</v>
      </c>
      <c r="G71" s="431"/>
      <c r="H71" s="431"/>
      <c r="I71" s="431"/>
      <c r="J71" s="431"/>
      <c r="K71" s="431" t="s">
        <v>555</v>
      </c>
      <c r="L71" s="431"/>
      <c r="M71" s="51" t="s">
        <v>556</v>
      </c>
      <c r="N71" s="442" t="s">
        <v>551</v>
      </c>
      <c r="O71" s="442"/>
      <c r="P71" s="443">
        <v>50</v>
      </c>
      <c r="Q71" s="443"/>
      <c r="R71" s="444"/>
      <c r="S71" s="444"/>
      <c r="T71" s="444"/>
      <c r="U71" s="444"/>
      <c r="V71" s="444"/>
      <c r="W71" s="444"/>
      <c r="X71" s="444"/>
      <c r="Y71" s="444"/>
      <c r="Z71" s="444"/>
      <c r="AA71" s="444"/>
      <c r="AB71" s="431"/>
      <c r="AC71" s="431"/>
      <c r="AD71" s="432"/>
      <c r="AF71" s="50"/>
    </row>
    <row r="72" spans="1:32" ht="25.5" customHeight="1">
      <c r="A72" s="439">
        <v>3</v>
      </c>
      <c r="B72" s="440"/>
      <c r="C72" s="98" t="s">
        <v>553</v>
      </c>
      <c r="D72" s="262"/>
      <c r="E72" s="259" t="s">
        <v>557</v>
      </c>
      <c r="F72" s="441" t="s">
        <v>546</v>
      </c>
      <c r="G72" s="431"/>
      <c r="H72" s="431"/>
      <c r="I72" s="431"/>
      <c r="J72" s="431"/>
      <c r="K72" s="431" t="s">
        <v>555</v>
      </c>
      <c r="L72" s="431"/>
      <c r="M72" s="51" t="s">
        <v>556</v>
      </c>
      <c r="N72" s="442" t="s">
        <v>551</v>
      </c>
      <c r="O72" s="442"/>
      <c r="P72" s="443">
        <v>100</v>
      </c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4</v>
      </c>
      <c r="B73" s="440"/>
      <c r="C73" s="98" t="s">
        <v>553</v>
      </c>
      <c r="D73" s="262"/>
      <c r="E73" s="259" t="s">
        <v>558</v>
      </c>
      <c r="F73" s="445" t="s">
        <v>547</v>
      </c>
      <c r="G73" s="446"/>
      <c r="H73" s="446"/>
      <c r="I73" s="446"/>
      <c r="J73" s="447"/>
      <c r="K73" s="431" t="s">
        <v>559</v>
      </c>
      <c r="L73" s="431"/>
      <c r="M73" s="51" t="s">
        <v>556</v>
      </c>
      <c r="N73" s="442" t="s">
        <v>560</v>
      </c>
      <c r="O73" s="442"/>
      <c r="P73" s="443">
        <v>100</v>
      </c>
      <c r="Q73" s="443"/>
      <c r="R73" s="444" t="s">
        <v>561</v>
      </c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5</v>
      </c>
      <c r="B74" s="440"/>
      <c r="C74" s="98"/>
      <c r="D74" s="262"/>
      <c r="E74" s="259"/>
      <c r="F74" s="445"/>
      <c r="G74" s="446"/>
      <c r="H74" s="446"/>
      <c r="I74" s="446"/>
      <c r="J74" s="447"/>
      <c r="K74" s="431"/>
      <c r="L74" s="431"/>
      <c r="M74" s="51"/>
      <c r="N74" s="442"/>
      <c r="O74" s="442"/>
      <c r="P74" s="443"/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6</v>
      </c>
      <c r="B75" s="440"/>
      <c r="C75" s="98"/>
      <c r="D75" s="262"/>
      <c r="E75" s="259"/>
      <c r="F75" s="445"/>
      <c r="G75" s="446"/>
      <c r="H75" s="446"/>
      <c r="I75" s="446"/>
      <c r="J75" s="447"/>
      <c r="K75" s="431"/>
      <c r="L75" s="431"/>
      <c r="M75" s="51"/>
      <c r="N75" s="442"/>
      <c r="O75" s="442"/>
      <c r="P75" s="443"/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7</v>
      </c>
      <c r="B76" s="440"/>
      <c r="C76" s="98"/>
      <c r="D76" s="262"/>
      <c r="E76" s="259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8</v>
      </c>
      <c r="B77" s="440"/>
      <c r="C77" s="98"/>
      <c r="D77" s="262"/>
      <c r="E77" s="259"/>
      <c r="F77" s="441"/>
      <c r="G77" s="431"/>
      <c r="H77" s="431"/>
      <c r="I77" s="431"/>
      <c r="J77" s="431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9</v>
      </c>
      <c r="B78" s="440"/>
      <c r="C78" s="98"/>
      <c r="D78" s="262"/>
      <c r="E78" s="259"/>
      <c r="F78" s="441"/>
      <c r="G78" s="431"/>
      <c r="H78" s="431"/>
      <c r="I78" s="431"/>
      <c r="J78" s="431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10</v>
      </c>
      <c r="B79" s="440"/>
      <c r="C79" s="98"/>
      <c r="D79" s="262"/>
      <c r="E79" s="259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6.25" customHeight="1" thickBot="1">
      <c r="A80" s="411" t="s">
        <v>562</v>
      </c>
      <c r="B80" s="411"/>
      <c r="C80" s="411"/>
      <c r="D80" s="411"/>
      <c r="E80" s="411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33" t="s">
        <v>111</v>
      </c>
      <c r="B81" s="434"/>
      <c r="C81" s="261" t="s">
        <v>2</v>
      </c>
      <c r="D81" s="261" t="s">
        <v>37</v>
      </c>
      <c r="E81" s="261" t="s">
        <v>120</v>
      </c>
      <c r="F81" s="413" t="s">
        <v>38</v>
      </c>
      <c r="G81" s="413"/>
      <c r="H81" s="413"/>
      <c r="I81" s="413"/>
      <c r="J81" s="413"/>
      <c r="K81" s="435" t="s">
        <v>58</v>
      </c>
      <c r="L81" s="436"/>
      <c r="M81" s="436"/>
      <c r="N81" s="436"/>
      <c r="O81" s="436"/>
      <c r="P81" s="436"/>
      <c r="Q81" s="436"/>
      <c r="R81" s="436"/>
      <c r="S81" s="437"/>
      <c r="T81" s="413" t="s">
        <v>49</v>
      </c>
      <c r="U81" s="413"/>
      <c r="V81" s="435" t="s">
        <v>50</v>
      </c>
      <c r="W81" s="437"/>
      <c r="X81" s="436" t="s">
        <v>51</v>
      </c>
      <c r="Y81" s="436"/>
      <c r="Z81" s="436"/>
      <c r="AA81" s="436"/>
      <c r="AB81" s="436"/>
      <c r="AC81" s="436"/>
      <c r="AD81" s="438"/>
      <c r="AF81" s="50"/>
    </row>
    <row r="82" spans="1:32" ht="33.75" customHeight="1">
      <c r="A82" s="405">
        <v>1</v>
      </c>
      <c r="B82" s="406"/>
      <c r="C82" s="263"/>
      <c r="D82" s="263"/>
      <c r="E82" s="65"/>
      <c r="F82" s="420"/>
      <c r="G82" s="421"/>
      <c r="H82" s="421"/>
      <c r="I82" s="421"/>
      <c r="J82" s="422"/>
      <c r="K82" s="423"/>
      <c r="L82" s="424"/>
      <c r="M82" s="424"/>
      <c r="N82" s="424"/>
      <c r="O82" s="424"/>
      <c r="P82" s="424"/>
      <c r="Q82" s="424"/>
      <c r="R82" s="424"/>
      <c r="S82" s="425"/>
      <c r="T82" s="426"/>
      <c r="U82" s="427"/>
      <c r="V82" s="428"/>
      <c r="W82" s="428"/>
      <c r="X82" s="429"/>
      <c r="Y82" s="429"/>
      <c r="Z82" s="429"/>
      <c r="AA82" s="429"/>
      <c r="AB82" s="429"/>
      <c r="AC82" s="429"/>
      <c r="AD82" s="430"/>
      <c r="AF82" s="50"/>
    </row>
    <row r="83" spans="1:32" ht="30" customHeight="1">
      <c r="A83" s="398">
        <f>A82+1</f>
        <v>2</v>
      </c>
      <c r="B83" s="399"/>
      <c r="C83" s="262"/>
      <c r="D83" s="262"/>
      <c r="E83" s="32"/>
      <c r="F83" s="399"/>
      <c r="G83" s="399"/>
      <c r="H83" s="399"/>
      <c r="I83" s="399"/>
      <c r="J83" s="399"/>
      <c r="K83" s="414"/>
      <c r="L83" s="415"/>
      <c r="M83" s="415"/>
      <c r="N83" s="415"/>
      <c r="O83" s="415"/>
      <c r="P83" s="415"/>
      <c r="Q83" s="415"/>
      <c r="R83" s="415"/>
      <c r="S83" s="416"/>
      <c r="T83" s="417"/>
      <c r="U83" s="417"/>
      <c r="V83" s="417"/>
      <c r="W83" s="417"/>
      <c r="X83" s="418"/>
      <c r="Y83" s="418"/>
      <c r="Z83" s="418"/>
      <c r="AA83" s="418"/>
      <c r="AB83" s="418"/>
      <c r="AC83" s="418"/>
      <c r="AD83" s="419"/>
      <c r="AF83" s="50"/>
    </row>
    <row r="84" spans="1:32" ht="30" customHeight="1">
      <c r="A84" s="398">
        <f t="shared" ref="A84:A88" si="12">A83+1</f>
        <v>3</v>
      </c>
      <c r="B84" s="399"/>
      <c r="C84" s="262"/>
      <c r="D84" s="262"/>
      <c r="E84" s="32"/>
      <c r="F84" s="399"/>
      <c r="G84" s="399"/>
      <c r="H84" s="399"/>
      <c r="I84" s="399"/>
      <c r="J84" s="399"/>
      <c r="K84" s="414"/>
      <c r="L84" s="415"/>
      <c r="M84" s="415"/>
      <c r="N84" s="415"/>
      <c r="O84" s="415"/>
      <c r="P84" s="415"/>
      <c r="Q84" s="415"/>
      <c r="R84" s="415"/>
      <c r="S84" s="416"/>
      <c r="T84" s="417"/>
      <c r="U84" s="417"/>
      <c r="V84" s="417"/>
      <c r="W84" s="417"/>
      <c r="X84" s="418"/>
      <c r="Y84" s="418"/>
      <c r="Z84" s="418"/>
      <c r="AA84" s="418"/>
      <c r="AB84" s="418"/>
      <c r="AC84" s="418"/>
      <c r="AD84" s="419"/>
      <c r="AF84" s="50"/>
    </row>
    <row r="85" spans="1:32" ht="30" customHeight="1">
      <c r="A85" s="398">
        <f t="shared" si="12"/>
        <v>4</v>
      </c>
      <c r="B85" s="399"/>
      <c r="C85" s="262"/>
      <c r="D85" s="262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si="12"/>
        <v>5</v>
      </c>
      <c r="B86" s="399"/>
      <c r="C86" s="262"/>
      <c r="D86" s="262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12"/>
        <v>6</v>
      </c>
      <c r="B87" s="399"/>
      <c r="C87" s="262"/>
      <c r="D87" s="262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2"/>
        <v>7</v>
      </c>
      <c r="B88" s="399"/>
      <c r="C88" s="262"/>
      <c r="D88" s="262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6" thickBot="1">
      <c r="A89" s="411" t="s">
        <v>563</v>
      </c>
      <c r="B89" s="411"/>
      <c r="C89" s="411"/>
      <c r="D89" s="411"/>
      <c r="E89" s="411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12" t="s">
        <v>111</v>
      </c>
      <c r="B90" s="413"/>
      <c r="C90" s="403" t="s">
        <v>52</v>
      </c>
      <c r="D90" s="403"/>
      <c r="E90" s="403" t="s">
        <v>53</v>
      </c>
      <c r="F90" s="403"/>
      <c r="G90" s="403"/>
      <c r="H90" s="403"/>
      <c r="I90" s="403"/>
      <c r="J90" s="403"/>
      <c r="K90" s="403" t="s">
        <v>54</v>
      </c>
      <c r="L90" s="403"/>
      <c r="M90" s="403"/>
      <c r="N90" s="403"/>
      <c r="O90" s="403"/>
      <c r="P90" s="403"/>
      <c r="Q90" s="403"/>
      <c r="R90" s="403"/>
      <c r="S90" s="403"/>
      <c r="T90" s="403" t="s">
        <v>55</v>
      </c>
      <c r="U90" s="403"/>
      <c r="V90" s="403" t="s">
        <v>56</v>
      </c>
      <c r="W90" s="403"/>
      <c r="X90" s="403"/>
      <c r="Y90" s="403" t="s">
        <v>51</v>
      </c>
      <c r="Z90" s="403"/>
      <c r="AA90" s="403"/>
      <c r="AB90" s="403"/>
      <c r="AC90" s="403"/>
      <c r="AD90" s="404"/>
      <c r="AF90" s="50"/>
    </row>
    <row r="91" spans="1:32" ht="30.75" customHeight="1">
      <c r="A91" s="405">
        <v>1</v>
      </c>
      <c r="B91" s="406"/>
      <c r="C91" s="407"/>
      <c r="D91" s="407"/>
      <c r="E91" s="407"/>
      <c r="F91" s="407"/>
      <c r="G91" s="407"/>
      <c r="H91" s="407"/>
      <c r="I91" s="407"/>
      <c r="J91" s="407"/>
      <c r="K91" s="407"/>
      <c r="L91" s="407"/>
      <c r="M91" s="407"/>
      <c r="N91" s="407"/>
      <c r="O91" s="407"/>
      <c r="P91" s="407"/>
      <c r="Q91" s="407"/>
      <c r="R91" s="407"/>
      <c r="S91" s="407"/>
      <c r="T91" s="407"/>
      <c r="U91" s="407"/>
      <c r="V91" s="408"/>
      <c r="W91" s="408"/>
      <c r="X91" s="408"/>
      <c r="Y91" s="409"/>
      <c r="Z91" s="409"/>
      <c r="AA91" s="409"/>
      <c r="AB91" s="409"/>
      <c r="AC91" s="409"/>
      <c r="AD91" s="410"/>
      <c r="AF91" s="50"/>
    </row>
    <row r="92" spans="1:32" ht="30.75" customHeight="1">
      <c r="A92" s="398">
        <v>2</v>
      </c>
      <c r="B92" s="399"/>
      <c r="C92" s="400"/>
      <c r="D92" s="400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1"/>
      <c r="U92" s="401"/>
      <c r="V92" s="402"/>
      <c r="W92" s="402"/>
      <c r="X92" s="402"/>
      <c r="Y92" s="390"/>
      <c r="Z92" s="390"/>
      <c r="AA92" s="390"/>
      <c r="AB92" s="390"/>
      <c r="AC92" s="390"/>
      <c r="AD92" s="391"/>
      <c r="AF92" s="50"/>
    </row>
    <row r="93" spans="1:32" ht="30.75" customHeight="1" thickBot="1">
      <c r="A93" s="392">
        <v>3</v>
      </c>
      <c r="B93" s="393"/>
      <c r="C93" s="394"/>
      <c r="D93" s="394"/>
      <c r="E93" s="394"/>
      <c r="F93" s="394"/>
      <c r="G93" s="394"/>
      <c r="H93" s="394"/>
      <c r="I93" s="394"/>
      <c r="J93" s="394"/>
      <c r="K93" s="394"/>
      <c r="L93" s="394"/>
      <c r="M93" s="394"/>
      <c r="N93" s="394"/>
      <c r="O93" s="394"/>
      <c r="P93" s="394"/>
      <c r="Q93" s="394"/>
      <c r="R93" s="394"/>
      <c r="S93" s="394"/>
      <c r="T93" s="394"/>
      <c r="U93" s="394"/>
      <c r="V93" s="395"/>
      <c r="W93" s="395"/>
      <c r="X93" s="395"/>
      <c r="Y93" s="396"/>
      <c r="Z93" s="396"/>
      <c r="AA93" s="396"/>
      <c r="AB93" s="396"/>
      <c r="AC93" s="396"/>
      <c r="AD93" s="397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DE70-CD92-4CB4-BF29-81EB35F42CEE}">
  <sheetPr codeName="Sheet15">
    <pageSetUpPr fitToPage="1"/>
  </sheetPr>
  <dimension ref="A1:AF96"/>
  <sheetViews>
    <sheetView view="pageBreakPreview" topLeftCell="A7" zoomScale="70" zoomScaleNormal="72" zoomScaleSheetLayoutView="70" workbookViewId="0">
      <selection activeCell="A93" sqref="A93:B9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564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276" t="s">
        <v>17</v>
      </c>
      <c r="L5" s="276" t="s">
        <v>18</v>
      </c>
      <c r="M5" s="276" t="s">
        <v>19</v>
      </c>
      <c r="N5" s="27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20000</v>
      </c>
      <c r="J6" s="14">
        <v>1880</v>
      </c>
      <c r="K6" s="15">
        <f>L6+5046+2812+7738+10312+1880</f>
        <v>27788</v>
      </c>
      <c r="L6" s="15"/>
      <c r="M6" s="15">
        <f t="shared" ref="M6:M30" si="0">L6-N6</f>
        <v>0</v>
      </c>
      <c r="N6" s="15">
        <v>0</v>
      </c>
      <c r="O6" s="58" t="str">
        <f t="shared" ref="O6:O31" si="1">IF(L6=0,"0",N6/L6)</f>
        <v>0</v>
      </c>
      <c r="P6" s="39" t="str">
        <f t="shared" ref="P6:P30" si="2">IF(L6=0,"0",(24-Q6))</f>
        <v>0</v>
      </c>
      <c r="Q6" s="40">
        <f t="shared" ref="Q6:Q30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30" si="4">IF(J6=0,"0",(L6/J6))</f>
        <v>0</v>
      </c>
      <c r="AC6" s="9">
        <f t="shared" ref="AC6:AC30" si="5">IF(P6=0,"0",(P6/24))</f>
        <v>0</v>
      </c>
      <c r="AD6" s="10">
        <f>AC6*AB6*(1-O6)</f>
        <v>0</v>
      </c>
      <c r="AE6" s="36">
        <f t="shared" ref="AE6:AE19" si="6">$AD$31</f>
        <v>0.41</v>
      </c>
      <c r="AF6" s="81">
        <f t="shared" ref="AF6:AF30" si="7">A6</f>
        <v>1</v>
      </c>
    </row>
    <row r="7" spans="1:32" ht="27" customHeight="1">
      <c r="A7" s="106">
        <v>2</v>
      </c>
      <c r="B7" s="11" t="s">
        <v>57</v>
      </c>
      <c r="C7" s="34" t="s">
        <v>163</v>
      </c>
      <c r="D7" s="52" t="s">
        <v>138</v>
      </c>
      <c r="E7" s="53" t="s">
        <v>179</v>
      </c>
      <c r="F7" s="30" t="s">
        <v>137</v>
      </c>
      <c r="G7" s="12">
        <v>1</v>
      </c>
      <c r="H7" s="13">
        <v>24</v>
      </c>
      <c r="I7" s="31">
        <v>30000</v>
      </c>
      <c r="J7" s="14">
        <v>4876</v>
      </c>
      <c r="K7" s="15">
        <f>L7+3491+6360+5775+6107+6201+6133</f>
        <v>38943</v>
      </c>
      <c r="L7" s="15">
        <f>1824+3052</f>
        <v>4876</v>
      </c>
      <c r="M7" s="15">
        <f t="shared" si="0"/>
        <v>4876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30" si="8">AC7*AB7*(1-O7)</f>
        <v>1</v>
      </c>
      <c r="AE7" s="36">
        <f t="shared" si="6"/>
        <v>0.41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159</v>
      </c>
      <c r="E8" s="53" t="s">
        <v>527</v>
      </c>
      <c r="F8" s="30" t="s">
        <v>123</v>
      </c>
      <c r="G8" s="12">
        <v>2</v>
      </c>
      <c r="H8" s="13">
        <v>22</v>
      </c>
      <c r="I8" s="31">
        <v>10000</v>
      </c>
      <c r="J8" s="5">
        <v>5750</v>
      </c>
      <c r="K8" s="15">
        <f>L8+6894+1080</f>
        <v>13724</v>
      </c>
      <c r="L8" s="15">
        <f>2875*2</f>
        <v>5750</v>
      </c>
      <c r="M8" s="15">
        <f t="shared" ref="M8" si="9">L8-N8</f>
        <v>5750</v>
      </c>
      <c r="N8" s="15">
        <v>0</v>
      </c>
      <c r="O8" s="58">
        <f t="shared" ref="O8" si="10">IF(L8=0,"0",N8/L8)</f>
        <v>0</v>
      </c>
      <c r="P8" s="39">
        <f t="shared" ref="P8" si="11">IF(L8=0,"0",(24-Q8))</f>
        <v>12</v>
      </c>
      <c r="Q8" s="40">
        <f t="shared" ref="Q8" si="12">SUM(R8:AA8)</f>
        <v>12</v>
      </c>
      <c r="R8" s="7"/>
      <c r="S8" s="6">
        <v>12</v>
      </c>
      <c r="T8" s="16"/>
      <c r="U8" s="16"/>
      <c r="V8" s="17"/>
      <c r="W8" s="5"/>
      <c r="X8" s="16"/>
      <c r="Y8" s="16"/>
      <c r="Z8" s="16"/>
      <c r="AA8" s="18"/>
      <c r="AB8" s="8">
        <f t="shared" ref="AB8" si="13">IF(J8=0,"0",(L8/J8))</f>
        <v>1</v>
      </c>
      <c r="AC8" s="9">
        <f t="shared" ref="AC8" si="14">IF(P8=0,"0",(P8/24))</f>
        <v>0.5</v>
      </c>
      <c r="AD8" s="10">
        <f t="shared" ref="AD8" si="15">AC8*AB8*(1-O8)</f>
        <v>0.5</v>
      </c>
      <c r="AE8" s="36">
        <f t="shared" si="6"/>
        <v>0.41</v>
      </c>
      <c r="AF8" s="81">
        <f t="shared" ref="AF8" si="16">A8</f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499</v>
      </c>
      <c r="E9" s="53" t="s">
        <v>523</v>
      </c>
      <c r="F9" s="30" t="s">
        <v>524</v>
      </c>
      <c r="G9" s="12" t="s">
        <v>525</v>
      </c>
      <c r="H9" s="13">
        <v>24</v>
      </c>
      <c r="I9" s="7">
        <v>20000</v>
      </c>
      <c r="J9" s="14">
        <v>561</v>
      </c>
      <c r="K9" s="15">
        <f>L9+4212</f>
        <v>4773</v>
      </c>
      <c r="L9" s="15">
        <v>561</v>
      </c>
      <c r="M9" s="15">
        <f t="shared" si="0"/>
        <v>561</v>
      </c>
      <c r="N9" s="15">
        <v>0</v>
      </c>
      <c r="O9" s="58">
        <f t="shared" si="1"/>
        <v>0</v>
      </c>
      <c r="P9" s="39">
        <f t="shared" si="2"/>
        <v>4</v>
      </c>
      <c r="Q9" s="40">
        <f t="shared" si="3"/>
        <v>20</v>
      </c>
      <c r="R9" s="7"/>
      <c r="S9" s="6">
        <v>20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0.16666666666666666</v>
      </c>
      <c r="AD9" s="10">
        <f t="shared" si="8"/>
        <v>0.16666666666666666</v>
      </c>
      <c r="AE9" s="36">
        <f t="shared" si="6"/>
        <v>0.41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3381</v>
      </c>
      <c r="K10" s="15">
        <f>L10+5338+5669+5744+4980+3619+1932+309+2790+5660+4715+1739+3127+5884+1203+3638+5732+5658+5217+2430+1897+5596+5715+3707+799+2709+2266+5086+3381</f>
        <v>106540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8"/>
        <v>0</v>
      </c>
      <c r="AE10" s="36">
        <f t="shared" si="6"/>
        <v>0.41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116</v>
      </c>
      <c r="D11" s="52" t="s">
        <v>121</v>
      </c>
      <c r="E11" s="53" t="s">
        <v>526</v>
      </c>
      <c r="F11" s="30" t="s">
        <v>235</v>
      </c>
      <c r="G11" s="33">
        <v>1</v>
      </c>
      <c r="H11" s="35">
        <v>24</v>
      </c>
      <c r="I11" s="7">
        <v>20000</v>
      </c>
      <c r="J11" s="14">
        <v>4359</v>
      </c>
      <c r="K11" s="15">
        <f>L11+3446</f>
        <v>7805</v>
      </c>
      <c r="L11" s="15">
        <f>2136+2223</f>
        <v>4359</v>
      </c>
      <c r="M11" s="15">
        <f t="shared" si="0"/>
        <v>4359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0.41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565</v>
      </c>
      <c r="F12" s="30" t="s">
        <v>205</v>
      </c>
      <c r="G12" s="12">
        <v>1</v>
      </c>
      <c r="H12" s="13">
        <v>22</v>
      </c>
      <c r="I12" s="31">
        <v>20000</v>
      </c>
      <c r="J12" s="5">
        <v>3245</v>
      </c>
      <c r="K12" s="15">
        <f>L12</f>
        <v>3245</v>
      </c>
      <c r="L12" s="15">
        <f>1134+2111</f>
        <v>3245</v>
      </c>
      <c r="M12" s="15">
        <f t="shared" si="0"/>
        <v>3245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8"/>
        <v>0.83333333333333337</v>
      </c>
      <c r="AE12" s="36">
        <f t="shared" si="6"/>
        <v>0.41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126</v>
      </c>
      <c r="D13" s="52"/>
      <c r="E13" s="53" t="s">
        <v>304</v>
      </c>
      <c r="F13" s="30" t="s">
        <v>122</v>
      </c>
      <c r="G13" s="33">
        <v>1</v>
      </c>
      <c r="H13" s="35">
        <v>22</v>
      </c>
      <c r="I13" s="7">
        <v>12000</v>
      </c>
      <c r="J13" s="14">
        <v>3836</v>
      </c>
      <c r="K13" s="15">
        <f>L13+3169+4592+2342+4452+3533+2343+4609</f>
        <v>28876</v>
      </c>
      <c r="L13" s="15">
        <f>1537+2299</f>
        <v>3836</v>
      </c>
      <c r="M13" s="15">
        <f t="shared" si="0"/>
        <v>3836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0.41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566</v>
      </c>
      <c r="F14" s="30" t="s">
        <v>139</v>
      </c>
      <c r="G14" s="33">
        <v>1</v>
      </c>
      <c r="H14" s="35">
        <v>50</v>
      </c>
      <c r="I14" s="7">
        <v>100</v>
      </c>
      <c r="J14" s="5">
        <v>100</v>
      </c>
      <c r="K14" s="15">
        <f>L14</f>
        <v>100</v>
      </c>
      <c r="L14" s="15">
        <v>100</v>
      </c>
      <c r="M14" s="15">
        <f t="shared" si="0"/>
        <v>100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>
        <v>20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8"/>
        <v>0.16666666666666666</v>
      </c>
      <c r="AE14" s="36">
        <f t="shared" si="6"/>
        <v>0.41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138</v>
      </c>
      <c r="E15" s="53" t="s">
        <v>147</v>
      </c>
      <c r="F15" s="30" t="s">
        <v>139</v>
      </c>
      <c r="G15" s="12">
        <v>2</v>
      </c>
      <c r="H15" s="13">
        <v>24</v>
      </c>
      <c r="I15" s="31">
        <v>45000</v>
      </c>
      <c r="J15" s="14">
        <v>2172</v>
      </c>
      <c r="K15" s="15">
        <f>L15+11556+1152+11338+6210+12150+11990</f>
        <v>56568</v>
      </c>
      <c r="L15" s="15">
        <f>1086*2</f>
        <v>2172</v>
      </c>
      <c r="M15" s="15">
        <f t="shared" si="0"/>
        <v>2172</v>
      </c>
      <c r="N15" s="15">
        <v>0</v>
      </c>
      <c r="O15" s="58">
        <f t="shared" si="1"/>
        <v>0</v>
      </c>
      <c r="P15" s="39">
        <f t="shared" si="2"/>
        <v>6</v>
      </c>
      <c r="Q15" s="40">
        <f t="shared" si="3"/>
        <v>18</v>
      </c>
      <c r="R15" s="7"/>
      <c r="S15" s="6"/>
      <c r="T15" s="16"/>
      <c r="U15" s="16"/>
      <c r="V15" s="17"/>
      <c r="W15" s="5">
        <v>18</v>
      </c>
      <c r="X15" s="16"/>
      <c r="Y15" s="16"/>
      <c r="Z15" s="16"/>
      <c r="AA15" s="18"/>
      <c r="AB15" s="8">
        <f t="shared" si="4"/>
        <v>1</v>
      </c>
      <c r="AC15" s="9">
        <f t="shared" si="5"/>
        <v>0.25</v>
      </c>
      <c r="AD15" s="10">
        <f t="shared" si="8"/>
        <v>0.25</v>
      </c>
      <c r="AE15" s="36">
        <f t="shared" si="6"/>
        <v>0.41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527</v>
      </c>
      <c r="F16" s="30" t="s">
        <v>123</v>
      </c>
      <c r="G16" s="12">
        <v>2</v>
      </c>
      <c r="H16" s="13">
        <v>22</v>
      </c>
      <c r="I16" s="31">
        <v>10000</v>
      </c>
      <c r="J16" s="5">
        <v>1080</v>
      </c>
      <c r="K16" s="15">
        <f>L16+6894</f>
        <v>7974</v>
      </c>
      <c r="L16" s="15">
        <f>540*2</f>
        <v>1080</v>
      </c>
      <c r="M16" s="15">
        <f t="shared" si="0"/>
        <v>1080</v>
      </c>
      <c r="N16" s="15">
        <v>0</v>
      </c>
      <c r="O16" s="58">
        <f t="shared" si="1"/>
        <v>0</v>
      </c>
      <c r="P16" s="39">
        <f t="shared" si="2"/>
        <v>3</v>
      </c>
      <c r="Q16" s="40">
        <f t="shared" si="3"/>
        <v>21</v>
      </c>
      <c r="R16" s="7"/>
      <c r="S16" s="6">
        <v>21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0.125</v>
      </c>
      <c r="AD16" s="10">
        <f t="shared" si="8"/>
        <v>0.125</v>
      </c>
      <c r="AE16" s="36">
        <f t="shared" si="6"/>
        <v>0.41</v>
      </c>
      <c r="AF16" s="81">
        <f t="shared" si="7"/>
        <v>11</v>
      </c>
    </row>
    <row r="17" spans="1:32" ht="27" customHeight="1">
      <c r="A17" s="92">
        <v>11</v>
      </c>
      <c r="B17" s="11" t="s">
        <v>57</v>
      </c>
      <c r="C17" s="34" t="s">
        <v>112</v>
      </c>
      <c r="D17" s="52" t="s">
        <v>159</v>
      </c>
      <c r="E17" s="53" t="s">
        <v>234</v>
      </c>
      <c r="F17" s="30" t="s">
        <v>235</v>
      </c>
      <c r="G17" s="12">
        <v>2</v>
      </c>
      <c r="H17" s="13">
        <v>22</v>
      </c>
      <c r="I17" s="31">
        <v>46000</v>
      </c>
      <c r="J17" s="5">
        <v>4453</v>
      </c>
      <c r="K17" s="15">
        <f>L17</f>
        <v>4453</v>
      </c>
      <c r="L17" s="15">
        <f>511*2+1002*2+1427</f>
        <v>4453</v>
      </c>
      <c r="M17" s="15">
        <f t="shared" ref="M17" si="17">L17-N17</f>
        <v>4453</v>
      </c>
      <c r="N17" s="15">
        <v>0</v>
      </c>
      <c r="O17" s="58">
        <f t="shared" ref="O17" si="18">IF(L17=0,"0",N17/L17)</f>
        <v>0</v>
      </c>
      <c r="P17" s="39">
        <f t="shared" ref="P17" si="19">IF(L17=0,"0",(24-Q17))</f>
        <v>14</v>
      </c>
      <c r="Q17" s="40">
        <f t="shared" ref="Q17" si="20">SUM(R17:AA17)</f>
        <v>10</v>
      </c>
      <c r="R17" s="7"/>
      <c r="S17" s="6">
        <v>10</v>
      </c>
      <c r="T17" s="16"/>
      <c r="U17" s="16"/>
      <c r="V17" s="17"/>
      <c r="W17" s="5"/>
      <c r="X17" s="16"/>
      <c r="Y17" s="16"/>
      <c r="Z17" s="16"/>
      <c r="AA17" s="18"/>
      <c r="AB17" s="8">
        <f t="shared" ref="AB17" si="21">IF(J17=0,"0",(L17/J17))</f>
        <v>1</v>
      </c>
      <c r="AC17" s="9">
        <f t="shared" ref="AC17" si="22">IF(P17=0,"0",(P17/24))</f>
        <v>0.58333333333333337</v>
      </c>
      <c r="AD17" s="10">
        <f t="shared" ref="AD17" si="23">AC17*AB17*(1-O17)</f>
        <v>0.58333333333333337</v>
      </c>
      <c r="AE17" s="36">
        <f t="shared" si="6"/>
        <v>0.41</v>
      </c>
      <c r="AF17" s="81">
        <f t="shared" ref="AF17" si="24">A17</f>
        <v>11</v>
      </c>
    </row>
    <row r="18" spans="1:32" ht="27" customHeight="1">
      <c r="A18" s="106">
        <v>12</v>
      </c>
      <c r="B18" s="11" t="s">
        <v>57</v>
      </c>
      <c r="C18" s="34" t="s">
        <v>126</v>
      </c>
      <c r="D18" s="52" t="s">
        <v>127</v>
      </c>
      <c r="E18" s="53" t="s">
        <v>485</v>
      </c>
      <c r="F18" s="30" t="s">
        <v>213</v>
      </c>
      <c r="G18" s="12">
        <v>4</v>
      </c>
      <c r="H18" s="13">
        <v>24</v>
      </c>
      <c r="I18" s="7">
        <v>30000</v>
      </c>
      <c r="J18" s="14">
        <v>21192</v>
      </c>
      <c r="K18" s="15">
        <f>L18+20644+21192</f>
        <v>41836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8"/>
        <v>0</v>
      </c>
      <c r="AE18" s="36">
        <f t="shared" si="6"/>
        <v>0.41</v>
      </c>
      <c r="AF18" s="81">
        <f t="shared" si="7"/>
        <v>12</v>
      </c>
    </row>
    <row r="19" spans="1:32" ht="27" customHeight="1">
      <c r="A19" s="92">
        <v>13</v>
      </c>
      <c r="B19" s="11" t="s">
        <v>57</v>
      </c>
      <c r="C19" s="34" t="s">
        <v>116</v>
      </c>
      <c r="D19" s="52" t="s">
        <v>127</v>
      </c>
      <c r="E19" s="53" t="s">
        <v>417</v>
      </c>
      <c r="F19" s="30" t="s">
        <v>123</v>
      </c>
      <c r="G19" s="12">
        <v>1</v>
      </c>
      <c r="H19" s="13">
        <v>22</v>
      </c>
      <c r="I19" s="31">
        <v>20000</v>
      </c>
      <c r="J19" s="5">
        <v>940</v>
      </c>
      <c r="K19" s="15">
        <f>L19+3360+5962+5080</f>
        <v>15342</v>
      </c>
      <c r="L19" s="15">
        <v>940</v>
      </c>
      <c r="M19" s="15">
        <f t="shared" si="0"/>
        <v>940</v>
      </c>
      <c r="N19" s="15">
        <v>0</v>
      </c>
      <c r="O19" s="58">
        <f t="shared" si="1"/>
        <v>0</v>
      </c>
      <c r="P19" s="39">
        <f t="shared" si="2"/>
        <v>5</v>
      </c>
      <c r="Q19" s="40">
        <f t="shared" si="3"/>
        <v>19</v>
      </c>
      <c r="R19" s="7"/>
      <c r="S19" s="6">
        <v>19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0.20833333333333334</v>
      </c>
      <c r="AD19" s="10">
        <f t="shared" si="8"/>
        <v>0.20833333333333334</v>
      </c>
      <c r="AE19" s="36">
        <f t="shared" si="6"/>
        <v>0.41</v>
      </c>
      <c r="AF19" s="81">
        <f t="shared" si="7"/>
        <v>13</v>
      </c>
    </row>
    <row r="20" spans="1:32" ht="27" customHeight="1">
      <c r="A20" s="92">
        <v>13</v>
      </c>
      <c r="B20" s="11" t="s">
        <v>57</v>
      </c>
      <c r="C20" s="34" t="s">
        <v>116</v>
      </c>
      <c r="D20" s="52" t="s">
        <v>558</v>
      </c>
      <c r="E20" s="53" t="s">
        <v>567</v>
      </c>
      <c r="F20" s="30" t="s">
        <v>235</v>
      </c>
      <c r="G20" s="12" t="s">
        <v>568</v>
      </c>
      <c r="H20" s="13">
        <v>22</v>
      </c>
      <c r="I20" s="31">
        <v>500</v>
      </c>
      <c r="J20" s="5">
        <v>560</v>
      </c>
      <c r="K20" s="15">
        <f>L20</f>
        <v>560</v>
      </c>
      <c r="L20" s="15">
        <v>560</v>
      </c>
      <c r="M20" s="15">
        <f t="shared" ref="M20:M21" si="25">L20-N20</f>
        <v>560</v>
      </c>
      <c r="N20" s="15">
        <v>0</v>
      </c>
      <c r="O20" s="58">
        <f t="shared" ref="O20:O21" si="26">IF(L20=0,"0",N20/L20)</f>
        <v>0</v>
      </c>
      <c r="P20" s="39">
        <f t="shared" ref="P20:P21" si="27">IF(L20=0,"0",(24-Q20))</f>
        <v>3</v>
      </c>
      <c r="Q20" s="40">
        <f t="shared" ref="Q20:Q21" si="28">SUM(R20:AA20)</f>
        <v>21</v>
      </c>
      <c r="R20" s="7"/>
      <c r="S20" s="6">
        <v>21</v>
      </c>
      <c r="T20" s="16"/>
      <c r="U20" s="16"/>
      <c r="V20" s="17"/>
      <c r="W20" s="5"/>
      <c r="X20" s="16"/>
      <c r="Y20" s="16"/>
      <c r="Z20" s="16"/>
      <c r="AA20" s="18"/>
      <c r="AB20" s="8">
        <f t="shared" ref="AB20:AB21" si="29">IF(J20=0,"0",(L20/J20))</f>
        <v>1</v>
      </c>
      <c r="AC20" s="9">
        <f t="shared" ref="AC20:AC21" si="30">IF(P20=0,"0",(P20/24))</f>
        <v>0.125</v>
      </c>
      <c r="AD20" s="10">
        <f t="shared" ref="AD20:AD21" si="31">AC20*AB20*(1-O20)</f>
        <v>0.125</v>
      </c>
      <c r="AE20" s="36">
        <f t="shared" ref="AE20:AE21" si="32">$AD$31</f>
        <v>0.41</v>
      </c>
      <c r="AF20" s="81">
        <f t="shared" ref="AF20:AF21" si="33">A20</f>
        <v>13</v>
      </c>
    </row>
    <row r="21" spans="1:32" ht="27" customHeight="1">
      <c r="A21" s="92">
        <v>13</v>
      </c>
      <c r="B21" s="11" t="s">
        <v>57</v>
      </c>
      <c r="C21" s="34" t="s">
        <v>116</v>
      </c>
      <c r="D21" s="52" t="s">
        <v>127</v>
      </c>
      <c r="E21" s="53" t="s">
        <v>569</v>
      </c>
      <c r="F21" s="30" t="s">
        <v>153</v>
      </c>
      <c r="G21" s="12">
        <v>1</v>
      </c>
      <c r="H21" s="13">
        <v>22</v>
      </c>
      <c r="I21" s="31">
        <v>20000</v>
      </c>
      <c r="J21" s="5">
        <v>2984</v>
      </c>
      <c r="K21" s="15">
        <f>L21</f>
        <v>2984</v>
      </c>
      <c r="L21" s="15">
        <f>519+2465</f>
        <v>2984</v>
      </c>
      <c r="M21" s="15">
        <f t="shared" si="25"/>
        <v>2984</v>
      </c>
      <c r="N21" s="15">
        <v>0</v>
      </c>
      <c r="O21" s="58">
        <f t="shared" si="26"/>
        <v>0</v>
      </c>
      <c r="P21" s="39">
        <f t="shared" si="27"/>
        <v>15</v>
      </c>
      <c r="Q21" s="40">
        <f t="shared" si="28"/>
        <v>9</v>
      </c>
      <c r="R21" s="7"/>
      <c r="S21" s="6"/>
      <c r="T21" s="16">
        <v>9</v>
      </c>
      <c r="U21" s="16"/>
      <c r="V21" s="17"/>
      <c r="W21" s="5"/>
      <c r="X21" s="16"/>
      <c r="Y21" s="16"/>
      <c r="Z21" s="16"/>
      <c r="AA21" s="18"/>
      <c r="AB21" s="8">
        <f t="shared" si="29"/>
        <v>1</v>
      </c>
      <c r="AC21" s="9">
        <f t="shared" si="30"/>
        <v>0.625</v>
      </c>
      <c r="AD21" s="10">
        <f t="shared" si="31"/>
        <v>0.625</v>
      </c>
      <c r="AE21" s="36">
        <f t="shared" si="32"/>
        <v>0.41</v>
      </c>
      <c r="AF21" s="81">
        <f t="shared" si="33"/>
        <v>13</v>
      </c>
    </row>
    <row r="22" spans="1:32" ht="27" customHeight="1">
      <c r="A22" s="92">
        <v>14</v>
      </c>
      <c r="B22" s="11" t="s">
        <v>57</v>
      </c>
      <c r="C22" s="11" t="s">
        <v>112</v>
      </c>
      <c r="D22" s="52" t="s">
        <v>159</v>
      </c>
      <c r="E22" s="53" t="s">
        <v>173</v>
      </c>
      <c r="F22" s="30" t="s">
        <v>123</v>
      </c>
      <c r="G22" s="33">
        <v>1</v>
      </c>
      <c r="H22" s="35">
        <v>24</v>
      </c>
      <c r="I22" s="7">
        <v>35000</v>
      </c>
      <c r="J22" s="14">
        <v>4723</v>
      </c>
      <c r="K22" s="15">
        <f>L22+2187+4152+5440+5251+5627+5544+3270+2848+1154+2019+5645+3423</f>
        <v>51283</v>
      </c>
      <c r="L22" s="15">
        <f>1941+2782</f>
        <v>4723</v>
      </c>
      <c r="M22" s="15">
        <f t="shared" si="0"/>
        <v>4723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8"/>
        <v>1</v>
      </c>
      <c r="AE22" s="36">
        <f t="shared" ref="AE22:AE30" si="34">$AD$31</f>
        <v>0.41</v>
      </c>
      <c r="AF22" s="81">
        <f t="shared" si="7"/>
        <v>14</v>
      </c>
    </row>
    <row r="23" spans="1:32" ht="27" customHeight="1">
      <c r="A23" s="106">
        <v>15</v>
      </c>
      <c r="B23" s="11" t="s">
        <v>57</v>
      </c>
      <c r="C23" s="11" t="s">
        <v>112</v>
      </c>
      <c r="D23" s="52" t="s">
        <v>115</v>
      </c>
      <c r="E23" s="53" t="s">
        <v>143</v>
      </c>
      <c r="F23" s="30" t="s">
        <v>136</v>
      </c>
      <c r="G23" s="33">
        <v>2</v>
      </c>
      <c r="H23" s="35">
        <v>24</v>
      </c>
      <c r="I23" s="7">
        <v>70000</v>
      </c>
      <c r="J23" s="14">
        <v>4534</v>
      </c>
      <c r="K23" s="15">
        <f>L23+3150+7466</f>
        <v>15150</v>
      </c>
      <c r="L23" s="15">
        <f>1850+984*2+358*2</f>
        <v>4534</v>
      </c>
      <c r="M23" s="15">
        <f t="shared" si="0"/>
        <v>4534</v>
      </c>
      <c r="N23" s="15">
        <v>0</v>
      </c>
      <c r="O23" s="58">
        <f t="shared" si="1"/>
        <v>0</v>
      </c>
      <c r="P23" s="39">
        <f t="shared" si="2"/>
        <v>16</v>
      </c>
      <c r="Q23" s="40">
        <f t="shared" si="3"/>
        <v>8</v>
      </c>
      <c r="R23" s="7"/>
      <c r="S23" s="6">
        <v>8</v>
      </c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0.66666666666666663</v>
      </c>
      <c r="AD23" s="10">
        <f t="shared" si="8"/>
        <v>0.66666666666666663</v>
      </c>
      <c r="AE23" s="36">
        <f t="shared" si="34"/>
        <v>0.41</v>
      </c>
      <c r="AF23" s="81">
        <f t="shared" si="7"/>
        <v>15</v>
      </c>
    </row>
    <row r="24" spans="1:32" ht="26.25" customHeight="1">
      <c r="A24" s="92">
        <v>16</v>
      </c>
      <c r="B24" s="11" t="s">
        <v>57</v>
      </c>
      <c r="C24" s="11" t="s">
        <v>113</v>
      </c>
      <c r="D24" s="52"/>
      <c r="E24" s="53" t="s">
        <v>146</v>
      </c>
      <c r="F24" s="12" t="s">
        <v>114</v>
      </c>
      <c r="G24" s="12">
        <v>3</v>
      </c>
      <c r="H24" s="35">
        <v>20</v>
      </c>
      <c r="I24" s="7">
        <v>2000000</v>
      </c>
      <c r="J24" s="14">
        <v>58884</v>
      </c>
      <c r="K24" s="15">
        <f>L24+57172+63944+63948</f>
        <v>243948</v>
      </c>
      <c r="L24" s="15">
        <f>6742*4+7979*4</f>
        <v>58884</v>
      </c>
      <c r="M24" s="15">
        <f t="shared" si="0"/>
        <v>58884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17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8"/>
        <v>1</v>
      </c>
      <c r="AE24" s="36">
        <f t="shared" si="34"/>
        <v>0.41</v>
      </c>
      <c r="AF24" s="81">
        <f t="shared" si="7"/>
        <v>16</v>
      </c>
    </row>
    <row r="25" spans="1:32" ht="21.75" customHeight="1">
      <c r="A25" s="92">
        <v>31</v>
      </c>
      <c r="B25" s="11" t="s">
        <v>57</v>
      </c>
      <c r="C25" s="11" t="s">
        <v>116</v>
      </c>
      <c r="D25" s="52" t="s">
        <v>115</v>
      </c>
      <c r="E25" s="53" t="s">
        <v>149</v>
      </c>
      <c r="F25" s="12" t="s">
        <v>136</v>
      </c>
      <c r="G25" s="12">
        <v>4</v>
      </c>
      <c r="H25" s="35">
        <v>20</v>
      </c>
      <c r="I25" s="7">
        <v>70000</v>
      </c>
      <c r="J25" s="14">
        <v>22300</v>
      </c>
      <c r="K25" s="15">
        <f>L25+22300</f>
        <v>22300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>
        <v>24</v>
      </c>
      <c r="W25" s="5"/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34"/>
        <v>0.41</v>
      </c>
      <c r="AF25" s="81">
        <f t="shared" si="7"/>
        <v>31</v>
      </c>
    </row>
    <row r="26" spans="1:32" ht="21.75" customHeight="1">
      <c r="A26" s="92">
        <v>32</v>
      </c>
      <c r="B26" s="11" t="s">
        <v>57</v>
      </c>
      <c r="C26" s="11"/>
      <c r="D26" s="52"/>
      <c r="E26" s="53"/>
      <c r="F26" s="12"/>
      <c r="G26" s="12"/>
      <c r="H26" s="35">
        <v>20</v>
      </c>
      <c r="I26" s="7"/>
      <c r="J26" s="14">
        <v>0</v>
      </c>
      <c r="K26" s="15">
        <f t="shared" ref="K26" si="35">L26</f>
        <v>0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7"/>
      <c r="W26" s="5">
        <v>24</v>
      </c>
      <c r="X26" s="16"/>
      <c r="Y26" s="16"/>
      <c r="Z26" s="16"/>
      <c r="AA26" s="18"/>
      <c r="AB26" s="8" t="str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34"/>
        <v>0.41</v>
      </c>
      <c r="AF26" s="81">
        <f t="shared" si="7"/>
        <v>32</v>
      </c>
    </row>
    <row r="27" spans="1:32" ht="21.75" customHeight="1">
      <c r="A27" s="92">
        <v>33</v>
      </c>
      <c r="B27" s="11" t="s">
        <v>57</v>
      </c>
      <c r="C27" s="11" t="s">
        <v>116</v>
      </c>
      <c r="D27" s="52" t="s">
        <v>142</v>
      </c>
      <c r="E27" s="53" t="s">
        <v>151</v>
      </c>
      <c r="F27" s="12" t="s">
        <v>123</v>
      </c>
      <c r="G27" s="12">
        <v>3</v>
      </c>
      <c r="H27" s="35">
        <v>20</v>
      </c>
      <c r="I27" s="7">
        <v>70000</v>
      </c>
      <c r="J27" s="14">
        <v>19983</v>
      </c>
      <c r="K27" s="15">
        <f>L27+22125+9744+18372+21786+19983</f>
        <v>92010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34"/>
        <v>0.41</v>
      </c>
      <c r="AF27" s="81">
        <f t="shared" si="7"/>
        <v>33</v>
      </c>
    </row>
    <row r="28" spans="1:32" ht="21.75" customHeight="1">
      <c r="A28" s="92">
        <v>34</v>
      </c>
      <c r="B28" s="11" t="s">
        <v>57</v>
      </c>
      <c r="C28" s="11" t="s">
        <v>116</v>
      </c>
      <c r="D28" s="52" t="s">
        <v>127</v>
      </c>
      <c r="E28" s="53" t="s">
        <v>148</v>
      </c>
      <c r="F28" s="12" t="s">
        <v>124</v>
      </c>
      <c r="G28" s="12">
        <v>3</v>
      </c>
      <c r="H28" s="35">
        <v>20</v>
      </c>
      <c r="I28" s="7">
        <v>70000</v>
      </c>
      <c r="J28" s="14">
        <v>18138</v>
      </c>
      <c r="K28" s="15">
        <f>L28+16448+27472+26896</f>
        <v>88954</v>
      </c>
      <c r="L28" s="15">
        <f>3346*3+2700*3</f>
        <v>18138</v>
      </c>
      <c r="M28" s="15">
        <f t="shared" si="0"/>
        <v>18138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8"/>
        <v>1</v>
      </c>
      <c r="AE28" s="36">
        <f t="shared" si="34"/>
        <v>0.41</v>
      </c>
      <c r="AF28" s="81">
        <f t="shared" si="7"/>
        <v>34</v>
      </c>
    </row>
    <row r="29" spans="1:32" ht="21.75" customHeight="1">
      <c r="A29" s="92">
        <v>35</v>
      </c>
      <c r="B29" s="11" t="s">
        <v>57</v>
      </c>
      <c r="C29" s="11" t="s">
        <v>116</v>
      </c>
      <c r="D29" s="52" t="s">
        <v>121</v>
      </c>
      <c r="E29" s="53" t="s">
        <v>125</v>
      </c>
      <c r="F29" s="12" t="s">
        <v>124</v>
      </c>
      <c r="G29" s="12">
        <v>4</v>
      </c>
      <c r="H29" s="35">
        <v>20</v>
      </c>
      <c r="I29" s="7">
        <v>50000</v>
      </c>
      <c r="J29" s="14">
        <v>26944</v>
      </c>
      <c r="K29" s="15">
        <f>L29+24592+26944+21716</f>
        <v>73252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34"/>
        <v>0.41</v>
      </c>
      <c r="AF29" s="81">
        <f t="shared" si="7"/>
        <v>35</v>
      </c>
    </row>
    <row r="30" spans="1:32" ht="21.75" customHeight="1" thickBot="1">
      <c r="A30" s="92">
        <v>36</v>
      </c>
      <c r="B30" s="11" t="s">
        <v>57</v>
      </c>
      <c r="C30" s="11" t="s">
        <v>113</v>
      </c>
      <c r="D30" s="52"/>
      <c r="E30" s="53" t="s">
        <v>150</v>
      </c>
      <c r="F30" s="12" t="s">
        <v>114</v>
      </c>
      <c r="G30" s="12">
        <v>4</v>
      </c>
      <c r="H30" s="35">
        <v>20</v>
      </c>
      <c r="I30" s="7">
        <v>1000000</v>
      </c>
      <c r="J30" s="14">
        <v>79328</v>
      </c>
      <c r="K30" s="15">
        <f>L30+28388+70816+76368+81764+83428+47688+53180+83092+82192+79328</f>
        <v>686244</v>
      </c>
      <c r="L30" s="15"/>
      <c r="M30" s="15">
        <f t="shared" si="0"/>
        <v>0</v>
      </c>
      <c r="N30" s="15">
        <v>0</v>
      </c>
      <c r="O30" s="58" t="str">
        <f t="shared" si="1"/>
        <v>0</v>
      </c>
      <c r="P30" s="39" t="str">
        <f t="shared" si="2"/>
        <v>0</v>
      </c>
      <c r="Q30" s="40">
        <f t="shared" si="3"/>
        <v>24</v>
      </c>
      <c r="R30" s="7"/>
      <c r="S30" s="6"/>
      <c r="T30" s="16"/>
      <c r="U30" s="16"/>
      <c r="V30" s="114">
        <v>24</v>
      </c>
      <c r="W30" s="5"/>
      <c r="X30" s="16"/>
      <c r="Y30" s="16"/>
      <c r="Z30" s="16"/>
      <c r="AA30" s="18"/>
      <c r="AB30" s="8">
        <f t="shared" si="4"/>
        <v>0</v>
      </c>
      <c r="AC30" s="9">
        <f t="shared" si="5"/>
        <v>0</v>
      </c>
      <c r="AD30" s="10">
        <f t="shared" si="8"/>
        <v>0</v>
      </c>
      <c r="AE30" s="36">
        <f t="shared" si="34"/>
        <v>0.41</v>
      </c>
      <c r="AF30" s="81">
        <f t="shared" si="7"/>
        <v>36</v>
      </c>
    </row>
    <row r="31" spans="1:32" ht="19.5" thickBot="1">
      <c r="A31" s="478" t="s">
        <v>34</v>
      </c>
      <c r="B31" s="479"/>
      <c r="C31" s="479"/>
      <c r="D31" s="479"/>
      <c r="E31" s="479"/>
      <c r="F31" s="479"/>
      <c r="G31" s="479"/>
      <c r="H31" s="480"/>
      <c r="I31" s="22">
        <f t="shared" ref="I31:N31" si="36">SUM(I6:I30)</f>
        <v>3783600</v>
      </c>
      <c r="J31" s="19">
        <f t="shared" si="36"/>
        <v>296203</v>
      </c>
      <c r="K31" s="20">
        <f t="shared" si="36"/>
        <v>1634652</v>
      </c>
      <c r="L31" s="21">
        <f t="shared" si="36"/>
        <v>121195</v>
      </c>
      <c r="M31" s="20">
        <f t="shared" si="36"/>
        <v>121195</v>
      </c>
      <c r="N31" s="21">
        <f t="shared" si="36"/>
        <v>0</v>
      </c>
      <c r="O31" s="41">
        <f t="shared" si="1"/>
        <v>0</v>
      </c>
      <c r="P31" s="42">
        <f t="shared" ref="P31:AA31" si="37">SUM(P6:P30)</f>
        <v>246</v>
      </c>
      <c r="Q31" s="43">
        <f t="shared" si="37"/>
        <v>330</v>
      </c>
      <c r="R31" s="23">
        <f t="shared" si="37"/>
        <v>0</v>
      </c>
      <c r="S31" s="24">
        <f t="shared" si="37"/>
        <v>183</v>
      </c>
      <c r="T31" s="24">
        <f t="shared" si="37"/>
        <v>9</v>
      </c>
      <c r="U31" s="24">
        <f t="shared" si="37"/>
        <v>0</v>
      </c>
      <c r="V31" s="25">
        <f t="shared" si="37"/>
        <v>48</v>
      </c>
      <c r="W31" s="26">
        <f t="shared" si="37"/>
        <v>66</v>
      </c>
      <c r="X31" s="27">
        <f t="shared" si="37"/>
        <v>0</v>
      </c>
      <c r="Y31" s="27">
        <f t="shared" si="37"/>
        <v>0</v>
      </c>
      <c r="Z31" s="27">
        <f t="shared" si="37"/>
        <v>0</v>
      </c>
      <c r="AA31" s="27">
        <f t="shared" si="37"/>
        <v>24</v>
      </c>
      <c r="AB31" s="28">
        <f>AVERAGE(AB6:AB30)</f>
        <v>0.70833333333333337</v>
      </c>
      <c r="AC31" s="4">
        <f>AVERAGE(AC6:AC30)</f>
        <v>0.41</v>
      </c>
      <c r="AD31" s="4">
        <f>AVERAGE(AD6:AD30)</f>
        <v>0.41</v>
      </c>
      <c r="AE31" s="29"/>
    </row>
    <row r="32" spans="1:32">
      <c r="T32" s="50" t="s">
        <v>128</v>
      </c>
    </row>
    <row r="33" spans="1:32" ht="18.75">
      <c r="A33" s="2"/>
      <c r="B33" s="2" t="s">
        <v>35</v>
      </c>
      <c r="C33" s="2"/>
      <c r="D33" s="2"/>
      <c r="E33" s="2"/>
      <c r="F33" s="2"/>
      <c r="G33" s="2"/>
      <c r="H33" s="3"/>
      <c r="I33" s="3"/>
      <c r="J33" s="2"/>
      <c r="K33" s="2"/>
      <c r="L33" s="2"/>
      <c r="M33" s="2"/>
      <c r="N33" s="2" t="s">
        <v>36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1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 t="s">
        <v>129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82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27">
      <c r="A48" s="59"/>
      <c r="B48" s="59"/>
      <c r="C48" s="59"/>
      <c r="D48" s="59"/>
      <c r="E48" s="59"/>
      <c r="F48" s="37"/>
      <c r="G48" s="37"/>
      <c r="H48" s="38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F48" s="50"/>
    </row>
    <row r="49" spans="1:32" ht="29.25" customHeight="1">
      <c r="A49" s="60"/>
      <c r="B49" s="60"/>
      <c r="C49" s="61"/>
      <c r="D49" s="61"/>
      <c r="E49" s="61"/>
      <c r="F49" s="60"/>
      <c r="G49" s="60"/>
      <c r="H49" s="60"/>
      <c r="I49" s="60"/>
      <c r="J49" s="60"/>
      <c r="K49" s="60"/>
      <c r="L49" s="60"/>
      <c r="M49" s="61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29.25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36" thickBot="1">
      <c r="A58" s="481" t="s">
        <v>45</v>
      </c>
      <c r="B58" s="481"/>
      <c r="C58" s="481"/>
      <c r="D58" s="481"/>
      <c r="E58" s="481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F58" s="50"/>
    </row>
    <row r="59" spans="1:32" ht="26.25" thickBot="1">
      <c r="A59" s="482" t="s">
        <v>570</v>
      </c>
      <c r="B59" s="483"/>
      <c r="C59" s="483"/>
      <c r="D59" s="483"/>
      <c r="E59" s="483"/>
      <c r="F59" s="483"/>
      <c r="G59" s="483"/>
      <c r="H59" s="483"/>
      <c r="I59" s="483"/>
      <c r="J59" s="483"/>
      <c r="K59" s="483"/>
      <c r="L59" s="483"/>
      <c r="M59" s="484"/>
      <c r="N59" s="485" t="s">
        <v>586</v>
      </c>
      <c r="O59" s="486"/>
      <c r="P59" s="486"/>
      <c r="Q59" s="486"/>
      <c r="R59" s="486"/>
      <c r="S59" s="486"/>
      <c r="T59" s="486"/>
      <c r="U59" s="486"/>
      <c r="V59" s="486"/>
      <c r="W59" s="486"/>
      <c r="X59" s="486"/>
      <c r="Y59" s="486"/>
      <c r="Z59" s="486"/>
      <c r="AA59" s="486"/>
      <c r="AB59" s="486"/>
      <c r="AC59" s="486"/>
      <c r="AD59" s="487"/>
    </row>
    <row r="60" spans="1:32" ht="27" customHeight="1">
      <c r="A60" s="488" t="s">
        <v>2</v>
      </c>
      <c r="B60" s="489"/>
      <c r="C60" s="275" t="s">
        <v>46</v>
      </c>
      <c r="D60" s="275" t="s">
        <v>47</v>
      </c>
      <c r="E60" s="275" t="s">
        <v>107</v>
      </c>
      <c r="F60" s="490" t="s">
        <v>106</v>
      </c>
      <c r="G60" s="491"/>
      <c r="H60" s="491"/>
      <c r="I60" s="491"/>
      <c r="J60" s="491"/>
      <c r="K60" s="491"/>
      <c r="L60" s="491"/>
      <c r="M60" s="492"/>
      <c r="N60" s="67" t="s">
        <v>110</v>
      </c>
      <c r="O60" s="275" t="s">
        <v>46</v>
      </c>
      <c r="P60" s="490" t="s">
        <v>47</v>
      </c>
      <c r="Q60" s="493"/>
      <c r="R60" s="490" t="s">
        <v>38</v>
      </c>
      <c r="S60" s="491"/>
      <c r="T60" s="491"/>
      <c r="U60" s="493"/>
      <c r="V60" s="490" t="s">
        <v>48</v>
      </c>
      <c r="W60" s="491"/>
      <c r="X60" s="491"/>
      <c r="Y60" s="491"/>
      <c r="Z60" s="491"/>
      <c r="AA60" s="491"/>
      <c r="AB60" s="491"/>
      <c r="AC60" s="491"/>
      <c r="AD60" s="492"/>
    </row>
    <row r="61" spans="1:32" ht="27" customHeight="1">
      <c r="A61" s="455" t="s">
        <v>116</v>
      </c>
      <c r="B61" s="456"/>
      <c r="C61" s="270" t="s">
        <v>145</v>
      </c>
      <c r="D61" s="270" t="s">
        <v>499</v>
      </c>
      <c r="E61" s="271" t="s">
        <v>529</v>
      </c>
      <c r="F61" s="457" t="s">
        <v>571</v>
      </c>
      <c r="G61" s="458"/>
      <c r="H61" s="458"/>
      <c r="I61" s="458"/>
      <c r="J61" s="458"/>
      <c r="K61" s="458"/>
      <c r="L61" s="458"/>
      <c r="M61" s="459"/>
      <c r="N61" s="274" t="s">
        <v>116</v>
      </c>
      <c r="O61" s="268" t="s">
        <v>145</v>
      </c>
      <c r="P61" s="472" t="s">
        <v>499</v>
      </c>
      <c r="Q61" s="473"/>
      <c r="R61" s="472" t="s">
        <v>500</v>
      </c>
      <c r="S61" s="474"/>
      <c r="T61" s="474"/>
      <c r="U61" s="473"/>
      <c r="V61" s="461" t="s">
        <v>144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112</v>
      </c>
      <c r="B62" s="456"/>
      <c r="C62" s="270" t="s">
        <v>155</v>
      </c>
      <c r="D62" s="270" t="s">
        <v>159</v>
      </c>
      <c r="E62" s="271" t="s">
        <v>527</v>
      </c>
      <c r="F62" s="457" t="s">
        <v>144</v>
      </c>
      <c r="G62" s="458"/>
      <c r="H62" s="458"/>
      <c r="I62" s="458"/>
      <c r="J62" s="458"/>
      <c r="K62" s="458"/>
      <c r="L62" s="458"/>
      <c r="M62" s="459"/>
      <c r="N62" s="274" t="s">
        <v>126</v>
      </c>
      <c r="O62" s="268" t="s">
        <v>140</v>
      </c>
      <c r="P62" s="472" t="s">
        <v>127</v>
      </c>
      <c r="Q62" s="473"/>
      <c r="R62" s="472" t="s">
        <v>160</v>
      </c>
      <c r="S62" s="474"/>
      <c r="T62" s="474"/>
      <c r="U62" s="473"/>
      <c r="V62" s="461" t="s">
        <v>144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112</v>
      </c>
      <c r="B63" s="456"/>
      <c r="C63" s="270" t="s">
        <v>244</v>
      </c>
      <c r="D63" s="270" t="s">
        <v>159</v>
      </c>
      <c r="E63" s="271" t="s">
        <v>234</v>
      </c>
      <c r="F63" s="457" t="s">
        <v>585</v>
      </c>
      <c r="G63" s="458"/>
      <c r="H63" s="458"/>
      <c r="I63" s="458"/>
      <c r="J63" s="458"/>
      <c r="K63" s="458"/>
      <c r="L63" s="458"/>
      <c r="M63" s="459"/>
      <c r="N63" s="274" t="s">
        <v>112</v>
      </c>
      <c r="O63" s="268" t="s">
        <v>155</v>
      </c>
      <c r="P63" s="472" t="s">
        <v>159</v>
      </c>
      <c r="Q63" s="473"/>
      <c r="R63" s="472" t="s">
        <v>234</v>
      </c>
      <c r="S63" s="474"/>
      <c r="T63" s="474"/>
      <c r="U63" s="473"/>
      <c r="V63" s="461" t="s">
        <v>144</v>
      </c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112</v>
      </c>
      <c r="B64" s="456"/>
      <c r="C64" s="277" t="s">
        <v>180</v>
      </c>
      <c r="D64" s="277" t="s">
        <v>115</v>
      </c>
      <c r="E64" s="279" t="s">
        <v>143</v>
      </c>
      <c r="F64" s="457" t="s">
        <v>572</v>
      </c>
      <c r="G64" s="458"/>
      <c r="H64" s="458"/>
      <c r="I64" s="458"/>
      <c r="J64" s="458"/>
      <c r="K64" s="458"/>
      <c r="L64" s="458"/>
      <c r="M64" s="459"/>
      <c r="N64" s="278" t="s">
        <v>112</v>
      </c>
      <c r="O64" s="280" t="s">
        <v>180</v>
      </c>
      <c r="P64" s="472" t="s">
        <v>115</v>
      </c>
      <c r="Q64" s="473"/>
      <c r="R64" s="472" t="s">
        <v>143</v>
      </c>
      <c r="S64" s="474"/>
      <c r="T64" s="474"/>
      <c r="U64" s="473"/>
      <c r="V64" s="461" t="s">
        <v>144</v>
      </c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 t="s">
        <v>112</v>
      </c>
      <c r="B65" s="456"/>
      <c r="C65" s="270" t="s">
        <v>575</v>
      </c>
      <c r="D65" s="270" t="s">
        <v>115</v>
      </c>
      <c r="E65" s="271" t="s">
        <v>573</v>
      </c>
      <c r="F65" s="457" t="s">
        <v>574</v>
      </c>
      <c r="G65" s="458"/>
      <c r="H65" s="458"/>
      <c r="I65" s="458"/>
      <c r="J65" s="458"/>
      <c r="K65" s="458"/>
      <c r="L65" s="458"/>
      <c r="M65" s="459"/>
      <c r="N65" s="274" t="s">
        <v>116</v>
      </c>
      <c r="O65" s="268" t="s">
        <v>225</v>
      </c>
      <c r="P65" s="472" t="s">
        <v>157</v>
      </c>
      <c r="Q65" s="473"/>
      <c r="R65" s="472" t="s">
        <v>587</v>
      </c>
      <c r="S65" s="474"/>
      <c r="T65" s="474"/>
      <c r="U65" s="473"/>
      <c r="V65" s="461" t="s">
        <v>187</v>
      </c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 t="s">
        <v>112</v>
      </c>
      <c r="B66" s="456"/>
      <c r="C66" s="270" t="s">
        <v>578</v>
      </c>
      <c r="D66" s="270" t="s">
        <v>115</v>
      </c>
      <c r="E66" s="271" t="s">
        <v>576</v>
      </c>
      <c r="F66" s="457" t="s">
        <v>577</v>
      </c>
      <c r="G66" s="458"/>
      <c r="H66" s="458"/>
      <c r="I66" s="458"/>
      <c r="J66" s="458"/>
      <c r="K66" s="458"/>
      <c r="L66" s="458"/>
      <c r="M66" s="459"/>
      <c r="N66" s="274" t="s">
        <v>112</v>
      </c>
      <c r="O66" s="268" t="s">
        <v>589</v>
      </c>
      <c r="P66" s="472" t="s">
        <v>590</v>
      </c>
      <c r="Q66" s="473"/>
      <c r="R66" s="472" t="s">
        <v>588</v>
      </c>
      <c r="S66" s="474"/>
      <c r="T66" s="474"/>
      <c r="U66" s="473"/>
      <c r="V66" s="461" t="s">
        <v>144</v>
      </c>
      <c r="W66" s="462"/>
      <c r="X66" s="462"/>
      <c r="Y66" s="462"/>
      <c r="Z66" s="462"/>
      <c r="AA66" s="462"/>
      <c r="AB66" s="462"/>
      <c r="AC66" s="462"/>
      <c r="AD66" s="463"/>
    </row>
    <row r="67" spans="1:32" ht="27" customHeight="1">
      <c r="A67" s="455" t="s">
        <v>116</v>
      </c>
      <c r="B67" s="456"/>
      <c r="C67" s="270" t="s">
        <v>581</v>
      </c>
      <c r="D67" s="270" t="s">
        <v>582</v>
      </c>
      <c r="E67" s="271" t="s">
        <v>579</v>
      </c>
      <c r="F67" s="457" t="s">
        <v>580</v>
      </c>
      <c r="G67" s="458"/>
      <c r="H67" s="458"/>
      <c r="I67" s="458"/>
      <c r="J67" s="458"/>
      <c r="K67" s="458"/>
      <c r="L67" s="458"/>
      <c r="M67" s="459"/>
      <c r="N67" s="274"/>
      <c r="O67" s="268"/>
      <c r="P67" s="472"/>
      <c r="Q67" s="473"/>
      <c r="R67" s="472"/>
      <c r="S67" s="474"/>
      <c r="T67" s="474"/>
      <c r="U67" s="473"/>
      <c r="V67" s="461"/>
      <c r="W67" s="462"/>
      <c r="X67" s="462"/>
      <c r="Y67" s="462"/>
      <c r="Z67" s="462"/>
      <c r="AA67" s="462"/>
      <c r="AB67" s="462"/>
      <c r="AC67" s="462"/>
      <c r="AD67" s="463"/>
    </row>
    <row r="68" spans="1:32" ht="27" customHeight="1">
      <c r="A68" s="455" t="s">
        <v>116</v>
      </c>
      <c r="B68" s="456"/>
      <c r="C68" s="270" t="s">
        <v>581</v>
      </c>
      <c r="D68" s="270" t="s">
        <v>584</v>
      </c>
      <c r="E68" s="271" t="s">
        <v>583</v>
      </c>
      <c r="F68" s="457" t="s">
        <v>580</v>
      </c>
      <c r="G68" s="458"/>
      <c r="H68" s="458"/>
      <c r="I68" s="458"/>
      <c r="J68" s="458"/>
      <c r="K68" s="458"/>
      <c r="L68" s="458"/>
      <c r="M68" s="459"/>
      <c r="N68" s="274"/>
      <c r="O68" s="268"/>
      <c r="P68" s="472"/>
      <c r="Q68" s="473"/>
      <c r="R68" s="472"/>
      <c r="S68" s="474"/>
      <c r="T68" s="474"/>
      <c r="U68" s="473"/>
      <c r="V68" s="461"/>
      <c r="W68" s="462"/>
      <c r="X68" s="462"/>
      <c r="Y68" s="462"/>
      <c r="Z68" s="462"/>
      <c r="AA68" s="462"/>
      <c r="AB68" s="462"/>
      <c r="AC68" s="462"/>
      <c r="AD68" s="463"/>
    </row>
    <row r="69" spans="1:32" ht="27" customHeight="1">
      <c r="A69" s="455"/>
      <c r="B69" s="456"/>
      <c r="C69" s="270"/>
      <c r="D69" s="270"/>
      <c r="E69" s="271"/>
      <c r="F69" s="457"/>
      <c r="G69" s="458"/>
      <c r="H69" s="458"/>
      <c r="I69" s="458"/>
      <c r="J69" s="458"/>
      <c r="K69" s="458"/>
      <c r="L69" s="458"/>
      <c r="M69" s="459"/>
      <c r="N69" s="274"/>
      <c r="O69" s="268"/>
      <c r="P69" s="460"/>
      <c r="Q69" s="460"/>
      <c r="R69" s="460"/>
      <c r="S69" s="460"/>
      <c r="T69" s="460"/>
      <c r="U69" s="460"/>
      <c r="V69" s="461"/>
      <c r="W69" s="462"/>
      <c r="X69" s="462"/>
      <c r="Y69" s="462"/>
      <c r="Z69" s="462"/>
      <c r="AA69" s="462"/>
      <c r="AB69" s="462"/>
      <c r="AC69" s="462"/>
      <c r="AD69" s="463"/>
      <c r="AF69" s="81">
        <f>8*3000</f>
        <v>24000</v>
      </c>
    </row>
    <row r="70" spans="1:32" ht="27" customHeight="1" thickBot="1">
      <c r="A70" s="464"/>
      <c r="B70" s="465"/>
      <c r="C70" s="272"/>
      <c r="D70" s="273"/>
      <c r="E70" s="272"/>
      <c r="F70" s="466"/>
      <c r="G70" s="467"/>
      <c r="H70" s="467"/>
      <c r="I70" s="467"/>
      <c r="J70" s="467"/>
      <c r="K70" s="467"/>
      <c r="L70" s="467"/>
      <c r="M70" s="468"/>
      <c r="N70" s="105"/>
      <c r="O70" s="97"/>
      <c r="P70" s="469"/>
      <c r="Q70" s="469"/>
      <c r="R70" s="469"/>
      <c r="S70" s="469"/>
      <c r="T70" s="469"/>
      <c r="U70" s="469"/>
      <c r="V70" s="470"/>
      <c r="W70" s="470"/>
      <c r="X70" s="470"/>
      <c r="Y70" s="470"/>
      <c r="Z70" s="470"/>
      <c r="AA70" s="470"/>
      <c r="AB70" s="470"/>
      <c r="AC70" s="470"/>
      <c r="AD70" s="471"/>
      <c r="AF70" s="81">
        <f>16*3000</f>
        <v>48000</v>
      </c>
    </row>
    <row r="71" spans="1:32" ht="27.75" thickBot="1">
      <c r="A71" s="453" t="s">
        <v>591</v>
      </c>
      <c r="B71" s="453"/>
      <c r="C71" s="453"/>
      <c r="D71" s="453"/>
      <c r="E71" s="45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81">
        <v>24000</v>
      </c>
    </row>
    <row r="72" spans="1:32" ht="29.25" customHeight="1" thickBot="1">
      <c r="A72" s="454" t="s">
        <v>111</v>
      </c>
      <c r="B72" s="451"/>
      <c r="C72" s="269" t="s">
        <v>2</v>
      </c>
      <c r="D72" s="269" t="s">
        <v>37</v>
      </c>
      <c r="E72" s="269" t="s">
        <v>3</v>
      </c>
      <c r="F72" s="451" t="s">
        <v>109</v>
      </c>
      <c r="G72" s="451"/>
      <c r="H72" s="451"/>
      <c r="I72" s="451"/>
      <c r="J72" s="451"/>
      <c r="K72" s="451" t="s">
        <v>39</v>
      </c>
      <c r="L72" s="451"/>
      <c r="M72" s="269" t="s">
        <v>40</v>
      </c>
      <c r="N72" s="451" t="s">
        <v>41</v>
      </c>
      <c r="O72" s="451"/>
      <c r="P72" s="448" t="s">
        <v>42</v>
      </c>
      <c r="Q72" s="450"/>
      <c r="R72" s="448" t="s">
        <v>43</v>
      </c>
      <c r="S72" s="449"/>
      <c r="T72" s="449"/>
      <c r="U72" s="449"/>
      <c r="V72" s="449"/>
      <c r="W72" s="449"/>
      <c r="X72" s="449"/>
      <c r="Y72" s="449"/>
      <c r="Z72" s="449"/>
      <c r="AA72" s="450"/>
      <c r="AB72" s="451" t="s">
        <v>44</v>
      </c>
      <c r="AC72" s="451"/>
      <c r="AD72" s="452"/>
      <c r="AF72" s="81">
        <f>SUM(AF69:AF71)</f>
        <v>96000</v>
      </c>
    </row>
    <row r="73" spans="1:32" ht="25.5" customHeight="1">
      <c r="A73" s="439">
        <v>1</v>
      </c>
      <c r="B73" s="440"/>
      <c r="C73" s="98" t="s">
        <v>548</v>
      </c>
      <c r="D73" s="264"/>
      <c r="E73" s="267" t="s">
        <v>236</v>
      </c>
      <c r="F73" s="441" t="s">
        <v>592</v>
      </c>
      <c r="G73" s="431"/>
      <c r="H73" s="431"/>
      <c r="I73" s="431"/>
      <c r="J73" s="431"/>
      <c r="K73" s="431">
        <v>8301</v>
      </c>
      <c r="L73" s="431"/>
      <c r="M73" s="51" t="s">
        <v>550</v>
      </c>
      <c r="N73" s="442" t="s">
        <v>192</v>
      </c>
      <c r="O73" s="442"/>
      <c r="P73" s="443">
        <v>50</v>
      </c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2</v>
      </c>
      <c r="B74" s="440"/>
      <c r="C74" s="98" t="s">
        <v>126</v>
      </c>
      <c r="D74" s="264"/>
      <c r="E74" s="267" t="s">
        <v>127</v>
      </c>
      <c r="F74" s="441" t="s">
        <v>160</v>
      </c>
      <c r="G74" s="431"/>
      <c r="H74" s="431"/>
      <c r="I74" s="431"/>
      <c r="J74" s="431"/>
      <c r="K74" s="431" t="s">
        <v>162</v>
      </c>
      <c r="L74" s="431"/>
      <c r="M74" s="51" t="s">
        <v>154</v>
      </c>
      <c r="N74" s="442" t="s">
        <v>140</v>
      </c>
      <c r="O74" s="442"/>
      <c r="P74" s="443"/>
      <c r="Q74" s="443"/>
      <c r="R74" s="444" t="s">
        <v>593</v>
      </c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3</v>
      </c>
      <c r="B75" s="440"/>
      <c r="C75" s="98"/>
      <c r="D75" s="264"/>
      <c r="E75" s="267"/>
      <c r="F75" s="441"/>
      <c r="G75" s="431"/>
      <c r="H75" s="431"/>
      <c r="I75" s="431"/>
      <c r="J75" s="431"/>
      <c r="K75" s="431"/>
      <c r="L75" s="431"/>
      <c r="M75" s="51"/>
      <c r="N75" s="442"/>
      <c r="O75" s="442"/>
      <c r="P75" s="443"/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4</v>
      </c>
      <c r="B76" s="440"/>
      <c r="C76" s="98"/>
      <c r="D76" s="264"/>
      <c r="E76" s="267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5</v>
      </c>
      <c r="B77" s="440"/>
      <c r="C77" s="98"/>
      <c r="D77" s="264"/>
      <c r="E77" s="267"/>
      <c r="F77" s="445"/>
      <c r="G77" s="446"/>
      <c r="H77" s="446"/>
      <c r="I77" s="446"/>
      <c r="J77" s="447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6</v>
      </c>
      <c r="B78" s="440"/>
      <c r="C78" s="98"/>
      <c r="D78" s="264"/>
      <c r="E78" s="267"/>
      <c r="F78" s="445"/>
      <c r="G78" s="446"/>
      <c r="H78" s="446"/>
      <c r="I78" s="446"/>
      <c r="J78" s="447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7</v>
      </c>
      <c r="B79" s="440"/>
      <c r="C79" s="98"/>
      <c r="D79" s="264"/>
      <c r="E79" s="267"/>
      <c r="F79" s="445"/>
      <c r="G79" s="446"/>
      <c r="H79" s="446"/>
      <c r="I79" s="446"/>
      <c r="J79" s="447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5.5" customHeight="1">
      <c r="A80" s="439">
        <v>8</v>
      </c>
      <c r="B80" s="440"/>
      <c r="C80" s="98"/>
      <c r="D80" s="264"/>
      <c r="E80" s="267"/>
      <c r="F80" s="441"/>
      <c r="G80" s="431"/>
      <c r="H80" s="431"/>
      <c r="I80" s="431"/>
      <c r="J80" s="431"/>
      <c r="K80" s="431"/>
      <c r="L80" s="431"/>
      <c r="M80" s="51"/>
      <c r="N80" s="442"/>
      <c r="O80" s="442"/>
      <c r="P80" s="443"/>
      <c r="Q80" s="443"/>
      <c r="R80" s="444"/>
      <c r="S80" s="444"/>
      <c r="T80" s="444"/>
      <c r="U80" s="444"/>
      <c r="V80" s="444"/>
      <c r="W80" s="444"/>
      <c r="X80" s="444"/>
      <c r="Y80" s="444"/>
      <c r="Z80" s="444"/>
      <c r="AA80" s="444"/>
      <c r="AB80" s="431"/>
      <c r="AC80" s="431"/>
      <c r="AD80" s="432"/>
      <c r="AF80" s="50"/>
    </row>
    <row r="81" spans="1:32" ht="25.5" customHeight="1">
      <c r="A81" s="439">
        <v>9</v>
      </c>
      <c r="B81" s="440"/>
      <c r="C81" s="98"/>
      <c r="D81" s="264"/>
      <c r="E81" s="267"/>
      <c r="F81" s="441"/>
      <c r="G81" s="431"/>
      <c r="H81" s="431"/>
      <c r="I81" s="431"/>
      <c r="J81" s="431"/>
      <c r="K81" s="431"/>
      <c r="L81" s="431"/>
      <c r="M81" s="51"/>
      <c r="N81" s="442"/>
      <c r="O81" s="442"/>
      <c r="P81" s="443"/>
      <c r="Q81" s="443"/>
      <c r="R81" s="444"/>
      <c r="S81" s="444"/>
      <c r="T81" s="444"/>
      <c r="U81" s="444"/>
      <c r="V81" s="444"/>
      <c r="W81" s="444"/>
      <c r="X81" s="444"/>
      <c r="Y81" s="444"/>
      <c r="Z81" s="444"/>
      <c r="AA81" s="444"/>
      <c r="AB81" s="431"/>
      <c r="AC81" s="431"/>
      <c r="AD81" s="432"/>
      <c r="AF81" s="50"/>
    </row>
    <row r="82" spans="1:32" ht="25.5" customHeight="1">
      <c r="A82" s="439">
        <v>10</v>
      </c>
      <c r="B82" s="440"/>
      <c r="C82" s="98"/>
      <c r="D82" s="264"/>
      <c r="E82" s="267"/>
      <c r="F82" s="441"/>
      <c r="G82" s="431"/>
      <c r="H82" s="431"/>
      <c r="I82" s="431"/>
      <c r="J82" s="431"/>
      <c r="K82" s="431"/>
      <c r="L82" s="431"/>
      <c r="M82" s="51"/>
      <c r="N82" s="442"/>
      <c r="O82" s="442"/>
      <c r="P82" s="443"/>
      <c r="Q82" s="443"/>
      <c r="R82" s="444"/>
      <c r="S82" s="444"/>
      <c r="T82" s="444"/>
      <c r="U82" s="444"/>
      <c r="V82" s="444"/>
      <c r="W82" s="444"/>
      <c r="X82" s="444"/>
      <c r="Y82" s="444"/>
      <c r="Z82" s="444"/>
      <c r="AA82" s="444"/>
      <c r="AB82" s="431"/>
      <c r="AC82" s="431"/>
      <c r="AD82" s="432"/>
      <c r="AF82" s="50"/>
    </row>
    <row r="83" spans="1:32" ht="26.25" customHeight="1" thickBot="1">
      <c r="A83" s="411" t="s">
        <v>594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23.25" thickBot="1">
      <c r="A84" s="433" t="s">
        <v>111</v>
      </c>
      <c r="B84" s="434"/>
      <c r="C84" s="266" t="s">
        <v>2</v>
      </c>
      <c r="D84" s="266" t="s">
        <v>37</v>
      </c>
      <c r="E84" s="266" t="s">
        <v>120</v>
      </c>
      <c r="F84" s="413" t="s">
        <v>38</v>
      </c>
      <c r="G84" s="413"/>
      <c r="H84" s="413"/>
      <c r="I84" s="413"/>
      <c r="J84" s="413"/>
      <c r="K84" s="435" t="s">
        <v>58</v>
      </c>
      <c r="L84" s="436"/>
      <c r="M84" s="436"/>
      <c r="N84" s="436"/>
      <c r="O84" s="436"/>
      <c r="P84" s="436"/>
      <c r="Q84" s="436"/>
      <c r="R84" s="436"/>
      <c r="S84" s="437"/>
      <c r="T84" s="413" t="s">
        <v>49</v>
      </c>
      <c r="U84" s="413"/>
      <c r="V84" s="435" t="s">
        <v>50</v>
      </c>
      <c r="W84" s="437"/>
      <c r="X84" s="436" t="s">
        <v>51</v>
      </c>
      <c r="Y84" s="436"/>
      <c r="Z84" s="436"/>
      <c r="AA84" s="436"/>
      <c r="AB84" s="436"/>
      <c r="AC84" s="436"/>
      <c r="AD84" s="438"/>
      <c r="AF84" s="50"/>
    </row>
    <row r="85" spans="1:32" ht="33.75" customHeight="1">
      <c r="A85" s="405">
        <v>1</v>
      </c>
      <c r="B85" s="406"/>
      <c r="C85" s="265"/>
      <c r="D85" s="265"/>
      <c r="E85" s="65"/>
      <c r="F85" s="420"/>
      <c r="G85" s="421"/>
      <c r="H85" s="421"/>
      <c r="I85" s="421"/>
      <c r="J85" s="422"/>
      <c r="K85" s="423"/>
      <c r="L85" s="424"/>
      <c r="M85" s="424"/>
      <c r="N85" s="424"/>
      <c r="O85" s="424"/>
      <c r="P85" s="424"/>
      <c r="Q85" s="424"/>
      <c r="R85" s="424"/>
      <c r="S85" s="425"/>
      <c r="T85" s="426"/>
      <c r="U85" s="427"/>
      <c r="V85" s="428"/>
      <c r="W85" s="428"/>
      <c r="X85" s="429"/>
      <c r="Y85" s="429"/>
      <c r="Z85" s="429"/>
      <c r="AA85" s="429"/>
      <c r="AB85" s="429"/>
      <c r="AC85" s="429"/>
      <c r="AD85" s="430"/>
      <c r="AF85" s="50"/>
    </row>
    <row r="86" spans="1:32" ht="30" customHeight="1">
      <c r="A86" s="398">
        <f>A85+1</f>
        <v>2</v>
      </c>
      <c r="B86" s="399"/>
      <c r="C86" s="264"/>
      <c r="D86" s="264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ref="A87:A91" si="38">A86+1</f>
        <v>3</v>
      </c>
      <c r="B87" s="399"/>
      <c r="C87" s="264"/>
      <c r="D87" s="264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38"/>
        <v>4</v>
      </c>
      <c r="B88" s="399"/>
      <c r="C88" s="264"/>
      <c r="D88" s="264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0" customHeight="1">
      <c r="A89" s="398">
        <f t="shared" si="38"/>
        <v>5</v>
      </c>
      <c r="B89" s="399"/>
      <c r="C89" s="264"/>
      <c r="D89" s="264"/>
      <c r="E89" s="32"/>
      <c r="F89" s="399"/>
      <c r="G89" s="399"/>
      <c r="H89" s="399"/>
      <c r="I89" s="399"/>
      <c r="J89" s="399"/>
      <c r="K89" s="414"/>
      <c r="L89" s="415"/>
      <c r="M89" s="415"/>
      <c r="N89" s="415"/>
      <c r="O89" s="415"/>
      <c r="P89" s="415"/>
      <c r="Q89" s="415"/>
      <c r="R89" s="415"/>
      <c r="S89" s="416"/>
      <c r="T89" s="417"/>
      <c r="U89" s="417"/>
      <c r="V89" s="417"/>
      <c r="W89" s="417"/>
      <c r="X89" s="418"/>
      <c r="Y89" s="418"/>
      <c r="Z89" s="418"/>
      <c r="AA89" s="418"/>
      <c r="AB89" s="418"/>
      <c r="AC89" s="418"/>
      <c r="AD89" s="419"/>
      <c r="AF89" s="50"/>
    </row>
    <row r="90" spans="1:32" ht="30" customHeight="1">
      <c r="A90" s="398">
        <f t="shared" si="38"/>
        <v>6</v>
      </c>
      <c r="B90" s="399"/>
      <c r="C90" s="264"/>
      <c r="D90" s="264"/>
      <c r="E90" s="32"/>
      <c r="F90" s="399"/>
      <c r="G90" s="399"/>
      <c r="H90" s="399"/>
      <c r="I90" s="399"/>
      <c r="J90" s="399"/>
      <c r="K90" s="414"/>
      <c r="L90" s="415"/>
      <c r="M90" s="415"/>
      <c r="N90" s="415"/>
      <c r="O90" s="415"/>
      <c r="P90" s="415"/>
      <c r="Q90" s="415"/>
      <c r="R90" s="415"/>
      <c r="S90" s="416"/>
      <c r="T90" s="417"/>
      <c r="U90" s="417"/>
      <c r="V90" s="417"/>
      <c r="W90" s="417"/>
      <c r="X90" s="418"/>
      <c r="Y90" s="418"/>
      <c r="Z90" s="418"/>
      <c r="AA90" s="418"/>
      <c r="AB90" s="418"/>
      <c r="AC90" s="418"/>
      <c r="AD90" s="419"/>
      <c r="AF90" s="50"/>
    </row>
    <row r="91" spans="1:32" ht="30" customHeight="1">
      <c r="A91" s="398">
        <f t="shared" si="38"/>
        <v>7</v>
      </c>
      <c r="B91" s="399"/>
      <c r="C91" s="264"/>
      <c r="D91" s="264"/>
      <c r="E91" s="32"/>
      <c r="F91" s="399"/>
      <c r="G91" s="399"/>
      <c r="H91" s="399"/>
      <c r="I91" s="399"/>
      <c r="J91" s="399"/>
      <c r="K91" s="414"/>
      <c r="L91" s="415"/>
      <c r="M91" s="415"/>
      <c r="N91" s="415"/>
      <c r="O91" s="415"/>
      <c r="P91" s="415"/>
      <c r="Q91" s="415"/>
      <c r="R91" s="415"/>
      <c r="S91" s="416"/>
      <c r="T91" s="417"/>
      <c r="U91" s="417"/>
      <c r="V91" s="417"/>
      <c r="W91" s="417"/>
      <c r="X91" s="418"/>
      <c r="Y91" s="418"/>
      <c r="Z91" s="418"/>
      <c r="AA91" s="418"/>
      <c r="AB91" s="418"/>
      <c r="AC91" s="418"/>
      <c r="AD91" s="419"/>
      <c r="AF91" s="50"/>
    </row>
    <row r="92" spans="1:32" ht="36" thickBot="1">
      <c r="A92" s="411" t="s">
        <v>595</v>
      </c>
      <c r="B92" s="411"/>
      <c r="C92" s="411"/>
      <c r="D92" s="411"/>
      <c r="E92" s="411"/>
      <c r="F92" s="37"/>
      <c r="G92" s="37"/>
      <c r="H92" s="38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F92" s="50"/>
    </row>
    <row r="93" spans="1:32" ht="30.75" customHeight="1" thickBot="1">
      <c r="A93" s="412" t="s">
        <v>111</v>
      </c>
      <c r="B93" s="413"/>
      <c r="C93" s="403" t="s">
        <v>52</v>
      </c>
      <c r="D93" s="403"/>
      <c r="E93" s="403" t="s">
        <v>53</v>
      </c>
      <c r="F93" s="403"/>
      <c r="G93" s="403"/>
      <c r="H93" s="403"/>
      <c r="I93" s="403"/>
      <c r="J93" s="403"/>
      <c r="K93" s="403" t="s">
        <v>54</v>
      </c>
      <c r="L93" s="403"/>
      <c r="M93" s="403"/>
      <c r="N93" s="403"/>
      <c r="O93" s="403"/>
      <c r="P93" s="403"/>
      <c r="Q93" s="403"/>
      <c r="R93" s="403"/>
      <c r="S93" s="403"/>
      <c r="T93" s="403" t="s">
        <v>55</v>
      </c>
      <c r="U93" s="403"/>
      <c r="V93" s="403" t="s">
        <v>56</v>
      </c>
      <c r="W93" s="403"/>
      <c r="X93" s="403"/>
      <c r="Y93" s="403" t="s">
        <v>51</v>
      </c>
      <c r="Z93" s="403"/>
      <c r="AA93" s="403"/>
      <c r="AB93" s="403"/>
      <c r="AC93" s="403"/>
      <c r="AD93" s="404"/>
      <c r="AF93" s="50"/>
    </row>
    <row r="94" spans="1:32" ht="30.75" customHeight="1">
      <c r="A94" s="405">
        <v>1</v>
      </c>
      <c r="B94" s="406"/>
      <c r="C94" s="407"/>
      <c r="D94" s="407"/>
      <c r="E94" s="407"/>
      <c r="F94" s="407"/>
      <c r="G94" s="407"/>
      <c r="H94" s="407"/>
      <c r="I94" s="407"/>
      <c r="J94" s="407"/>
      <c r="K94" s="407"/>
      <c r="L94" s="407"/>
      <c r="M94" s="407"/>
      <c r="N94" s="407"/>
      <c r="O94" s="407"/>
      <c r="P94" s="407"/>
      <c r="Q94" s="407"/>
      <c r="R94" s="407"/>
      <c r="S94" s="407"/>
      <c r="T94" s="407"/>
      <c r="U94" s="407"/>
      <c r="V94" s="408"/>
      <c r="W94" s="408"/>
      <c r="X94" s="408"/>
      <c r="Y94" s="409"/>
      <c r="Z94" s="409"/>
      <c r="AA94" s="409"/>
      <c r="AB94" s="409"/>
      <c r="AC94" s="409"/>
      <c r="AD94" s="410"/>
      <c r="AF94" s="50"/>
    </row>
    <row r="95" spans="1:32" ht="30.75" customHeight="1">
      <c r="A95" s="398">
        <v>2</v>
      </c>
      <c r="B95" s="399"/>
      <c r="C95" s="400"/>
      <c r="D95" s="400"/>
      <c r="E95" s="400"/>
      <c r="F95" s="400"/>
      <c r="G95" s="400"/>
      <c r="H95" s="400"/>
      <c r="I95" s="400"/>
      <c r="J95" s="400"/>
      <c r="K95" s="400"/>
      <c r="L95" s="400"/>
      <c r="M95" s="400"/>
      <c r="N95" s="400"/>
      <c r="O95" s="400"/>
      <c r="P95" s="400"/>
      <c r="Q95" s="400"/>
      <c r="R95" s="400"/>
      <c r="S95" s="400"/>
      <c r="T95" s="401"/>
      <c r="U95" s="401"/>
      <c r="V95" s="402"/>
      <c r="W95" s="402"/>
      <c r="X95" s="402"/>
      <c r="Y95" s="390"/>
      <c r="Z95" s="390"/>
      <c r="AA95" s="390"/>
      <c r="AB95" s="390"/>
      <c r="AC95" s="390"/>
      <c r="AD95" s="391"/>
      <c r="AF95" s="50"/>
    </row>
    <row r="96" spans="1:32" ht="30.75" customHeight="1" thickBot="1">
      <c r="A96" s="392">
        <v>3</v>
      </c>
      <c r="B96" s="393"/>
      <c r="C96" s="394"/>
      <c r="D96" s="394"/>
      <c r="E96" s="394"/>
      <c r="F96" s="394"/>
      <c r="G96" s="394"/>
      <c r="H96" s="394"/>
      <c r="I96" s="394"/>
      <c r="J96" s="394"/>
      <c r="K96" s="394"/>
      <c r="L96" s="394"/>
      <c r="M96" s="394"/>
      <c r="N96" s="394"/>
      <c r="O96" s="394"/>
      <c r="P96" s="394"/>
      <c r="Q96" s="394"/>
      <c r="R96" s="394"/>
      <c r="S96" s="394"/>
      <c r="T96" s="394"/>
      <c r="U96" s="394"/>
      <c r="V96" s="395"/>
      <c r="W96" s="395"/>
      <c r="X96" s="395"/>
      <c r="Y96" s="396"/>
      <c r="Z96" s="396"/>
      <c r="AA96" s="396"/>
      <c r="AB96" s="396"/>
      <c r="AC96" s="396"/>
      <c r="AD96" s="397"/>
      <c r="AF96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1:H31"/>
    <mergeCell ref="A58:E58"/>
    <mergeCell ref="A59:M59"/>
    <mergeCell ref="N59:AD59"/>
    <mergeCell ref="A60:B60"/>
    <mergeCell ref="F60:M60"/>
    <mergeCell ref="P60:Q60"/>
    <mergeCell ref="R60:U60"/>
    <mergeCell ref="V60:AD60"/>
    <mergeCell ref="I4:O4"/>
    <mergeCell ref="P4:Q4"/>
    <mergeCell ref="R4:V4"/>
    <mergeCell ref="W4:AA4"/>
    <mergeCell ref="AB4:AB5"/>
    <mergeCell ref="AC4:AC5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R69:U69"/>
    <mergeCell ref="V69:AD69"/>
    <mergeCell ref="A70:B70"/>
    <mergeCell ref="F70:M70"/>
    <mergeCell ref="P70:Q70"/>
    <mergeCell ref="R70:U70"/>
    <mergeCell ref="V70:AD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71:E71"/>
    <mergeCell ref="A72:B72"/>
    <mergeCell ref="F72:J72"/>
    <mergeCell ref="K72:L72"/>
    <mergeCell ref="N72:O72"/>
    <mergeCell ref="P72:Q72"/>
    <mergeCell ref="A69:B69"/>
    <mergeCell ref="F69:M69"/>
    <mergeCell ref="P69:Q69"/>
    <mergeCell ref="R72:AA72"/>
    <mergeCell ref="AB72:AD72"/>
    <mergeCell ref="A73:B73"/>
    <mergeCell ref="F73:J73"/>
    <mergeCell ref="K73:L73"/>
    <mergeCell ref="N73:O73"/>
    <mergeCell ref="P73:Q73"/>
    <mergeCell ref="R73:AA73"/>
    <mergeCell ref="AB73:AD73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B81"/>
    <mergeCell ref="F81:J81"/>
    <mergeCell ref="K81:L81"/>
    <mergeCell ref="N81:O81"/>
    <mergeCell ref="P81:Q81"/>
    <mergeCell ref="R81:AA81"/>
    <mergeCell ref="AB81:AD81"/>
    <mergeCell ref="A80:B80"/>
    <mergeCell ref="F80:J80"/>
    <mergeCell ref="K80:L80"/>
    <mergeCell ref="N80:O80"/>
    <mergeCell ref="P80:Q80"/>
    <mergeCell ref="R80:AA80"/>
    <mergeCell ref="AB82:AD82"/>
    <mergeCell ref="A83:E83"/>
    <mergeCell ref="A84:B84"/>
    <mergeCell ref="F84:J84"/>
    <mergeCell ref="K84:S84"/>
    <mergeCell ref="T84:U84"/>
    <mergeCell ref="V84:W84"/>
    <mergeCell ref="X84:AD84"/>
    <mergeCell ref="A82:B82"/>
    <mergeCell ref="F82:J82"/>
    <mergeCell ref="K82:L82"/>
    <mergeCell ref="N82:O82"/>
    <mergeCell ref="P82:Q82"/>
    <mergeCell ref="R82:AA82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V91:W91"/>
    <mergeCell ref="X91:AD91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92:E92"/>
    <mergeCell ref="A93:B93"/>
    <mergeCell ref="C93:D93"/>
    <mergeCell ref="E93:J93"/>
    <mergeCell ref="K93:S93"/>
    <mergeCell ref="T93:U93"/>
    <mergeCell ref="A91:B91"/>
    <mergeCell ref="F91:J91"/>
    <mergeCell ref="K91:S91"/>
    <mergeCell ref="T91:U91"/>
    <mergeCell ref="V93:X93"/>
    <mergeCell ref="Y93:AD93"/>
    <mergeCell ref="A94:B94"/>
    <mergeCell ref="C94:D94"/>
    <mergeCell ref="E94:J94"/>
    <mergeCell ref="K94:S94"/>
    <mergeCell ref="T94:U94"/>
    <mergeCell ref="V94:X94"/>
    <mergeCell ref="Y94:AD94"/>
    <mergeCell ref="Y95:AD95"/>
    <mergeCell ref="A96:B96"/>
    <mergeCell ref="C96:D96"/>
    <mergeCell ref="E96:J96"/>
    <mergeCell ref="K96:S96"/>
    <mergeCell ref="T96:U96"/>
    <mergeCell ref="V96:X96"/>
    <mergeCell ref="Y96:AD96"/>
    <mergeCell ref="A95:B95"/>
    <mergeCell ref="C95:D95"/>
    <mergeCell ref="E95:J95"/>
    <mergeCell ref="K95:S95"/>
    <mergeCell ref="T95:U95"/>
    <mergeCell ref="V95:X9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6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8E70-BA85-471E-9CEC-F121232763D9}">
  <sheetPr codeName="Sheet16">
    <pageSetUpPr fitToPage="1"/>
  </sheetPr>
  <dimension ref="A1:AF95"/>
  <sheetViews>
    <sheetView view="pageBreakPreview" topLeftCell="A4" zoomScale="70" zoomScaleNormal="72" zoomScaleSheetLayoutView="70" workbookViewId="0">
      <selection activeCell="K85" sqref="K85:S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596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293" t="s">
        <v>17</v>
      </c>
      <c r="L5" s="293" t="s">
        <v>18</v>
      </c>
      <c r="M5" s="293" t="s">
        <v>19</v>
      </c>
      <c r="N5" s="29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597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40000</v>
      </c>
      <c r="J6" s="14">
        <v>10212</v>
      </c>
      <c r="K6" s="15">
        <f>L6</f>
        <v>10212</v>
      </c>
      <c r="L6" s="15">
        <f>2806*2+2300*2</f>
        <v>10212</v>
      </c>
      <c r="M6" s="15">
        <f t="shared" ref="M6:M29" si="0">L6-N6</f>
        <v>10212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24</v>
      </c>
      <c r="Q6" s="40">
        <f t="shared" ref="Q6:Q29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1</v>
      </c>
      <c r="AD6" s="10">
        <f>AC6*AB6*(1-O6)</f>
        <v>1</v>
      </c>
      <c r="AE6" s="36">
        <f t="shared" ref="AE6:AE21" si="6">$AD$30</f>
        <v>0.4079861111111111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163</v>
      </c>
      <c r="D7" s="52" t="s">
        <v>138</v>
      </c>
      <c r="E7" s="53" t="s">
        <v>179</v>
      </c>
      <c r="F7" s="30" t="s">
        <v>137</v>
      </c>
      <c r="G7" s="12">
        <v>1</v>
      </c>
      <c r="H7" s="13">
        <v>24</v>
      </c>
      <c r="I7" s="31">
        <v>30000</v>
      </c>
      <c r="J7" s="14">
        <v>4876</v>
      </c>
      <c r="K7" s="15">
        <f>L7+3491+6360+5775+6107+6201+6133+4876</f>
        <v>38943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9" si="8">AC7*AB7*(1-O7)</f>
        <v>0</v>
      </c>
      <c r="AE7" s="36">
        <f t="shared" si="6"/>
        <v>0.4079861111111111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159</v>
      </c>
      <c r="E8" s="53" t="s">
        <v>527</v>
      </c>
      <c r="F8" s="30" t="s">
        <v>123</v>
      </c>
      <c r="G8" s="12">
        <v>2</v>
      </c>
      <c r="H8" s="13">
        <v>22</v>
      </c>
      <c r="I8" s="31">
        <v>10000</v>
      </c>
      <c r="J8" s="5">
        <v>10120</v>
      </c>
      <c r="K8" s="15">
        <f>L8+6894+1080+5750</f>
        <v>23844</v>
      </c>
      <c r="L8" s="15">
        <f>2309*2+2751*2</f>
        <v>10120</v>
      </c>
      <c r="M8" s="15">
        <f t="shared" si="0"/>
        <v>10120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8"/>
        <v>1</v>
      </c>
      <c r="AE8" s="36">
        <f t="shared" si="6"/>
        <v>0.4079861111111111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499</v>
      </c>
      <c r="E9" s="53" t="s">
        <v>523</v>
      </c>
      <c r="F9" s="30" t="s">
        <v>524</v>
      </c>
      <c r="G9" s="12" t="s">
        <v>302</v>
      </c>
      <c r="H9" s="13">
        <v>24</v>
      </c>
      <c r="I9" s="7">
        <v>20000</v>
      </c>
      <c r="J9" s="14">
        <v>4883</v>
      </c>
      <c r="K9" s="15">
        <f>L9+4212+561</f>
        <v>9656</v>
      </c>
      <c r="L9" s="15">
        <f>2591+2292</f>
        <v>4883</v>
      </c>
      <c r="M9" s="15">
        <f t="shared" si="0"/>
        <v>4883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0.4079861111111111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3381</v>
      </c>
      <c r="K10" s="15">
        <f>L10+5338+5669+5744+4980+3619+1932+309+2790+5660+4715+1739+3127+5884+1203+3638+5732+5658+5217+2430+1897+5596+5715+3707+799+2709+2266+5086+3381</f>
        <v>106540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8"/>
        <v>0</v>
      </c>
      <c r="AE10" s="36">
        <f t="shared" si="6"/>
        <v>0.4079861111111111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121</v>
      </c>
      <c r="E11" s="53" t="s">
        <v>303</v>
      </c>
      <c r="F11" s="30" t="s">
        <v>235</v>
      </c>
      <c r="G11" s="33">
        <v>2</v>
      </c>
      <c r="H11" s="35">
        <v>24</v>
      </c>
      <c r="I11" s="7">
        <v>44000</v>
      </c>
      <c r="J11" s="14">
        <v>7651</v>
      </c>
      <c r="K11" s="15">
        <f>L11</f>
        <v>7651</v>
      </c>
      <c r="L11" s="15">
        <f>1169*2+2350*2+293+320</f>
        <v>7651</v>
      </c>
      <c r="M11" s="15">
        <f t="shared" si="0"/>
        <v>7651</v>
      </c>
      <c r="N11" s="15">
        <v>0</v>
      </c>
      <c r="O11" s="58">
        <f t="shared" si="1"/>
        <v>0</v>
      </c>
      <c r="P11" s="39">
        <f t="shared" si="2"/>
        <v>19</v>
      </c>
      <c r="Q11" s="40">
        <f t="shared" si="3"/>
        <v>5</v>
      </c>
      <c r="R11" s="7"/>
      <c r="S11" s="6"/>
      <c r="T11" s="16">
        <v>5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0.79166666666666663</v>
      </c>
      <c r="AD11" s="10">
        <f t="shared" si="8"/>
        <v>0.79166666666666663</v>
      </c>
      <c r="AE11" s="36">
        <f t="shared" si="6"/>
        <v>0.4079861111111111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565</v>
      </c>
      <c r="F12" s="30" t="s">
        <v>205</v>
      </c>
      <c r="G12" s="12">
        <v>1</v>
      </c>
      <c r="H12" s="13">
        <v>22</v>
      </c>
      <c r="I12" s="31">
        <v>20000</v>
      </c>
      <c r="J12" s="5">
        <v>4808</v>
      </c>
      <c r="K12" s="15">
        <f>L12+3245</f>
        <v>8053</v>
      </c>
      <c r="L12" s="15">
        <f>2509+2299</f>
        <v>4808</v>
      </c>
      <c r="M12" s="15">
        <f t="shared" si="0"/>
        <v>4808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0.4079861111111111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112</v>
      </c>
      <c r="D13" s="52" t="s">
        <v>159</v>
      </c>
      <c r="E13" s="53" t="s">
        <v>598</v>
      </c>
      <c r="F13" s="30" t="s">
        <v>123</v>
      </c>
      <c r="G13" s="33">
        <v>1</v>
      </c>
      <c r="H13" s="35">
        <v>22</v>
      </c>
      <c r="I13" s="7">
        <v>4000</v>
      </c>
      <c r="J13" s="14">
        <v>2853</v>
      </c>
      <c r="K13" s="15">
        <f>L13</f>
        <v>2853</v>
      </c>
      <c r="L13" s="15">
        <f>25+2828</f>
        <v>2853</v>
      </c>
      <c r="M13" s="15">
        <f t="shared" si="0"/>
        <v>2853</v>
      </c>
      <c r="N13" s="15">
        <v>0</v>
      </c>
      <c r="O13" s="58">
        <f t="shared" si="1"/>
        <v>0</v>
      </c>
      <c r="P13" s="39">
        <f t="shared" si="2"/>
        <v>14</v>
      </c>
      <c r="Q13" s="40">
        <f t="shared" si="3"/>
        <v>10</v>
      </c>
      <c r="R13" s="7"/>
      <c r="S13" s="6"/>
      <c r="T13" s="16">
        <v>10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0.58333333333333337</v>
      </c>
      <c r="AD13" s="10">
        <f t="shared" si="8"/>
        <v>0.58333333333333337</v>
      </c>
      <c r="AE13" s="36">
        <f t="shared" si="6"/>
        <v>0.4079861111111111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566</v>
      </c>
      <c r="F14" s="30" t="s">
        <v>139</v>
      </c>
      <c r="G14" s="33">
        <v>1</v>
      </c>
      <c r="H14" s="35">
        <v>50</v>
      </c>
      <c r="I14" s="7">
        <v>100</v>
      </c>
      <c r="J14" s="5">
        <v>100</v>
      </c>
      <c r="K14" s="15">
        <f>L14+100</f>
        <v>100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0.4079861111111111</v>
      </c>
      <c r="AF14" s="81">
        <f t="shared" si="7"/>
        <v>9</v>
      </c>
    </row>
    <row r="15" spans="1:32" ht="27" customHeight="1">
      <c r="A15" s="106">
        <v>10</v>
      </c>
      <c r="B15" s="11" t="s">
        <v>597</v>
      </c>
      <c r="C15" s="34" t="s">
        <v>112</v>
      </c>
      <c r="D15" s="52" t="s">
        <v>138</v>
      </c>
      <c r="E15" s="53" t="s">
        <v>599</v>
      </c>
      <c r="F15" s="30" t="s">
        <v>139</v>
      </c>
      <c r="G15" s="12">
        <v>2</v>
      </c>
      <c r="H15" s="13">
        <v>24</v>
      </c>
      <c r="I15" s="31">
        <v>74000</v>
      </c>
      <c r="J15" s="14">
        <v>8206</v>
      </c>
      <c r="K15" s="15">
        <f>L15</f>
        <v>8206</v>
      </c>
      <c r="L15" s="15">
        <f>3203*2+900*2</f>
        <v>8206</v>
      </c>
      <c r="M15" s="15">
        <f t="shared" si="0"/>
        <v>8206</v>
      </c>
      <c r="N15" s="15">
        <v>0</v>
      </c>
      <c r="O15" s="58">
        <f t="shared" si="1"/>
        <v>0</v>
      </c>
      <c r="P15" s="39">
        <f t="shared" si="2"/>
        <v>20</v>
      </c>
      <c r="Q15" s="40">
        <f t="shared" si="3"/>
        <v>4</v>
      </c>
      <c r="R15" s="7"/>
      <c r="S15" s="6">
        <v>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0.83333333333333337</v>
      </c>
      <c r="AD15" s="10">
        <f t="shared" si="8"/>
        <v>0.83333333333333337</v>
      </c>
      <c r="AE15" s="36">
        <f t="shared" si="6"/>
        <v>0.4079861111111111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234</v>
      </c>
      <c r="F16" s="30" t="s">
        <v>235</v>
      </c>
      <c r="G16" s="12">
        <v>2</v>
      </c>
      <c r="H16" s="13">
        <v>22</v>
      </c>
      <c r="I16" s="31">
        <v>46000</v>
      </c>
      <c r="J16" s="5">
        <v>8440</v>
      </c>
      <c r="K16" s="15">
        <f>L16+4453</f>
        <v>12893</v>
      </c>
      <c r="L16" s="15">
        <f>2502*2+1718*2</f>
        <v>8440</v>
      </c>
      <c r="M16" s="15">
        <f t="shared" si="0"/>
        <v>8440</v>
      </c>
      <c r="N16" s="15">
        <v>0</v>
      </c>
      <c r="O16" s="58">
        <f t="shared" si="1"/>
        <v>0</v>
      </c>
      <c r="P16" s="39">
        <f t="shared" si="2"/>
        <v>21</v>
      </c>
      <c r="Q16" s="40">
        <f t="shared" si="3"/>
        <v>3</v>
      </c>
      <c r="R16" s="7"/>
      <c r="S16" s="6">
        <v>3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0.875</v>
      </c>
      <c r="AD16" s="10">
        <f t="shared" si="8"/>
        <v>0.875</v>
      </c>
      <c r="AE16" s="36">
        <f t="shared" si="6"/>
        <v>0.4079861111111111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126</v>
      </c>
      <c r="D17" s="52" t="s">
        <v>127</v>
      </c>
      <c r="E17" s="53" t="s">
        <v>485</v>
      </c>
      <c r="F17" s="30" t="s">
        <v>213</v>
      </c>
      <c r="G17" s="12">
        <v>4</v>
      </c>
      <c r="H17" s="13">
        <v>24</v>
      </c>
      <c r="I17" s="7">
        <v>30000</v>
      </c>
      <c r="J17" s="14">
        <v>21192</v>
      </c>
      <c r="K17" s="15">
        <f>L17+20644+21192</f>
        <v>41836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0.4079861111111111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127</v>
      </c>
      <c r="E18" s="53" t="s">
        <v>569</v>
      </c>
      <c r="F18" s="30" t="s">
        <v>153</v>
      </c>
      <c r="G18" s="12">
        <v>1</v>
      </c>
      <c r="H18" s="13">
        <v>22</v>
      </c>
      <c r="I18" s="31">
        <v>20000</v>
      </c>
      <c r="J18" s="5">
        <v>4988</v>
      </c>
      <c r="K18" s="15">
        <f>L18+2984</f>
        <v>7972</v>
      </c>
      <c r="L18" s="15">
        <f>2403+2585</f>
        <v>4988</v>
      </c>
      <c r="M18" s="15">
        <f t="shared" si="0"/>
        <v>4988</v>
      </c>
      <c r="N18" s="15">
        <v>0</v>
      </c>
      <c r="O18" s="58">
        <f t="shared" si="1"/>
        <v>0</v>
      </c>
      <c r="P18" s="39">
        <f t="shared" si="2"/>
        <v>22</v>
      </c>
      <c r="Q18" s="40">
        <f t="shared" si="3"/>
        <v>2</v>
      </c>
      <c r="R18" s="7"/>
      <c r="S18" s="6">
        <v>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0.91666666666666663</v>
      </c>
      <c r="AD18" s="10">
        <f t="shared" si="8"/>
        <v>0.91666666666666663</v>
      </c>
      <c r="AE18" s="36">
        <f t="shared" si="6"/>
        <v>0.4079861111111111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116</v>
      </c>
      <c r="D19" s="52" t="s">
        <v>157</v>
      </c>
      <c r="E19" s="53" t="s">
        <v>587</v>
      </c>
      <c r="F19" s="30" t="s">
        <v>158</v>
      </c>
      <c r="G19" s="33">
        <v>1</v>
      </c>
      <c r="H19" s="35">
        <v>24</v>
      </c>
      <c r="I19" s="7">
        <v>20000</v>
      </c>
      <c r="J19" s="14">
        <v>4723</v>
      </c>
      <c r="K19" s="15">
        <f>L19</f>
        <v>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0.4079861111111111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112</v>
      </c>
      <c r="D20" s="52" t="s">
        <v>115</v>
      </c>
      <c r="E20" s="53" t="s">
        <v>143</v>
      </c>
      <c r="F20" s="30" t="s">
        <v>136</v>
      </c>
      <c r="G20" s="33">
        <v>2</v>
      </c>
      <c r="H20" s="35">
        <v>24</v>
      </c>
      <c r="I20" s="7">
        <v>70000</v>
      </c>
      <c r="J20" s="14">
        <v>7764</v>
      </c>
      <c r="K20" s="15">
        <f>L20+3150+7466+4534</f>
        <v>22914</v>
      </c>
      <c r="L20" s="15">
        <f>1096*2+2786*2</f>
        <v>7764</v>
      </c>
      <c r="M20" s="15">
        <f t="shared" si="0"/>
        <v>7764</v>
      </c>
      <c r="N20" s="15">
        <v>0</v>
      </c>
      <c r="O20" s="58">
        <f t="shared" si="1"/>
        <v>0</v>
      </c>
      <c r="P20" s="39">
        <f t="shared" si="2"/>
        <v>19</v>
      </c>
      <c r="Q20" s="40">
        <f t="shared" si="3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0.79166666666666663</v>
      </c>
      <c r="AD20" s="10">
        <f t="shared" si="8"/>
        <v>0.79166666666666663</v>
      </c>
      <c r="AE20" s="36">
        <f t="shared" si="6"/>
        <v>0.4079861111111111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146</v>
      </c>
      <c r="F21" s="12" t="s">
        <v>114</v>
      </c>
      <c r="G21" s="12">
        <v>3</v>
      </c>
      <c r="H21" s="35">
        <v>20</v>
      </c>
      <c r="I21" s="7">
        <v>2000000</v>
      </c>
      <c r="J21" s="14">
        <v>57396</v>
      </c>
      <c r="K21" s="15">
        <f>L21+57172+63944+63948+58884</f>
        <v>301344</v>
      </c>
      <c r="L21" s="15">
        <f>8047*4+6302*4</f>
        <v>57396</v>
      </c>
      <c r="M21" s="15">
        <f t="shared" si="0"/>
        <v>57396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0.4079861111111111</v>
      </c>
      <c r="AF21" s="81">
        <f t="shared" si="7"/>
        <v>16</v>
      </c>
    </row>
    <row r="22" spans="1:32" ht="26.25" customHeight="1">
      <c r="A22" s="307">
        <v>17</v>
      </c>
      <c r="B22" s="11" t="s">
        <v>57</v>
      </c>
      <c r="C22" s="11"/>
      <c r="D22" s="52"/>
      <c r="E22" s="53"/>
      <c r="F22" s="12"/>
      <c r="G22" s="12"/>
      <c r="H22" s="35"/>
      <c r="I22" s="7"/>
      <c r="J22" s="14"/>
      <c r="K22" s="15">
        <f>L22</f>
        <v>0</v>
      </c>
      <c r="L22" s="15"/>
      <c r="M22" s="15">
        <f t="shared" ref="M22:M23" si="9">L22-N22</f>
        <v>0</v>
      </c>
      <c r="N22" s="15">
        <v>0</v>
      </c>
      <c r="O22" s="58" t="str">
        <f t="shared" ref="O22:O23" si="10">IF(L22=0,"0",N22/L22)</f>
        <v>0</v>
      </c>
      <c r="P22" s="39" t="str">
        <f t="shared" ref="P22:P23" si="11">IF(L22=0,"0",(24-Q22))</f>
        <v>0</v>
      </c>
      <c r="Q22" s="40">
        <f t="shared" ref="Q22:Q23" si="12">SUM(R22:AA22)</f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ref="AB22:AB23" si="13">IF(J22=0,"0",(L22/J22))</f>
        <v>0</v>
      </c>
      <c r="AC22" s="9">
        <f t="shared" ref="AC22:AC23" si="14">IF(P22=0,"0",(P22/24))</f>
        <v>0</v>
      </c>
      <c r="AD22" s="10">
        <f t="shared" ref="AD22:AD23" si="15">AC22*AB22*(1-O22)</f>
        <v>0</v>
      </c>
      <c r="AE22" s="36">
        <f t="shared" ref="AE22:AE23" si="16">$AD$30</f>
        <v>0.4079861111111111</v>
      </c>
      <c r="AF22" s="81">
        <f t="shared" ref="AF22:AF23" si="17">A22</f>
        <v>17</v>
      </c>
    </row>
    <row r="23" spans="1:32" ht="26.25" customHeight="1">
      <c r="A23" s="307">
        <v>18</v>
      </c>
      <c r="B23" s="11" t="s">
        <v>57</v>
      </c>
      <c r="C23" s="11" t="s">
        <v>116</v>
      </c>
      <c r="D23" s="52" t="s">
        <v>600</v>
      </c>
      <c r="E23" s="53" t="s">
        <v>601</v>
      </c>
      <c r="F23" s="12" t="s">
        <v>602</v>
      </c>
      <c r="G23" s="12">
        <v>4</v>
      </c>
      <c r="H23" s="35">
        <v>15</v>
      </c>
      <c r="I23" s="7">
        <v>6000</v>
      </c>
      <c r="J23" s="14"/>
      <c r="K23" s="15">
        <f>L23</f>
        <v>0</v>
      </c>
      <c r="L23" s="15"/>
      <c r="M23" s="15">
        <f t="shared" si="9"/>
        <v>0</v>
      </c>
      <c r="N23" s="15">
        <v>0</v>
      </c>
      <c r="O23" s="58" t="str">
        <f t="shared" si="10"/>
        <v>0</v>
      </c>
      <c r="P23" s="39" t="str">
        <f t="shared" si="11"/>
        <v>0</v>
      </c>
      <c r="Q23" s="40">
        <f t="shared" si="12"/>
        <v>24</v>
      </c>
      <c r="R23" s="7"/>
      <c r="S23" s="6">
        <v>24</v>
      </c>
      <c r="T23" s="16"/>
      <c r="U23" s="16"/>
      <c r="V23" s="17"/>
      <c r="W23" s="5"/>
      <c r="X23" s="16"/>
      <c r="Y23" s="16"/>
      <c r="Z23" s="16"/>
      <c r="AA23" s="18"/>
      <c r="AB23" s="8" t="str">
        <f t="shared" si="13"/>
        <v>0</v>
      </c>
      <c r="AC23" s="9">
        <f t="shared" si="14"/>
        <v>0</v>
      </c>
      <c r="AD23" s="10">
        <f t="shared" si="15"/>
        <v>0</v>
      </c>
      <c r="AE23" s="36">
        <f t="shared" si="16"/>
        <v>0.4079861111111111</v>
      </c>
      <c r="AF23" s="81">
        <f t="shared" si="1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149</v>
      </c>
      <c r="F24" s="12" t="s">
        <v>136</v>
      </c>
      <c r="G24" s="12">
        <v>4</v>
      </c>
      <c r="H24" s="35">
        <v>20</v>
      </c>
      <c r="I24" s="7">
        <v>70000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ref="AE24:AE29" si="18">$AD$30</f>
        <v>0.4079861111111111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/>
      <c r="D25" s="52"/>
      <c r="E25" s="53"/>
      <c r="F25" s="12"/>
      <c r="G25" s="12"/>
      <c r="H25" s="35">
        <v>20</v>
      </c>
      <c r="I25" s="7"/>
      <c r="J25" s="14">
        <v>0</v>
      </c>
      <c r="K25" s="15">
        <f t="shared" ref="K25" si="19">L25</f>
        <v>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 t="str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18"/>
        <v>0.4079861111111111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142</v>
      </c>
      <c r="E26" s="53" t="s">
        <v>151</v>
      </c>
      <c r="F26" s="12" t="s">
        <v>123</v>
      </c>
      <c r="G26" s="12">
        <v>3</v>
      </c>
      <c r="H26" s="35">
        <v>20</v>
      </c>
      <c r="I26" s="7">
        <v>70000</v>
      </c>
      <c r="J26" s="14">
        <v>19983</v>
      </c>
      <c r="K26" s="15">
        <f>L26+22125+9744+18372+21786+19983</f>
        <v>92010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0</v>
      </c>
      <c r="R26" s="7"/>
      <c r="S26" s="6"/>
      <c r="T26" s="16"/>
      <c r="U26" s="16"/>
      <c r="V26" s="114"/>
      <c r="W26" s="5"/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18"/>
        <v>0.4079861111111111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127</v>
      </c>
      <c r="E27" s="53" t="s">
        <v>148</v>
      </c>
      <c r="F27" s="12" t="s">
        <v>124</v>
      </c>
      <c r="G27" s="12">
        <v>3</v>
      </c>
      <c r="H27" s="35">
        <v>20</v>
      </c>
      <c r="I27" s="7">
        <v>70000</v>
      </c>
      <c r="J27" s="14">
        <v>18138</v>
      </c>
      <c r="K27" s="15">
        <f>L27+16448+27472+26896+18138</f>
        <v>88954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18"/>
        <v>0.4079861111111111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125</v>
      </c>
      <c r="F28" s="12" t="s">
        <v>124</v>
      </c>
      <c r="G28" s="12">
        <v>4</v>
      </c>
      <c r="H28" s="35">
        <v>20</v>
      </c>
      <c r="I28" s="7">
        <v>50000</v>
      </c>
      <c r="J28" s="14">
        <v>26944</v>
      </c>
      <c r="K28" s="15">
        <f>L28+24592+26944+21716</f>
        <v>73252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18"/>
        <v>0.4079861111111111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150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18"/>
        <v>0.4079861111111111</v>
      </c>
      <c r="AF29" s="81">
        <f t="shared" si="7"/>
        <v>36</v>
      </c>
    </row>
    <row r="30" spans="1:32" ht="19.5" thickBot="1">
      <c r="A30" s="478" t="s">
        <v>34</v>
      </c>
      <c r="B30" s="479"/>
      <c r="C30" s="479"/>
      <c r="D30" s="479"/>
      <c r="E30" s="479"/>
      <c r="F30" s="479"/>
      <c r="G30" s="479"/>
      <c r="H30" s="480"/>
      <c r="I30" s="22">
        <f t="shared" ref="I30:N30" si="20">SUM(I6:I29)</f>
        <v>3809100</v>
      </c>
      <c r="J30" s="19">
        <f t="shared" si="20"/>
        <v>328286</v>
      </c>
      <c r="K30" s="20">
        <f t="shared" si="20"/>
        <v>1565777</v>
      </c>
      <c r="L30" s="21">
        <f t="shared" si="20"/>
        <v>127321</v>
      </c>
      <c r="M30" s="20">
        <f t="shared" si="20"/>
        <v>127321</v>
      </c>
      <c r="N30" s="21">
        <f t="shared" si="20"/>
        <v>0</v>
      </c>
      <c r="O30" s="41">
        <f t="shared" si="1"/>
        <v>0</v>
      </c>
      <c r="P30" s="42">
        <f t="shared" ref="P30:AA30" si="21">SUM(P6:P29)</f>
        <v>235</v>
      </c>
      <c r="Q30" s="43">
        <f t="shared" si="21"/>
        <v>293</v>
      </c>
      <c r="R30" s="23">
        <f t="shared" si="21"/>
        <v>0</v>
      </c>
      <c r="S30" s="24">
        <f t="shared" si="21"/>
        <v>86</v>
      </c>
      <c r="T30" s="24">
        <f t="shared" si="21"/>
        <v>15</v>
      </c>
      <c r="U30" s="24">
        <f t="shared" si="21"/>
        <v>0</v>
      </c>
      <c r="V30" s="25">
        <f t="shared" si="21"/>
        <v>48</v>
      </c>
      <c r="W30" s="26">
        <f t="shared" si="21"/>
        <v>96</v>
      </c>
      <c r="X30" s="27">
        <f t="shared" si="21"/>
        <v>0</v>
      </c>
      <c r="Y30" s="27">
        <f t="shared" si="21"/>
        <v>0</v>
      </c>
      <c r="Z30" s="27">
        <f t="shared" si="21"/>
        <v>0</v>
      </c>
      <c r="AA30" s="27">
        <f t="shared" si="21"/>
        <v>48</v>
      </c>
      <c r="AB30" s="28">
        <f>AVERAGE(AB6:AB29)</f>
        <v>0.52380952380952384</v>
      </c>
      <c r="AC30" s="4">
        <f>AVERAGE(AC6:AC29)</f>
        <v>0.4079861111111111</v>
      </c>
      <c r="AD30" s="4">
        <f>AVERAGE(AD6:AD29)</f>
        <v>0.4079861111111111</v>
      </c>
      <c r="AE30" s="29"/>
    </row>
    <row r="31" spans="1:32">
      <c r="T31" s="50" t="s">
        <v>128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 t="s">
        <v>129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27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29.25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1" t="s">
        <v>45</v>
      </c>
      <c r="B57" s="481"/>
      <c r="C57" s="481"/>
      <c r="D57" s="481"/>
      <c r="E57" s="481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82" t="s">
        <v>605</v>
      </c>
      <c r="B58" s="483"/>
      <c r="C58" s="483"/>
      <c r="D58" s="483"/>
      <c r="E58" s="483"/>
      <c r="F58" s="483"/>
      <c r="G58" s="483"/>
      <c r="H58" s="483"/>
      <c r="I58" s="483"/>
      <c r="J58" s="483"/>
      <c r="K58" s="483"/>
      <c r="L58" s="483"/>
      <c r="M58" s="484"/>
      <c r="N58" s="485" t="s">
        <v>608</v>
      </c>
      <c r="O58" s="486"/>
      <c r="P58" s="486"/>
      <c r="Q58" s="486"/>
      <c r="R58" s="486"/>
      <c r="S58" s="486"/>
      <c r="T58" s="486"/>
      <c r="U58" s="486"/>
      <c r="V58" s="486"/>
      <c r="W58" s="486"/>
      <c r="X58" s="486"/>
      <c r="Y58" s="486"/>
      <c r="Z58" s="486"/>
      <c r="AA58" s="486"/>
      <c r="AB58" s="486"/>
      <c r="AC58" s="486"/>
      <c r="AD58" s="487"/>
    </row>
    <row r="59" spans="1:32" ht="27" customHeight="1">
      <c r="A59" s="488" t="s">
        <v>2</v>
      </c>
      <c r="B59" s="489"/>
      <c r="C59" s="292" t="s">
        <v>46</v>
      </c>
      <c r="D59" s="292" t="s">
        <v>47</v>
      </c>
      <c r="E59" s="292" t="s">
        <v>107</v>
      </c>
      <c r="F59" s="490" t="s">
        <v>106</v>
      </c>
      <c r="G59" s="491"/>
      <c r="H59" s="491"/>
      <c r="I59" s="491"/>
      <c r="J59" s="491"/>
      <c r="K59" s="491"/>
      <c r="L59" s="491"/>
      <c r="M59" s="492"/>
      <c r="N59" s="67" t="s">
        <v>110</v>
      </c>
      <c r="O59" s="292" t="s">
        <v>46</v>
      </c>
      <c r="P59" s="490" t="s">
        <v>47</v>
      </c>
      <c r="Q59" s="493"/>
      <c r="R59" s="490" t="s">
        <v>38</v>
      </c>
      <c r="S59" s="491"/>
      <c r="T59" s="491"/>
      <c r="U59" s="493"/>
      <c r="V59" s="490" t="s">
        <v>48</v>
      </c>
      <c r="W59" s="491"/>
      <c r="X59" s="491"/>
      <c r="Y59" s="491"/>
      <c r="Z59" s="491"/>
      <c r="AA59" s="491"/>
      <c r="AB59" s="491"/>
      <c r="AC59" s="491"/>
      <c r="AD59" s="492"/>
    </row>
    <row r="60" spans="1:32" ht="27" customHeight="1">
      <c r="A60" s="455" t="s">
        <v>116</v>
      </c>
      <c r="B60" s="456"/>
      <c r="C60" s="287" t="s">
        <v>145</v>
      </c>
      <c r="D60" s="287" t="s">
        <v>499</v>
      </c>
      <c r="E60" s="288" t="s">
        <v>529</v>
      </c>
      <c r="F60" s="457" t="s">
        <v>144</v>
      </c>
      <c r="G60" s="458"/>
      <c r="H60" s="458"/>
      <c r="I60" s="458"/>
      <c r="J60" s="458"/>
      <c r="K60" s="458"/>
      <c r="L60" s="458"/>
      <c r="M60" s="459"/>
      <c r="N60" s="291" t="s">
        <v>112</v>
      </c>
      <c r="O60" s="285" t="s">
        <v>207</v>
      </c>
      <c r="P60" s="472" t="s">
        <v>609</v>
      </c>
      <c r="Q60" s="473"/>
      <c r="R60" s="472" t="s">
        <v>610</v>
      </c>
      <c r="S60" s="474"/>
      <c r="T60" s="474"/>
      <c r="U60" s="473"/>
      <c r="V60" s="461" t="s">
        <v>187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126</v>
      </c>
      <c r="B61" s="456"/>
      <c r="C61" s="287" t="s">
        <v>140</v>
      </c>
      <c r="D61" s="287" t="s">
        <v>127</v>
      </c>
      <c r="E61" s="288" t="s">
        <v>160</v>
      </c>
      <c r="F61" s="457" t="s">
        <v>144</v>
      </c>
      <c r="G61" s="458"/>
      <c r="H61" s="458"/>
      <c r="I61" s="458"/>
      <c r="J61" s="458"/>
      <c r="K61" s="458"/>
      <c r="L61" s="458"/>
      <c r="M61" s="459"/>
      <c r="N61" s="291" t="s">
        <v>112</v>
      </c>
      <c r="O61" s="285" t="s">
        <v>286</v>
      </c>
      <c r="P61" s="472" t="s">
        <v>121</v>
      </c>
      <c r="Q61" s="473"/>
      <c r="R61" s="472" t="s">
        <v>152</v>
      </c>
      <c r="S61" s="474"/>
      <c r="T61" s="474"/>
      <c r="U61" s="473"/>
      <c r="V61" s="461" t="s">
        <v>144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112</v>
      </c>
      <c r="B62" s="456"/>
      <c r="C62" s="287" t="s">
        <v>244</v>
      </c>
      <c r="D62" s="287" t="s">
        <v>159</v>
      </c>
      <c r="E62" s="288" t="s">
        <v>234</v>
      </c>
      <c r="F62" s="457" t="s">
        <v>144</v>
      </c>
      <c r="G62" s="458"/>
      <c r="H62" s="458"/>
      <c r="I62" s="458"/>
      <c r="J62" s="458"/>
      <c r="K62" s="458"/>
      <c r="L62" s="458"/>
      <c r="M62" s="459"/>
      <c r="N62" s="291" t="s">
        <v>112</v>
      </c>
      <c r="O62" s="285" t="s">
        <v>259</v>
      </c>
      <c r="P62" s="472" t="s">
        <v>121</v>
      </c>
      <c r="Q62" s="473"/>
      <c r="R62" s="472" t="s">
        <v>303</v>
      </c>
      <c r="S62" s="474"/>
      <c r="T62" s="474"/>
      <c r="U62" s="473"/>
      <c r="V62" s="461" t="s">
        <v>144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112</v>
      </c>
      <c r="B63" s="456"/>
      <c r="C63" s="287" t="s">
        <v>180</v>
      </c>
      <c r="D63" s="287" t="s">
        <v>115</v>
      </c>
      <c r="E63" s="288" t="s">
        <v>143</v>
      </c>
      <c r="F63" s="457" t="s">
        <v>401</v>
      </c>
      <c r="G63" s="458"/>
      <c r="H63" s="458"/>
      <c r="I63" s="458"/>
      <c r="J63" s="458"/>
      <c r="K63" s="458"/>
      <c r="L63" s="458"/>
      <c r="M63" s="459"/>
      <c r="N63" s="291" t="s">
        <v>116</v>
      </c>
      <c r="O63" s="285" t="s">
        <v>225</v>
      </c>
      <c r="P63" s="472" t="s">
        <v>157</v>
      </c>
      <c r="Q63" s="473"/>
      <c r="R63" s="472" t="s">
        <v>587</v>
      </c>
      <c r="S63" s="474"/>
      <c r="T63" s="474"/>
      <c r="U63" s="473"/>
      <c r="V63" s="461" t="s">
        <v>144</v>
      </c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112</v>
      </c>
      <c r="B64" s="456"/>
      <c r="C64" s="287" t="s">
        <v>315</v>
      </c>
      <c r="D64" s="287" t="s">
        <v>159</v>
      </c>
      <c r="E64" s="288" t="s">
        <v>598</v>
      </c>
      <c r="F64" s="457" t="s">
        <v>187</v>
      </c>
      <c r="G64" s="458"/>
      <c r="H64" s="458"/>
      <c r="I64" s="458"/>
      <c r="J64" s="458"/>
      <c r="K64" s="458"/>
      <c r="L64" s="458"/>
      <c r="M64" s="459"/>
      <c r="N64" s="291" t="s">
        <v>116</v>
      </c>
      <c r="O64" s="285" t="s">
        <v>164</v>
      </c>
      <c r="P64" s="472" t="s">
        <v>127</v>
      </c>
      <c r="Q64" s="473"/>
      <c r="R64" s="472" t="s">
        <v>569</v>
      </c>
      <c r="S64" s="474"/>
      <c r="T64" s="474"/>
      <c r="U64" s="473"/>
      <c r="V64" s="461" t="s">
        <v>350</v>
      </c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 t="s">
        <v>116</v>
      </c>
      <c r="B65" s="456"/>
      <c r="C65" s="287" t="s">
        <v>164</v>
      </c>
      <c r="D65" s="287" t="s">
        <v>127</v>
      </c>
      <c r="E65" s="288" t="s">
        <v>569</v>
      </c>
      <c r="F65" s="457" t="s">
        <v>606</v>
      </c>
      <c r="G65" s="458"/>
      <c r="H65" s="458"/>
      <c r="I65" s="458"/>
      <c r="J65" s="458"/>
      <c r="K65" s="458"/>
      <c r="L65" s="458"/>
      <c r="M65" s="459"/>
      <c r="N65" s="291"/>
      <c r="O65" s="285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 t="s">
        <v>116</v>
      </c>
      <c r="B66" s="456"/>
      <c r="C66" s="287" t="s">
        <v>225</v>
      </c>
      <c r="D66" s="287" t="s">
        <v>157</v>
      </c>
      <c r="E66" s="288" t="s">
        <v>587</v>
      </c>
      <c r="F66" s="457" t="s">
        <v>607</v>
      </c>
      <c r="G66" s="458"/>
      <c r="H66" s="458"/>
      <c r="I66" s="458"/>
      <c r="J66" s="458"/>
      <c r="K66" s="458"/>
      <c r="L66" s="458"/>
      <c r="M66" s="459"/>
      <c r="N66" s="291"/>
      <c r="O66" s="285"/>
      <c r="P66" s="472"/>
      <c r="Q66" s="473"/>
      <c r="R66" s="472"/>
      <c r="S66" s="474"/>
      <c r="T66" s="474"/>
      <c r="U66" s="473"/>
      <c r="V66" s="461"/>
      <c r="W66" s="462"/>
      <c r="X66" s="462"/>
      <c r="Y66" s="462"/>
      <c r="Z66" s="462"/>
      <c r="AA66" s="462"/>
      <c r="AB66" s="462"/>
      <c r="AC66" s="462"/>
      <c r="AD66" s="463"/>
    </row>
    <row r="67" spans="1:32" ht="27" customHeight="1">
      <c r="A67" s="455" t="s">
        <v>112</v>
      </c>
      <c r="B67" s="456"/>
      <c r="C67" s="287" t="s">
        <v>259</v>
      </c>
      <c r="D67" s="287" t="s">
        <v>121</v>
      </c>
      <c r="E67" s="288" t="s">
        <v>303</v>
      </c>
      <c r="F67" s="457" t="s">
        <v>611</v>
      </c>
      <c r="G67" s="458"/>
      <c r="H67" s="458"/>
      <c r="I67" s="458"/>
      <c r="J67" s="458"/>
      <c r="K67" s="458"/>
      <c r="L67" s="458"/>
      <c r="M67" s="459"/>
      <c r="N67" s="291"/>
      <c r="O67" s="285"/>
      <c r="P67" s="472"/>
      <c r="Q67" s="473"/>
      <c r="R67" s="472"/>
      <c r="S67" s="474"/>
      <c r="T67" s="474"/>
      <c r="U67" s="473"/>
      <c r="V67" s="461"/>
      <c r="W67" s="462"/>
      <c r="X67" s="462"/>
      <c r="Y67" s="462"/>
      <c r="Z67" s="462"/>
      <c r="AA67" s="462"/>
      <c r="AB67" s="462"/>
      <c r="AC67" s="462"/>
      <c r="AD67" s="463"/>
    </row>
    <row r="68" spans="1:32" ht="27" customHeight="1">
      <c r="A68" s="455"/>
      <c r="B68" s="456"/>
      <c r="C68" s="287"/>
      <c r="D68" s="287"/>
      <c r="E68" s="288"/>
      <c r="F68" s="457"/>
      <c r="G68" s="458"/>
      <c r="H68" s="458"/>
      <c r="I68" s="458"/>
      <c r="J68" s="458"/>
      <c r="K68" s="458"/>
      <c r="L68" s="458"/>
      <c r="M68" s="459"/>
      <c r="N68" s="291"/>
      <c r="O68" s="285"/>
      <c r="P68" s="460"/>
      <c r="Q68" s="460"/>
      <c r="R68" s="460"/>
      <c r="S68" s="460"/>
      <c r="T68" s="460"/>
      <c r="U68" s="460"/>
      <c r="V68" s="461"/>
      <c r="W68" s="462"/>
      <c r="X68" s="462"/>
      <c r="Y68" s="462"/>
      <c r="Z68" s="462"/>
      <c r="AA68" s="462"/>
      <c r="AB68" s="462"/>
      <c r="AC68" s="462"/>
      <c r="AD68" s="463"/>
      <c r="AF68" s="81">
        <f>8*3000</f>
        <v>24000</v>
      </c>
    </row>
    <row r="69" spans="1:32" ht="27" customHeight="1" thickBot="1">
      <c r="A69" s="464"/>
      <c r="B69" s="465"/>
      <c r="C69" s="289"/>
      <c r="D69" s="290"/>
      <c r="E69" s="289"/>
      <c r="F69" s="466"/>
      <c r="G69" s="467"/>
      <c r="H69" s="467"/>
      <c r="I69" s="467"/>
      <c r="J69" s="467"/>
      <c r="K69" s="467"/>
      <c r="L69" s="467"/>
      <c r="M69" s="468"/>
      <c r="N69" s="105"/>
      <c r="O69" s="97"/>
      <c r="P69" s="469"/>
      <c r="Q69" s="469"/>
      <c r="R69" s="469"/>
      <c r="S69" s="469"/>
      <c r="T69" s="469"/>
      <c r="U69" s="469"/>
      <c r="V69" s="470"/>
      <c r="W69" s="470"/>
      <c r="X69" s="470"/>
      <c r="Y69" s="470"/>
      <c r="Z69" s="470"/>
      <c r="AA69" s="470"/>
      <c r="AB69" s="470"/>
      <c r="AC69" s="470"/>
      <c r="AD69" s="471"/>
      <c r="AF69" s="81">
        <f>16*3000</f>
        <v>48000</v>
      </c>
    </row>
    <row r="70" spans="1:32" ht="27.75" thickBot="1">
      <c r="A70" s="453" t="s">
        <v>612</v>
      </c>
      <c r="B70" s="453"/>
      <c r="C70" s="453"/>
      <c r="D70" s="453"/>
      <c r="E70" s="453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54" t="s">
        <v>111</v>
      </c>
      <c r="B71" s="451"/>
      <c r="C71" s="286" t="s">
        <v>2</v>
      </c>
      <c r="D71" s="286" t="s">
        <v>37</v>
      </c>
      <c r="E71" s="286" t="s">
        <v>3</v>
      </c>
      <c r="F71" s="451" t="s">
        <v>109</v>
      </c>
      <c r="G71" s="451"/>
      <c r="H71" s="451"/>
      <c r="I71" s="451"/>
      <c r="J71" s="451"/>
      <c r="K71" s="451" t="s">
        <v>39</v>
      </c>
      <c r="L71" s="451"/>
      <c r="M71" s="286" t="s">
        <v>40</v>
      </c>
      <c r="N71" s="451" t="s">
        <v>41</v>
      </c>
      <c r="O71" s="451"/>
      <c r="P71" s="448" t="s">
        <v>42</v>
      </c>
      <c r="Q71" s="450"/>
      <c r="R71" s="448" t="s">
        <v>43</v>
      </c>
      <c r="S71" s="449"/>
      <c r="T71" s="449"/>
      <c r="U71" s="449"/>
      <c r="V71" s="449"/>
      <c r="W71" s="449"/>
      <c r="X71" s="449"/>
      <c r="Y71" s="449"/>
      <c r="Z71" s="449"/>
      <c r="AA71" s="450"/>
      <c r="AB71" s="451" t="s">
        <v>44</v>
      </c>
      <c r="AC71" s="451"/>
      <c r="AD71" s="452"/>
      <c r="AF71" s="81">
        <f>SUM(AF68:AF70)</f>
        <v>96000</v>
      </c>
    </row>
    <row r="72" spans="1:32" ht="25.5" customHeight="1">
      <c r="A72" s="439">
        <v>1</v>
      </c>
      <c r="B72" s="440"/>
      <c r="C72" s="98" t="s">
        <v>126</v>
      </c>
      <c r="D72" s="281"/>
      <c r="E72" s="284" t="s">
        <v>236</v>
      </c>
      <c r="F72" s="441" t="s">
        <v>592</v>
      </c>
      <c r="G72" s="431"/>
      <c r="H72" s="431"/>
      <c r="I72" s="431"/>
      <c r="J72" s="431"/>
      <c r="K72" s="431">
        <v>8301</v>
      </c>
      <c r="L72" s="431"/>
      <c r="M72" s="51" t="s">
        <v>514</v>
      </c>
      <c r="N72" s="442" t="s">
        <v>192</v>
      </c>
      <c r="O72" s="442"/>
      <c r="P72" s="443">
        <v>50</v>
      </c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2</v>
      </c>
      <c r="B73" s="440"/>
      <c r="C73" s="98" t="s">
        <v>126</v>
      </c>
      <c r="D73" s="281"/>
      <c r="E73" s="284" t="s">
        <v>127</v>
      </c>
      <c r="F73" s="441" t="s">
        <v>160</v>
      </c>
      <c r="G73" s="431"/>
      <c r="H73" s="431"/>
      <c r="I73" s="431"/>
      <c r="J73" s="431"/>
      <c r="K73" s="431" t="s">
        <v>162</v>
      </c>
      <c r="L73" s="431"/>
      <c r="M73" s="51" t="s">
        <v>154</v>
      </c>
      <c r="N73" s="442" t="s">
        <v>140</v>
      </c>
      <c r="O73" s="442"/>
      <c r="P73" s="443">
        <v>100</v>
      </c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3</v>
      </c>
      <c r="B74" s="440"/>
      <c r="C74" s="98" t="s">
        <v>112</v>
      </c>
      <c r="D74" s="281"/>
      <c r="E74" s="284" t="s">
        <v>121</v>
      </c>
      <c r="F74" s="441" t="s">
        <v>462</v>
      </c>
      <c r="G74" s="431"/>
      <c r="H74" s="431"/>
      <c r="I74" s="431"/>
      <c r="J74" s="431"/>
      <c r="K74" s="431" t="s">
        <v>472</v>
      </c>
      <c r="L74" s="431"/>
      <c r="M74" s="51" t="s">
        <v>154</v>
      </c>
      <c r="N74" s="442" t="s">
        <v>264</v>
      </c>
      <c r="O74" s="442"/>
      <c r="P74" s="443">
        <v>10</v>
      </c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4</v>
      </c>
      <c r="B75" s="440"/>
      <c r="C75" s="98" t="s">
        <v>171</v>
      </c>
      <c r="D75" s="281"/>
      <c r="E75" s="284"/>
      <c r="F75" s="445" t="s">
        <v>613</v>
      </c>
      <c r="G75" s="446"/>
      <c r="H75" s="446"/>
      <c r="I75" s="446"/>
      <c r="J75" s="447"/>
      <c r="K75" s="431" t="s">
        <v>614</v>
      </c>
      <c r="L75" s="431"/>
      <c r="M75" s="51" t="s">
        <v>358</v>
      </c>
      <c r="N75" s="442" t="s">
        <v>192</v>
      </c>
      <c r="O75" s="442"/>
      <c r="P75" s="443">
        <v>80</v>
      </c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5</v>
      </c>
      <c r="B76" s="440"/>
      <c r="C76" s="98" t="s">
        <v>112</v>
      </c>
      <c r="D76" s="281"/>
      <c r="E76" s="284" t="s">
        <v>138</v>
      </c>
      <c r="F76" s="445" t="s">
        <v>599</v>
      </c>
      <c r="G76" s="446"/>
      <c r="H76" s="446"/>
      <c r="I76" s="446"/>
      <c r="J76" s="447"/>
      <c r="K76" s="431">
        <v>8301</v>
      </c>
      <c r="L76" s="431"/>
      <c r="M76" s="51" t="s">
        <v>154</v>
      </c>
      <c r="N76" s="442" t="s">
        <v>229</v>
      </c>
      <c r="O76" s="442"/>
      <c r="P76" s="443">
        <v>100</v>
      </c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6</v>
      </c>
      <c r="B77" s="440"/>
      <c r="C77" s="98" t="s">
        <v>116</v>
      </c>
      <c r="D77" s="281"/>
      <c r="E77" s="284" t="s">
        <v>600</v>
      </c>
      <c r="F77" s="445" t="s">
        <v>601</v>
      </c>
      <c r="G77" s="446"/>
      <c r="H77" s="446"/>
      <c r="I77" s="446"/>
      <c r="J77" s="447"/>
      <c r="K77" s="431" t="s">
        <v>602</v>
      </c>
      <c r="L77" s="431"/>
      <c r="M77" s="51" t="s">
        <v>358</v>
      </c>
      <c r="N77" s="442" t="s">
        <v>615</v>
      </c>
      <c r="O77" s="442"/>
      <c r="P77" s="443"/>
      <c r="Q77" s="443"/>
      <c r="R77" s="444" t="s">
        <v>616</v>
      </c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7</v>
      </c>
      <c r="B78" s="440"/>
      <c r="C78" s="98"/>
      <c r="D78" s="281"/>
      <c r="E78" s="284"/>
      <c r="F78" s="445"/>
      <c r="G78" s="446"/>
      <c r="H78" s="446"/>
      <c r="I78" s="446"/>
      <c r="J78" s="447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8</v>
      </c>
      <c r="B79" s="440"/>
      <c r="C79" s="98"/>
      <c r="D79" s="281"/>
      <c r="E79" s="284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5.5" customHeight="1">
      <c r="A80" s="439">
        <v>9</v>
      </c>
      <c r="B80" s="440"/>
      <c r="C80" s="98"/>
      <c r="D80" s="281"/>
      <c r="E80" s="284"/>
      <c r="F80" s="441"/>
      <c r="G80" s="431"/>
      <c r="H80" s="431"/>
      <c r="I80" s="431"/>
      <c r="J80" s="431"/>
      <c r="K80" s="431"/>
      <c r="L80" s="431"/>
      <c r="M80" s="51"/>
      <c r="N80" s="442"/>
      <c r="O80" s="442"/>
      <c r="P80" s="443"/>
      <c r="Q80" s="443"/>
      <c r="R80" s="444"/>
      <c r="S80" s="444"/>
      <c r="T80" s="444"/>
      <c r="U80" s="444"/>
      <c r="V80" s="444"/>
      <c r="W80" s="444"/>
      <c r="X80" s="444"/>
      <c r="Y80" s="444"/>
      <c r="Z80" s="444"/>
      <c r="AA80" s="444"/>
      <c r="AB80" s="431"/>
      <c r="AC80" s="431"/>
      <c r="AD80" s="432"/>
      <c r="AF80" s="50"/>
    </row>
    <row r="81" spans="1:32" ht="25.5" customHeight="1">
      <c r="A81" s="439">
        <v>10</v>
      </c>
      <c r="B81" s="440"/>
      <c r="C81" s="98"/>
      <c r="D81" s="281"/>
      <c r="E81" s="284"/>
      <c r="F81" s="441"/>
      <c r="G81" s="431"/>
      <c r="H81" s="431"/>
      <c r="I81" s="431"/>
      <c r="J81" s="431"/>
      <c r="K81" s="431"/>
      <c r="L81" s="431"/>
      <c r="M81" s="51"/>
      <c r="N81" s="442"/>
      <c r="O81" s="442"/>
      <c r="P81" s="443"/>
      <c r="Q81" s="443"/>
      <c r="R81" s="444"/>
      <c r="S81" s="444"/>
      <c r="T81" s="444"/>
      <c r="U81" s="444"/>
      <c r="V81" s="444"/>
      <c r="W81" s="444"/>
      <c r="X81" s="444"/>
      <c r="Y81" s="444"/>
      <c r="Z81" s="444"/>
      <c r="AA81" s="444"/>
      <c r="AB81" s="431"/>
      <c r="AC81" s="431"/>
      <c r="AD81" s="432"/>
      <c r="AF81" s="50"/>
    </row>
    <row r="82" spans="1:32" ht="26.25" customHeight="1" thickBot="1">
      <c r="A82" s="411" t="s">
        <v>617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33" t="s">
        <v>111</v>
      </c>
      <c r="B83" s="434"/>
      <c r="C83" s="283" t="s">
        <v>2</v>
      </c>
      <c r="D83" s="283" t="s">
        <v>37</v>
      </c>
      <c r="E83" s="283" t="s">
        <v>120</v>
      </c>
      <c r="F83" s="413" t="s">
        <v>38</v>
      </c>
      <c r="G83" s="413"/>
      <c r="H83" s="413"/>
      <c r="I83" s="413"/>
      <c r="J83" s="413"/>
      <c r="K83" s="435" t="s">
        <v>58</v>
      </c>
      <c r="L83" s="436"/>
      <c r="M83" s="436"/>
      <c r="N83" s="436"/>
      <c r="O83" s="436"/>
      <c r="P83" s="436"/>
      <c r="Q83" s="436"/>
      <c r="R83" s="436"/>
      <c r="S83" s="437"/>
      <c r="T83" s="413" t="s">
        <v>49</v>
      </c>
      <c r="U83" s="413"/>
      <c r="V83" s="435" t="s">
        <v>50</v>
      </c>
      <c r="W83" s="437"/>
      <c r="X83" s="436" t="s">
        <v>51</v>
      </c>
      <c r="Y83" s="436"/>
      <c r="Z83" s="436"/>
      <c r="AA83" s="436"/>
      <c r="AB83" s="436"/>
      <c r="AC83" s="436"/>
      <c r="AD83" s="438"/>
      <c r="AF83" s="50"/>
    </row>
    <row r="84" spans="1:32" ht="33.75" customHeight="1">
      <c r="A84" s="405">
        <v>1</v>
      </c>
      <c r="B84" s="406"/>
      <c r="C84" s="282"/>
      <c r="D84" s="282"/>
      <c r="E84" s="65"/>
      <c r="F84" s="420"/>
      <c r="G84" s="421"/>
      <c r="H84" s="421"/>
      <c r="I84" s="421"/>
      <c r="J84" s="422"/>
      <c r="K84" s="423"/>
      <c r="L84" s="424"/>
      <c r="M84" s="424"/>
      <c r="N84" s="424"/>
      <c r="O84" s="424"/>
      <c r="P84" s="424"/>
      <c r="Q84" s="424"/>
      <c r="R84" s="424"/>
      <c r="S84" s="425"/>
      <c r="T84" s="426"/>
      <c r="U84" s="427"/>
      <c r="V84" s="428"/>
      <c r="W84" s="428"/>
      <c r="X84" s="429"/>
      <c r="Y84" s="429"/>
      <c r="Z84" s="429"/>
      <c r="AA84" s="429"/>
      <c r="AB84" s="429"/>
      <c r="AC84" s="429"/>
      <c r="AD84" s="430"/>
      <c r="AF84" s="50"/>
    </row>
    <row r="85" spans="1:32" ht="30" customHeight="1">
      <c r="A85" s="398">
        <f>A84+1</f>
        <v>2</v>
      </c>
      <c r="B85" s="399"/>
      <c r="C85" s="281"/>
      <c r="D85" s="281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ref="A86:A90" si="22">A85+1</f>
        <v>3</v>
      </c>
      <c r="B86" s="399"/>
      <c r="C86" s="281"/>
      <c r="D86" s="281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22"/>
        <v>4</v>
      </c>
      <c r="B87" s="399"/>
      <c r="C87" s="281"/>
      <c r="D87" s="281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22"/>
        <v>5</v>
      </c>
      <c r="B88" s="399"/>
      <c r="C88" s="281"/>
      <c r="D88" s="281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0" customHeight="1">
      <c r="A89" s="398">
        <f t="shared" si="22"/>
        <v>6</v>
      </c>
      <c r="B89" s="399"/>
      <c r="C89" s="281"/>
      <c r="D89" s="281"/>
      <c r="E89" s="32"/>
      <c r="F89" s="399"/>
      <c r="G89" s="399"/>
      <c r="H89" s="399"/>
      <c r="I89" s="399"/>
      <c r="J89" s="399"/>
      <c r="K89" s="414"/>
      <c r="L89" s="415"/>
      <c r="M89" s="415"/>
      <c r="N89" s="415"/>
      <c r="O89" s="415"/>
      <c r="P89" s="415"/>
      <c r="Q89" s="415"/>
      <c r="R89" s="415"/>
      <c r="S89" s="416"/>
      <c r="T89" s="417"/>
      <c r="U89" s="417"/>
      <c r="V89" s="417"/>
      <c r="W89" s="417"/>
      <c r="X89" s="418"/>
      <c r="Y89" s="418"/>
      <c r="Z89" s="418"/>
      <c r="AA89" s="418"/>
      <c r="AB89" s="418"/>
      <c r="AC89" s="418"/>
      <c r="AD89" s="419"/>
      <c r="AF89" s="50"/>
    </row>
    <row r="90" spans="1:32" ht="30" customHeight="1">
      <c r="A90" s="398">
        <f t="shared" si="22"/>
        <v>7</v>
      </c>
      <c r="B90" s="399"/>
      <c r="C90" s="281"/>
      <c r="D90" s="281"/>
      <c r="E90" s="32"/>
      <c r="F90" s="399"/>
      <c r="G90" s="399"/>
      <c r="H90" s="399"/>
      <c r="I90" s="399"/>
      <c r="J90" s="399"/>
      <c r="K90" s="414"/>
      <c r="L90" s="415"/>
      <c r="M90" s="415"/>
      <c r="N90" s="415"/>
      <c r="O90" s="415"/>
      <c r="P90" s="415"/>
      <c r="Q90" s="415"/>
      <c r="R90" s="415"/>
      <c r="S90" s="416"/>
      <c r="T90" s="417"/>
      <c r="U90" s="417"/>
      <c r="V90" s="417"/>
      <c r="W90" s="417"/>
      <c r="X90" s="418"/>
      <c r="Y90" s="418"/>
      <c r="Z90" s="418"/>
      <c r="AA90" s="418"/>
      <c r="AB90" s="418"/>
      <c r="AC90" s="418"/>
      <c r="AD90" s="419"/>
      <c r="AF90" s="50"/>
    </row>
    <row r="91" spans="1:32" ht="36" thickBot="1">
      <c r="A91" s="411" t="s">
        <v>618</v>
      </c>
      <c r="B91" s="411"/>
      <c r="C91" s="411"/>
      <c r="D91" s="411"/>
      <c r="E91" s="411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412" t="s">
        <v>111</v>
      </c>
      <c r="B92" s="413"/>
      <c r="C92" s="403" t="s">
        <v>52</v>
      </c>
      <c r="D92" s="403"/>
      <c r="E92" s="403" t="s">
        <v>53</v>
      </c>
      <c r="F92" s="403"/>
      <c r="G92" s="403"/>
      <c r="H92" s="403"/>
      <c r="I92" s="403"/>
      <c r="J92" s="403"/>
      <c r="K92" s="403" t="s">
        <v>54</v>
      </c>
      <c r="L92" s="403"/>
      <c r="M92" s="403"/>
      <c r="N92" s="403"/>
      <c r="O92" s="403"/>
      <c r="P92" s="403"/>
      <c r="Q92" s="403"/>
      <c r="R92" s="403"/>
      <c r="S92" s="403"/>
      <c r="T92" s="403" t="s">
        <v>55</v>
      </c>
      <c r="U92" s="403"/>
      <c r="V92" s="403" t="s">
        <v>56</v>
      </c>
      <c r="W92" s="403"/>
      <c r="X92" s="403"/>
      <c r="Y92" s="403" t="s">
        <v>51</v>
      </c>
      <c r="Z92" s="403"/>
      <c r="AA92" s="403"/>
      <c r="AB92" s="403"/>
      <c r="AC92" s="403"/>
      <c r="AD92" s="404"/>
      <c r="AF92" s="50"/>
    </row>
    <row r="93" spans="1:32" ht="30.75" customHeight="1">
      <c r="A93" s="405">
        <v>1</v>
      </c>
      <c r="B93" s="406"/>
      <c r="C93" s="407"/>
      <c r="D93" s="407"/>
      <c r="E93" s="407"/>
      <c r="F93" s="407"/>
      <c r="G93" s="407"/>
      <c r="H93" s="407"/>
      <c r="I93" s="407"/>
      <c r="J93" s="407"/>
      <c r="K93" s="407"/>
      <c r="L93" s="407"/>
      <c r="M93" s="407"/>
      <c r="N93" s="407"/>
      <c r="O93" s="407"/>
      <c r="P93" s="407"/>
      <c r="Q93" s="407"/>
      <c r="R93" s="407"/>
      <c r="S93" s="407"/>
      <c r="T93" s="407"/>
      <c r="U93" s="407"/>
      <c r="V93" s="408"/>
      <c r="W93" s="408"/>
      <c r="X93" s="408"/>
      <c r="Y93" s="409"/>
      <c r="Z93" s="409"/>
      <c r="AA93" s="409"/>
      <c r="AB93" s="409"/>
      <c r="AC93" s="409"/>
      <c r="AD93" s="410"/>
      <c r="AF93" s="50"/>
    </row>
    <row r="94" spans="1:32" ht="30.75" customHeight="1">
      <c r="A94" s="398">
        <v>2</v>
      </c>
      <c r="B94" s="399"/>
      <c r="C94" s="400"/>
      <c r="D94" s="400"/>
      <c r="E94" s="400"/>
      <c r="F94" s="400"/>
      <c r="G94" s="400"/>
      <c r="H94" s="400"/>
      <c r="I94" s="400"/>
      <c r="J94" s="400"/>
      <c r="K94" s="400"/>
      <c r="L94" s="400"/>
      <c r="M94" s="400"/>
      <c r="N94" s="400"/>
      <c r="O94" s="400"/>
      <c r="P94" s="400"/>
      <c r="Q94" s="400"/>
      <c r="R94" s="400"/>
      <c r="S94" s="400"/>
      <c r="T94" s="401"/>
      <c r="U94" s="401"/>
      <c r="V94" s="402"/>
      <c r="W94" s="402"/>
      <c r="X94" s="402"/>
      <c r="Y94" s="390"/>
      <c r="Z94" s="390"/>
      <c r="AA94" s="390"/>
      <c r="AB94" s="390"/>
      <c r="AC94" s="390"/>
      <c r="AD94" s="391"/>
      <c r="AF94" s="50"/>
    </row>
    <row r="95" spans="1:32" ht="30.75" customHeight="1" thickBot="1">
      <c r="A95" s="392">
        <v>3</v>
      </c>
      <c r="B95" s="393"/>
      <c r="C95" s="394"/>
      <c r="D95" s="394"/>
      <c r="E95" s="394"/>
      <c r="F95" s="394"/>
      <c r="G95" s="394"/>
      <c r="H95" s="394"/>
      <c r="I95" s="394"/>
      <c r="J95" s="394"/>
      <c r="K95" s="394"/>
      <c r="L95" s="394"/>
      <c r="M95" s="394"/>
      <c r="N95" s="394"/>
      <c r="O95" s="394"/>
      <c r="P95" s="394"/>
      <c r="Q95" s="394"/>
      <c r="R95" s="394"/>
      <c r="S95" s="394"/>
      <c r="T95" s="394"/>
      <c r="U95" s="394"/>
      <c r="V95" s="395"/>
      <c r="W95" s="395"/>
      <c r="X95" s="395"/>
      <c r="Y95" s="396"/>
      <c r="Z95" s="396"/>
      <c r="AA95" s="396"/>
      <c r="AB95" s="396"/>
      <c r="AC95" s="396"/>
      <c r="AD95" s="397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5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8DE9-3F6A-41FD-AD86-B756AA76A893}">
  <sheetPr codeName="Sheet17">
    <pageSetUpPr fitToPage="1"/>
  </sheetPr>
  <dimension ref="A1:AF96"/>
  <sheetViews>
    <sheetView view="pageBreakPreview" topLeftCell="A10" zoomScale="70" zoomScaleNormal="72" zoomScaleSheetLayoutView="70" workbookViewId="0">
      <selection activeCell="F86" sqref="F86:J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619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293" t="s">
        <v>17</v>
      </c>
      <c r="L5" s="293" t="s">
        <v>18</v>
      </c>
      <c r="M5" s="293" t="s">
        <v>19</v>
      </c>
      <c r="N5" s="29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597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40000</v>
      </c>
      <c r="J6" s="14">
        <v>10998</v>
      </c>
      <c r="K6" s="15">
        <f>L6+10212</f>
        <v>21210</v>
      </c>
      <c r="L6" s="15">
        <f>2715*2+2784*2</f>
        <v>10998</v>
      </c>
      <c r="M6" s="15">
        <f t="shared" ref="M6:M30" si="0">L6-N6</f>
        <v>10998</v>
      </c>
      <c r="N6" s="15">
        <v>0</v>
      </c>
      <c r="O6" s="58">
        <f t="shared" ref="O6:O31" si="1">IF(L6=0,"0",N6/L6)</f>
        <v>0</v>
      </c>
      <c r="P6" s="39">
        <f t="shared" ref="P6:P30" si="2">IF(L6=0,"0",(24-Q6))</f>
        <v>24</v>
      </c>
      <c r="Q6" s="40">
        <f t="shared" ref="Q6:Q30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30" si="4">IF(J6=0,"0",(L6/J6))</f>
        <v>1</v>
      </c>
      <c r="AC6" s="9">
        <f t="shared" ref="AC6:AC30" si="5">IF(P6=0,"0",(P6/24))</f>
        <v>1</v>
      </c>
      <c r="AD6" s="10">
        <f>AC6*AB6*(1-O6)</f>
        <v>1</v>
      </c>
      <c r="AE6" s="36">
        <f t="shared" ref="AE6:AE22" si="6">$AD$31</f>
        <v>0.43583333333333335</v>
      </c>
      <c r="AF6" s="81">
        <f t="shared" ref="AF6:AF30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609</v>
      </c>
      <c r="E7" s="53" t="s">
        <v>610</v>
      </c>
      <c r="F7" s="30" t="s">
        <v>139</v>
      </c>
      <c r="G7" s="12">
        <v>1</v>
      </c>
      <c r="H7" s="13">
        <v>24</v>
      </c>
      <c r="I7" s="31">
        <v>500</v>
      </c>
      <c r="J7" s="14">
        <v>1537</v>
      </c>
      <c r="K7" s="15">
        <f>L7</f>
        <v>1537</v>
      </c>
      <c r="L7" s="15">
        <f>158+1379</f>
        <v>1537</v>
      </c>
      <c r="M7" s="15">
        <f t="shared" si="0"/>
        <v>1537</v>
      </c>
      <c r="N7" s="15">
        <v>0</v>
      </c>
      <c r="O7" s="58">
        <f t="shared" si="1"/>
        <v>0</v>
      </c>
      <c r="P7" s="39">
        <f t="shared" si="2"/>
        <v>10</v>
      </c>
      <c r="Q7" s="40">
        <f t="shared" si="3"/>
        <v>14</v>
      </c>
      <c r="R7" s="7"/>
      <c r="S7" s="6"/>
      <c r="T7" s="16"/>
      <c r="U7" s="16"/>
      <c r="V7" s="17"/>
      <c r="W7" s="5">
        <v>2</v>
      </c>
      <c r="X7" s="16"/>
      <c r="Y7" s="16"/>
      <c r="Z7" s="16"/>
      <c r="AA7" s="18">
        <v>12</v>
      </c>
      <c r="AB7" s="8">
        <f t="shared" si="4"/>
        <v>1</v>
      </c>
      <c r="AC7" s="9">
        <f t="shared" si="5"/>
        <v>0.41666666666666669</v>
      </c>
      <c r="AD7" s="10">
        <f t="shared" ref="AD7:AD30" si="8">AC7*AB7*(1-O7)</f>
        <v>0.41666666666666669</v>
      </c>
      <c r="AE7" s="36">
        <f t="shared" si="6"/>
        <v>0.43583333333333335</v>
      </c>
      <c r="AF7" s="81">
        <f t="shared" si="7"/>
        <v>2</v>
      </c>
    </row>
    <row r="8" spans="1:32" ht="27" customHeight="1">
      <c r="A8" s="92">
        <v>3</v>
      </c>
      <c r="B8" s="11" t="s">
        <v>597</v>
      </c>
      <c r="C8" s="34" t="s">
        <v>116</v>
      </c>
      <c r="D8" s="52" t="s">
        <v>558</v>
      </c>
      <c r="E8" s="53" t="s">
        <v>620</v>
      </c>
      <c r="F8" s="30" t="s">
        <v>235</v>
      </c>
      <c r="G8" s="12" t="s">
        <v>621</v>
      </c>
      <c r="H8" s="13">
        <v>22</v>
      </c>
      <c r="I8" s="31">
        <v>400</v>
      </c>
      <c r="J8" s="5">
        <v>400</v>
      </c>
      <c r="K8" s="15">
        <f>L8</f>
        <v>400</v>
      </c>
      <c r="L8" s="15">
        <v>400</v>
      </c>
      <c r="M8" s="15">
        <f t="shared" si="0"/>
        <v>400</v>
      </c>
      <c r="N8" s="15">
        <v>0</v>
      </c>
      <c r="O8" s="58">
        <f t="shared" si="1"/>
        <v>0</v>
      </c>
      <c r="P8" s="39">
        <f t="shared" si="2"/>
        <v>3</v>
      </c>
      <c r="Q8" s="40">
        <f t="shared" si="3"/>
        <v>21</v>
      </c>
      <c r="R8" s="7"/>
      <c r="S8" s="6"/>
      <c r="T8" s="16"/>
      <c r="U8" s="16"/>
      <c r="V8" s="17"/>
      <c r="W8" s="5">
        <v>21</v>
      </c>
      <c r="X8" s="16"/>
      <c r="Y8" s="16"/>
      <c r="Z8" s="16"/>
      <c r="AA8" s="18"/>
      <c r="AB8" s="8">
        <f t="shared" si="4"/>
        <v>1</v>
      </c>
      <c r="AC8" s="9">
        <f t="shared" si="5"/>
        <v>0.125</v>
      </c>
      <c r="AD8" s="10">
        <f t="shared" si="8"/>
        <v>0.125</v>
      </c>
      <c r="AE8" s="36">
        <f t="shared" si="6"/>
        <v>0.43583333333333335</v>
      </c>
      <c r="AF8" s="81">
        <f t="shared" si="7"/>
        <v>3</v>
      </c>
    </row>
    <row r="9" spans="1:32" ht="27" customHeight="1">
      <c r="A9" s="92">
        <v>3</v>
      </c>
      <c r="B9" s="11" t="s">
        <v>597</v>
      </c>
      <c r="C9" s="34" t="s">
        <v>116</v>
      </c>
      <c r="D9" s="52" t="s">
        <v>121</v>
      </c>
      <c r="E9" s="53" t="s">
        <v>507</v>
      </c>
      <c r="F9" s="30" t="s">
        <v>235</v>
      </c>
      <c r="G9" s="12">
        <v>1</v>
      </c>
      <c r="H9" s="13">
        <v>22</v>
      </c>
      <c r="I9" s="31">
        <v>200</v>
      </c>
      <c r="J9" s="5">
        <v>400</v>
      </c>
      <c r="K9" s="15">
        <f>L9</f>
        <v>200</v>
      </c>
      <c r="L9" s="15">
        <v>200</v>
      </c>
      <c r="M9" s="15">
        <f t="shared" ref="M9" si="9">L9-N9</f>
        <v>200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3</v>
      </c>
      <c r="Q9" s="40">
        <f t="shared" ref="Q9" si="12">SUM(R9:AA9)</f>
        <v>21</v>
      </c>
      <c r="R9" s="7"/>
      <c r="S9" s="6"/>
      <c r="T9" s="16"/>
      <c r="U9" s="16"/>
      <c r="V9" s="17"/>
      <c r="W9" s="5">
        <v>21</v>
      </c>
      <c r="X9" s="16"/>
      <c r="Y9" s="16"/>
      <c r="Z9" s="16"/>
      <c r="AA9" s="18"/>
      <c r="AB9" s="8">
        <f t="shared" ref="AB9" si="13">IF(J9=0,"0",(L9/J9))</f>
        <v>0.5</v>
      </c>
      <c r="AC9" s="9">
        <f t="shared" ref="AC9" si="14">IF(P9=0,"0",(P9/24))</f>
        <v>0.125</v>
      </c>
      <c r="AD9" s="10">
        <f t="shared" ref="AD9" si="15">AC9*AB9*(1-O9)</f>
        <v>6.25E-2</v>
      </c>
      <c r="AE9" s="36">
        <f t="shared" si="6"/>
        <v>0.43583333333333335</v>
      </c>
      <c r="AF9" s="81">
        <f t="shared" ref="AF9" si="16">A9</f>
        <v>3</v>
      </c>
    </row>
    <row r="10" spans="1:32" ht="27" customHeight="1">
      <c r="A10" s="92">
        <v>4</v>
      </c>
      <c r="B10" s="11" t="s">
        <v>57</v>
      </c>
      <c r="C10" s="34" t="s">
        <v>116</v>
      </c>
      <c r="D10" s="52" t="s">
        <v>499</v>
      </c>
      <c r="E10" s="53" t="s">
        <v>523</v>
      </c>
      <c r="F10" s="30" t="s">
        <v>524</v>
      </c>
      <c r="G10" s="12" t="s">
        <v>302</v>
      </c>
      <c r="H10" s="13">
        <v>24</v>
      </c>
      <c r="I10" s="7">
        <v>20000</v>
      </c>
      <c r="J10" s="14">
        <v>5069</v>
      </c>
      <c r="K10" s="15">
        <f>L10+4212+561+4883</f>
        <v>14725</v>
      </c>
      <c r="L10" s="15">
        <f>2506+2563</f>
        <v>5069</v>
      </c>
      <c r="M10" s="15">
        <f t="shared" si="0"/>
        <v>5069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0.43583333333333335</v>
      </c>
      <c r="AF10" s="81">
        <f t="shared" si="7"/>
        <v>4</v>
      </c>
    </row>
    <row r="11" spans="1:32" ht="27" customHeight="1">
      <c r="A11" s="92">
        <v>5</v>
      </c>
      <c r="B11" s="11" t="s">
        <v>57</v>
      </c>
      <c r="C11" s="11" t="s">
        <v>112</v>
      </c>
      <c r="D11" s="52" t="s">
        <v>121</v>
      </c>
      <c r="E11" s="53" t="s">
        <v>152</v>
      </c>
      <c r="F11" s="30" t="s">
        <v>123</v>
      </c>
      <c r="G11" s="33">
        <v>1</v>
      </c>
      <c r="H11" s="35">
        <v>24</v>
      </c>
      <c r="I11" s="7">
        <v>115000</v>
      </c>
      <c r="J11" s="14">
        <v>4392</v>
      </c>
      <c r="K11" s="15">
        <f>L11+5338+5669+5744+4980+3619+1932+309+2790+5660+4715+1739+3127+5884+1203+3638+5732+5658+5217+2430+1897+5596+5715+3707+799+2709+2266+5086+3381</f>
        <v>110932</v>
      </c>
      <c r="L11" s="15">
        <f>2752+1640</f>
        <v>4392</v>
      </c>
      <c r="M11" s="15">
        <f t="shared" si="0"/>
        <v>4392</v>
      </c>
      <c r="N11" s="15">
        <v>0</v>
      </c>
      <c r="O11" s="58">
        <f t="shared" si="1"/>
        <v>0</v>
      </c>
      <c r="P11" s="39">
        <f t="shared" si="2"/>
        <v>20</v>
      </c>
      <c r="Q11" s="40">
        <f t="shared" si="3"/>
        <v>4</v>
      </c>
      <c r="R11" s="7"/>
      <c r="S11" s="6">
        <v>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0.83333333333333337</v>
      </c>
      <c r="AD11" s="10">
        <f t="shared" si="8"/>
        <v>0.83333333333333337</v>
      </c>
      <c r="AE11" s="36">
        <f t="shared" si="6"/>
        <v>0.43583333333333335</v>
      </c>
      <c r="AF11" s="81">
        <f t="shared" si="7"/>
        <v>5</v>
      </c>
    </row>
    <row r="12" spans="1:32" ht="27" customHeight="1">
      <c r="A12" s="92">
        <v>6</v>
      </c>
      <c r="B12" s="11" t="s">
        <v>57</v>
      </c>
      <c r="C12" s="11" t="s">
        <v>112</v>
      </c>
      <c r="D12" s="52" t="s">
        <v>121</v>
      </c>
      <c r="E12" s="53" t="s">
        <v>303</v>
      </c>
      <c r="F12" s="30" t="s">
        <v>235</v>
      </c>
      <c r="G12" s="33">
        <v>2</v>
      </c>
      <c r="H12" s="35">
        <v>24</v>
      </c>
      <c r="I12" s="7">
        <v>44000</v>
      </c>
      <c r="J12" s="14">
        <v>9096</v>
      </c>
      <c r="K12" s="15">
        <f>L12+7651</f>
        <v>16747</v>
      </c>
      <c r="L12" s="15">
        <f>2623*2+1925*2</f>
        <v>9096</v>
      </c>
      <c r="M12" s="15">
        <f t="shared" si="0"/>
        <v>9096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8"/>
        <v>0.91666666666666663</v>
      </c>
      <c r="AE12" s="36">
        <f t="shared" si="6"/>
        <v>0.43583333333333335</v>
      </c>
      <c r="AF12" s="81">
        <f t="shared" si="7"/>
        <v>6</v>
      </c>
    </row>
    <row r="13" spans="1:32" ht="27" customHeight="1">
      <c r="A13" s="92">
        <v>7</v>
      </c>
      <c r="B13" s="11" t="s">
        <v>57</v>
      </c>
      <c r="C13" s="34" t="s">
        <v>116</v>
      </c>
      <c r="D13" s="52" t="s">
        <v>115</v>
      </c>
      <c r="E13" s="53" t="s">
        <v>565</v>
      </c>
      <c r="F13" s="30" t="s">
        <v>205</v>
      </c>
      <c r="G13" s="12">
        <v>1</v>
      </c>
      <c r="H13" s="13">
        <v>22</v>
      </c>
      <c r="I13" s="31">
        <v>20000</v>
      </c>
      <c r="J13" s="5">
        <v>4930</v>
      </c>
      <c r="K13" s="15">
        <f>L13+3245+4808</f>
        <v>12983</v>
      </c>
      <c r="L13" s="15">
        <f>2444+2486</f>
        <v>4930</v>
      </c>
      <c r="M13" s="15">
        <f t="shared" si="0"/>
        <v>4930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0.43583333333333335</v>
      </c>
      <c r="AF13" s="81">
        <f t="shared" si="7"/>
        <v>7</v>
      </c>
    </row>
    <row r="14" spans="1:32" ht="27" customHeight="1">
      <c r="A14" s="92">
        <v>8</v>
      </c>
      <c r="B14" s="11" t="s">
        <v>57</v>
      </c>
      <c r="C14" s="11" t="s">
        <v>112</v>
      </c>
      <c r="D14" s="52" t="s">
        <v>159</v>
      </c>
      <c r="E14" s="53" t="s">
        <v>598</v>
      </c>
      <c r="F14" s="30" t="s">
        <v>123</v>
      </c>
      <c r="G14" s="33">
        <v>1</v>
      </c>
      <c r="H14" s="35">
        <v>22</v>
      </c>
      <c r="I14" s="7">
        <v>4000</v>
      </c>
      <c r="J14" s="14">
        <v>5186</v>
      </c>
      <c r="K14" s="15">
        <f>L14+2853</f>
        <v>8039</v>
      </c>
      <c r="L14" s="15">
        <f>2366+2820</f>
        <v>5186</v>
      </c>
      <c r="M14" s="15">
        <f t="shared" si="0"/>
        <v>5186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8"/>
        <v>1</v>
      </c>
      <c r="AE14" s="36">
        <f t="shared" si="6"/>
        <v>0.43583333333333335</v>
      </c>
      <c r="AF14" s="81">
        <f t="shared" si="7"/>
        <v>8</v>
      </c>
    </row>
    <row r="15" spans="1:32" ht="27" customHeight="1">
      <c r="A15" s="99">
        <v>9</v>
      </c>
      <c r="B15" s="11" t="s">
        <v>57</v>
      </c>
      <c r="C15" s="34" t="s">
        <v>112</v>
      </c>
      <c r="D15" s="52" t="s">
        <v>115</v>
      </c>
      <c r="E15" s="53" t="s">
        <v>566</v>
      </c>
      <c r="F15" s="30" t="s">
        <v>139</v>
      </c>
      <c r="G15" s="33">
        <v>1</v>
      </c>
      <c r="H15" s="35">
        <v>50</v>
      </c>
      <c r="I15" s="7">
        <v>100</v>
      </c>
      <c r="J15" s="5">
        <v>100</v>
      </c>
      <c r="K15" s="15">
        <f>L15+100</f>
        <v>100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0.43583333333333335</v>
      </c>
      <c r="AF15" s="81">
        <f t="shared" si="7"/>
        <v>9</v>
      </c>
    </row>
    <row r="16" spans="1:32" ht="27" customHeight="1">
      <c r="A16" s="106">
        <v>10</v>
      </c>
      <c r="B16" s="11" t="s">
        <v>597</v>
      </c>
      <c r="C16" s="34" t="s">
        <v>112</v>
      </c>
      <c r="D16" s="52" t="s">
        <v>138</v>
      </c>
      <c r="E16" s="53" t="s">
        <v>599</v>
      </c>
      <c r="F16" s="30" t="s">
        <v>139</v>
      </c>
      <c r="G16" s="12">
        <v>2</v>
      </c>
      <c r="H16" s="13">
        <v>24</v>
      </c>
      <c r="I16" s="31">
        <v>74000</v>
      </c>
      <c r="J16" s="14">
        <v>11870</v>
      </c>
      <c r="K16" s="15">
        <f>L16+8206</f>
        <v>20076</v>
      </c>
      <c r="L16" s="15">
        <f>2945*2+2990*2</f>
        <v>11870</v>
      </c>
      <c r="M16" s="15">
        <f t="shared" si="0"/>
        <v>11870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0.43583333333333335</v>
      </c>
      <c r="AF16" s="81">
        <f t="shared" si="7"/>
        <v>10</v>
      </c>
    </row>
    <row r="17" spans="1:32" ht="27" customHeight="1">
      <c r="A17" s="92">
        <v>11</v>
      </c>
      <c r="B17" s="11" t="s">
        <v>57</v>
      </c>
      <c r="C17" s="34" t="s">
        <v>112</v>
      </c>
      <c r="D17" s="52" t="s">
        <v>159</v>
      </c>
      <c r="E17" s="53" t="s">
        <v>234</v>
      </c>
      <c r="F17" s="30" t="s">
        <v>235</v>
      </c>
      <c r="G17" s="12">
        <v>2</v>
      </c>
      <c r="H17" s="13">
        <v>22</v>
      </c>
      <c r="I17" s="31">
        <v>72000</v>
      </c>
      <c r="J17" s="5">
        <v>10782</v>
      </c>
      <c r="K17" s="15">
        <f>L17+4453+8440</f>
        <v>23675</v>
      </c>
      <c r="L17" s="15">
        <f>2667*2+2724*2</f>
        <v>10782</v>
      </c>
      <c r="M17" s="15">
        <f t="shared" si="0"/>
        <v>10782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0.43583333333333335</v>
      </c>
      <c r="AF17" s="81">
        <f t="shared" si="7"/>
        <v>11</v>
      </c>
    </row>
    <row r="18" spans="1:32" ht="27" customHeight="1">
      <c r="A18" s="106">
        <v>12</v>
      </c>
      <c r="B18" s="11" t="s">
        <v>57</v>
      </c>
      <c r="C18" s="34" t="s">
        <v>126</v>
      </c>
      <c r="D18" s="52" t="s">
        <v>127</v>
      </c>
      <c r="E18" s="53" t="s">
        <v>485</v>
      </c>
      <c r="F18" s="30" t="s">
        <v>213</v>
      </c>
      <c r="G18" s="12">
        <v>4</v>
      </c>
      <c r="H18" s="13">
        <v>24</v>
      </c>
      <c r="I18" s="7">
        <v>30000</v>
      </c>
      <c r="J18" s="14">
        <v>21192</v>
      </c>
      <c r="K18" s="15">
        <f>L18+20644+21192</f>
        <v>41836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8"/>
        <v>0</v>
      </c>
      <c r="AE18" s="36">
        <f t="shared" si="6"/>
        <v>0.43583333333333335</v>
      </c>
      <c r="AF18" s="81">
        <f t="shared" si="7"/>
        <v>12</v>
      </c>
    </row>
    <row r="19" spans="1:32" ht="27" customHeight="1">
      <c r="A19" s="92">
        <v>13</v>
      </c>
      <c r="B19" s="11" t="s">
        <v>57</v>
      </c>
      <c r="C19" s="34" t="s">
        <v>116</v>
      </c>
      <c r="D19" s="52" t="s">
        <v>127</v>
      </c>
      <c r="E19" s="53" t="s">
        <v>569</v>
      </c>
      <c r="F19" s="30" t="s">
        <v>153</v>
      </c>
      <c r="G19" s="12">
        <v>1</v>
      </c>
      <c r="H19" s="13">
        <v>22</v>
      </c>
      <c r="I19" s="31">
        <v>20000</v>
      </c>
      <c r="J19" s="5">
        <v>2374</v>
      </c>
      <c r="K19" s="15">
        <f>L19+2984+4988</f>
        <v>10346</v>
      </c>
      <c r="L19" s="15">
        <f>2374</f>
        <v>2374</v>
      </c>
      <c r="M19" s="15">
        <f t="shared" si="0"/>
        <v>2374</v>
      </c>
      <c r="N19" s="15">
        <v>0</v>
      </c>
      <c r="O19" s="58">
        <f t="shared" si="1"/>
        <v>0</v>
      </c>
      <c r="P19" s="39">
        <f t="shared" si="2"/>
        <v>13</v>
      </c>
      <c r="Q19" s="40">
        <f t="shared" si="3"/>
        <v>11</v>
      </c>
      <c r="R19" s="7"/>
      <c r="S19" s="6">
        <v>11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0.54166666666666663</v>
      </c>
      <c r="AD19" s="10">
        <f t="shared" si="8"/>
        <v>0.54166666666666663</v>
      </c>
      <c r="AE19" s="36">
        <f t="shared" si="6"/>
        <v>0.43583333333333335</v>
      </c>
      <c r="AF19" s="81">
        <f t="shared" si="7"/>
        <v>13</v>
      </c>
    </row>
    <row r="20" spans="1:32" ht="27" customHeight="1">
      <c r="A20" s="92">
        <v>14</v>
      </c>
      <c r="B20" s="11" t="s">
        <v>57</v>
      </c>
      <c r="C20" s="11" t="s">
        <v>116</v>
      </c>
      <c r="D20" s="52" t="s">
        <v>157</v>
      </c>
      <c r="E20" s="53" t="s">
        <v>587</v>
      </c>
      <c r="F20" s="30" t="s">
        <v>158</v>
      </c>
      <c r="G20" s="33">
        <v>1</v>
      </c>
      <c r="H20" s="35">
        <v>24</v>
      </c>
      <c r="I20" s="7">
        <v>20000</v>
      </c>
      <c r="J20" s="14">
        <v>4723</v>
      </c>
      <c r="K20" s="15">
        <f>L20</f>
        <v>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8"/>
        <v>0</v>
      </c>
      <c r="AE20" s="36">
        <f t="shared" si="6"/>
        <v>0.43583333333333335</v>
      </c>
      <c r="AF20" s="81">
        <f t="shared" si="7"/>
        <v>14</v>
      </c>
    </row>
    <row r="21" spans="1:32" ht="27" customHeight="1">
      <c r="A21" s="106">
        <v>15</v>
      </c>
      <c r="B21" s="11" t="s">
        <v>57</v>
      </c>
      <c r="C21" s="11" t="s">
        <v>112</v>
      </c>
      <c r="D21" s="52" t="s">
        <v>115</v>
      </c>
      <c r="E21" s="53" t="s">
        <v>143</v>
      </c>
      <c r="F21" s="30" t="s">
        <v>136</v>
      </c>
      <c r="G21" s="33">
        <v>2</v>
      </c>
      <c r="H21" s="35">
        <v>24</v>
      </c>
      <c r="I21" s="7">
        <v>70000</v>
      </c>
      <c r="J21" s="14">
        <v>11032</v>
      </c>
      <c r="K21" s="15">
        <f>L21+3150+7466+4534+7764</f>
        <v>33946</v>
      </c>
      <c r="L21" s="15">
        <f>2732*2+2784*2</f>
        <v>11032</v>
      </c>
      <c r="M21" s="15">
        <f t="shared" si="0"/>
        <v>11032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0.43583333333333335</v>
      </c>
      <c r="AF21" s="81">
        <f t="shared" si="7"/>
        <v>15</v>
      </c>
    </row>
    <row r="22" spans="1:32" ht="26.25" customHeight="1">
      <c r="A22" s="92">
        <v>16</v>
      </c>
      <c r="B22" s="11" t="s">
        <v>57</v>
      </c>
      <c r="C22" s="11" t="s">
        <v>113</v>
      </c>
      <c r="D22" s="52"/>
      <c r="E22" s="53" t="s">
        <v>146</v>
      </c>
      <c r="F22" s="12" t="s">
        <v>114</v>
      </c>
      <c r="G22" s="12">
        <v>3</v>
      </c>
      <c r="H22" s="35">
        <v>20</v>
      </c>
      <c r="I22" s="7">
        <v>2000000</v>
      </c>
      <c r="J22" s="14">
        <v>63564</v>
      </c>
      <c r="K22" s="15">
        <f>L22+57172+63944+63948+58884+57396</f>
        <v>364908</v>
      </c>
      <c r="L22" s="15">
        <f>7860*4+8031*4</f>
        <v>63564</v>
      </c>
      <c r="M22" s="15">
        <f t="shared" si="0"/>
        <v>63564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8"/>
        <v>1</v>
      </c>
      <c r="AE22" s="36">
        <f t="shared" si="6"/>
        <v>0.43583333333333335</v>
      </c>
      <c r="AF22" s="81">
        <f t="shared" si="7"/>
        <v>16</v>
      </c>
    </row>
    <row r="23" spans="1:32" ht="26.25" customHeight="1">
      <c r="A23" s="307">
        <v>17</v>
      </c>
      <c r="B23" s="11" t="s">
        <v>57</v>
      </c>
      <c r="C23" s="11"/>
      <c r="D23" s="52"/>
      <c r="E23" s="53"/>
      <c r="F23" s="12"/>
      <c r="G23" s="12"/>
      <c r="H23" s="35"/>
      <c r="I23" s="7"/>
      <c r="J23" s="14"/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ref="AE23:AE24" si="17">$AD$31</f>
        <v>0.43583333333333335</v>
      </c>
      <c r="AF23" s="81">
        <f t="shared" si="7"/>
        <v>17</v>
      </c>
    </row>
    <row r="24" spans="1:32" ht="26.25" customHeight="1">
      <c r="A24" s="307">
        <v>18</v>
      </c>
      <c r="B24" s="11" t="s">
        <v>57</v>
      </c>
      <c r="C24" s="11" t="s">
        <v>116</v>
      </c>
      <c r="D24" s="52" t="s">
        <v>600</v>
      </c>
      <c r="E24" s="53" t="s">
        <v>601</v>
      </c>
      <c r="F24" s="12" t="s">
        <v>602</v>
      </c>
      <c r="G24" s="12">
        <v>4</v>
      </c>
      <c r="H24" s="35">
        <v>15</v>
      </c>
      <c r="I24" s="7">
        <v>6000</v>
      </c>
      <c r="J24" s="14"/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/>
      <c r="X24" s="16"/>
      <c r="Y24" s="16"/>
      <c r="Z24" s="16"/>
      <c r="AA24" s="18">
        <v>24</v>
      </c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17"/>
        <v>0.43583333333333335</v>
      </c>
      <c r="AF24" s="81">
        <f t="shared" si="7"/>
        <v>18</v>
      </c>
    </row>
    <row r="25" spans="1:32" ht="21.75" customHeight="1">
      <c r="A25" s="92">
        <v>31</v>
      </c>
      <c r="B25" s="11" t="s">
        <v>57</v>
      </c>
      <c r="C25" s="11" t="s">
        <v>116</v>
      </c>
      <c r="D25" s="52" t="s">
        <v>115</v>
      </c>
      <c r="E25" s="53" t="s">
        <v>149</v>
      </c>
      <c r="F25" s="12" t="s">
        <v>136</v>
      </c>
      <c r="G25" s="12">
        <v>4</v>
      </c>
      <c r="H25" s="35">
        <v>20</v>
      </c>
      <c r="I25" s="7">
        <v>70000</v>
      </c>
      <c r="J25" s="14">
        <v>22300</v>
      </c>
      <c r="K25" s="15">
        <f>L25+22300</f>
        <v>22300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>
        <v>24</v>
      </c>
      <c r="W25" s="5"/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ref="AE25:AE30" si="18">$AD$31</f>
        <v>0.43583333333333335</v>
      </c>
      <c r="AF25" s="81">
        <f t="shared" si="7"/>
        <v>31</v>
      </c>
    </row>
    <row r="26" spans="1:32" ht="21.75" customHeight="1">
      <c r="A26" s="92">
        <v>32</v>
      </c>
      <c r="B26" s="11" t="s">
        <v>57</v>
      </c>
      <c r="C26" s="11"/>
      <c r="D26" s="52"/>
      <c r="E26" s="53"/>
      <c r="F26" s="12"/>
      <c r="G26" s="12"/>
      <c r="H26" s="35">
        <v>20</v>
      </c>
      <c r="I26" s="7"/>
      <c r="J26" s="14">
        <v>0</v>
      </c>
      <c r="K26" s="15">
        <f t="shared" ref="K26" si="19">L26</f>
        <v>0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7"/>
      <c r="W26" s="5">
        <v>24</v>
      </c>
      <c r="X26" s="16"/>
      <c r="Y26" s="16"/>
      <c r="Z26" s="16"/>
      <c r="AA26" s="18"/>
      <c r="AB26" s="8" t="str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18"/>
        <v>0.43583333333333335</v>
      </c>
      <c r="AF26" s="81">
        <f t="shared" si="7"/>
        <v>32</v>
      </c>
    </row>
    <row r="27" spans="1:32" ht="21.75" customHeight="1">
      <c r="A27" s="92">
        <v>33</v>
      </c>
      <c r="B27" s="11" t="s">
        <v>57</v>
      </c>
      <c r="C27" s="11" t="s">
        <v>116</v>
      </c>
      <c r="D27" s="52" t="s">
        <v>142</v>
      </c>
      <c r="E27" s="53" t="s">
        <v>151</v>
      </c>
      <c r="F27" s="12" t="s">
        <v>123</v>
      </c>
      <c r="G27" s="12">
        <v>3</v>
      </c>
      <c r="H27" s="35">
        <v>20</v>
      </c>
      <c r="I27" s="7">
        <v>70000</v>
      </c>
      <c r="J27" s="14">
        <v>19983</v>
      </c>
      <c r="K27" s="15">
        <f>L27+22125+9744+18372+21786+19983</f>
        <v>92010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18"/>
        <v>0.43583333333333335</v>
      </c>
      <c r="AF27" s="81">
        <f t="shared" si="7"/>
        <v>33</v>
      </c>
    </row>
    <row r="28" spans="1:32" ht="21.75" customHeight="1">
      <c r="A28" s="92">
        <v>34</v>
      </c>
      <c r="B28" s="11" t="s">
        <v>57</v>
      </c>
      <c r="C28" s="11" t="s">
        <v>116</v>
      </c>
      <c r="D28" s="52" t="s">
        <v>127</v>
      </c>
      <c r="E28" s="53" t="s">
        <v>148</v>
      </c>
      <c r="F28" s="12" t="s">
        <v>124</v>
      </c>
      <c r="G28" s="12">
        <v>3</v>
      </c>
      <c r="H28" s="35">
        <v>20</v>
      </c>
      <c r="I28" s="7">
        <v>70000</v>
      </c>
      <c r="J28" s="14">
        <v>18138</v>
      </c>
      <c r="K28" s="15">
        <f>L28+16448+27472+26896+18138</f>
        <v>88954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18"/>
        <v>0.43583333333333335</v>
      </c>
      <c r="AF28" s="81">
        <f t="shared" si="7"/>
        <v>34</v>
      </c>
    </row>
    <row r="29" spans="1:32" ht="21.75" customHeight="1">
      <c r="A29" s="92">
        <v>35</v>
      </c>
      <c r="B29" s="11" t="s">
        <v>57</v>
      </c>
      <c r="C29" s="11" t="s">
        <v>116</v>
      </c>
      <c r="D29" s="52" t="s">
        <v>121</v>
      </c>
      <c r="E29" s="53" t="s">
        <v>125</v>
      </c>
      <c r="F29" s="12" t="s">
        <v>124</v>
      </c>
      <c r="G29" s="12">
        <v>4</v>
      </c>
      <c r="H29" s="35">
        <v>20</v>
      </c>
      <c r="I29" s="7">
        <v>50000</v>
      </c>
      <c r="J29" s="14">
        <v>26944</v>
      </c>
      <c r="K29" s="15">
        <f>L29+24592+26944+21716</f>
        <v>73252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18"/>
        <v>0.43583333333333335</v>
      </c>
      <c r="AF29" s="81">
        <f t="shared" si="7"/>
        <v>35</v>
      </c>
    </row>
    <row r="30" spans="1:32" ht="21.75" customHeight="1" thickBot="1">
      <c r="A30" s="92">
        <v>36</v>
      </c>
      <c r="B30" s="11" t="s">
        <v>57</v>
      </c>
      <c r="C30" s="11" t="s">
        <v>113</v>
      </c>
      <c r="D30" s="52"/>
      <c r="E30" s="53" t="s">
        <v>150</v>
      </c>
      <c r="F30" s="12" t="s">
        <v>114</v>
      </c>
      <c r="G30" s="12">
        <v>4</v>
      </c>
      <c r="H30" s="35">
        <v>20</v>
      </c>
      <c r="I30" s="7">
        <v>1000000</v>
      </c>
      <c r="J30" s="14">
        <v>79328</v>
      </c>
      <c r="K30" s="15">
        <f>L30+28388+70816+76368+81764+83428+47688+53180+83092+82192+79328</f>
        <v>686244</v>
      </c>
      <c r="L30" s="15"/>
      <c r="M30" s="15">
        <f t="shared" si="0"/>
        <v>0</v>
      </c>
      <c r="N30" s="15">
        <v>0</v>
      </c>
      <c r="O30" s="58" t="str">
        <f t="shared" si="1"/>
        <v>0</v>
      </c>
      <c r="P30" s="39" t="str">
        <f t="shared" si="2"/>
        <v>0</v>
      </c>
      <c r="Q30" s="40">
        <f t="shared" si="3"/>
        <v>24</v>
      </c>
      <c r="R30" s="7"/>
      <c r="S30" s="6"/>
      <c r="T30" s="16"/>
      <c r="U30" s="16"/>
      <c r="V30" s="114">
        <v>24</v>
      </c>
      <c r="W30" s="5"/>
      <c r="X30" s="16"/>
      <c r="Y30" s="16"/>
      <c r="Z30" s="16"/>
      <c r="AA30" s="18"/>
      <c r="AB30" s="8">
        <f t="shared" si="4"/>
        <v>0</v>
      </c>
      <c r="AC30" s="9">
        <f t="shared" si="5"/>
        <v>0</v>
      </c>
      <c r="AD30" s="10">
        <f t="shared" si="8"/>
        <v>0</v>
      </c>
      <c r="AE30" s="36">
        <f t="shared" si="18"/>
        <v>0.43583333333333335</v>
      </c>
      <c r="AF30" s="81">
        <f t="shared" si="7"/>
        <v>36</v>
      </c>
    </row>
    <row r="31" spans="1:32" ht="19.5" thickBot="1">
      <c r="A31" s="478" t="s">
        <v>34</v>
      </c>
      <c r="B31" s="479"/>
      <c r="C31" s="479"/>
      <c r="D31" s="479"/>
      <c r="E31" s="479"/>
      <c r="F31" s="479"/>
      <c r="G31" s="479"/>
      <c r="H31" s="480"/>
      <c r="I31" s="22">
        <f t="shared" ref="I31:N31" si="20">SUM(I6:I30)</f>
        <v>3796200</v>
      </c>
      <c r="J31" s="19">
        <f t="shared" si="20"/>
        <v>334338</v>
      </c>
      <c r="K31" s="20">
        <f t="shared" si="20"/>
        <v>1644420</v>
      </c>
      <c r="L31" s="21">
        <f t="shared" si="20"/>
        <v>141430</v>
      </c>
      <c r="M31" s="20">
        <f t="shared" si="20"/>
        <v>141430</v>
      </c>
      <c r="N31" s="21">
        <f t="shared" si="20"/>
        <v>0</v>
      </c>
      <c r="O31" s="41">
        <f t="shared" si="1"/>
        <v>0</v>
      </c>
      <c r="P31" s="42">
        <f t="shared" ref="P31:AA31" si="21">SUM(P6:P30)</f>
        <v>263</v>
      </c>
      <c r="Q31" s="43">
        <f t="shared" si="21"/>
        <v>289</v>
      </c>
      <c r="R31" s="23">
        <f t="shared" si="21"/>
        <v>0</v>
      </c>
      <c r="S31" s="24">
        <f t="shared" si="21"/>
        <v>41</v>
      </c>
      <c r="T31" s="24">
        <f t="shared" si="21"/>
        <v>0</v>
      </c>
      <c r="U31" s="24">
        <f t="shared" si="21"/>
        <v>0</v>
      </c>
      <c r="V31" s="25">
        <f t="shared" si="21"/>
        <v>48</v>
      </c>
      <c r="W31" s="26">
        <f t="shared" si="21"/>
        <v>116</v>
      </c>
      <c r="X31" s="27">
        <f t="shared" si="21"/>
        <v>0</v>
      </c>
      <c r="Y31" s="27">
        <f t="shared" si="21"/>
        <v>0</v>
      </c>
      <c r="Z31" s="27">
        <f t="shared" si="21"/>
        <v>0</v>
      </c>
      <c r="AA31" s="27">
        <f t="shared" si="21"/>
        <v>84</v>
      </c>
      <c r="AB31" s="28">
        <f>AVERAGE(AB6:AB30)</f>
        <v>0.61363636363636365</v>
      </c>
      <c r="AC31" s="4">
        <f>AVERAGE(AC6:AC30)</f>
        <v>0.43833333333333335</v>
      </c>
      <c r="AD31" s="4">
        <f>AVERAGE(AD6:AD30)</f>
        <v>0.43583333333333335</v>
      </c>
      <c r="AE31" s="29"/>
    </row>
    <row r="32" spans="1:32">
      <c r="T32" s="50" t="s">
        <v>128</v>
      </c>
    </row>
    <row r="33" spans="1:32" ht="18.75">
      <c r="A33" s="2"/>
      <c r="B33" s="2" t="s">
        <v>35</v>
      </c>
      <c r="C33" s="2"/>
      <c r="D33" s="2"/>
      <c r="E33" s="2"/>
      <c r="F33" s="2"/>
      <c r="G33" s="2"/>
      <c r="H33" s="3"/>
      <c r="I33" s="3"/>
      <c r="J33" s="2"/>
      <c r="K33" s="2"/>
      <c r="L33" s="2"/>
      <c r="M33" s="2"/>
      <c r="N33" s="2" t="s">
        <v>36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1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 t="s">
        <v>129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82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27">
      <c r="A48" s="59"/>
      <c r="B48" s="59"/>
      <c r="C48" s="59"/>
      <c r="D48" s="59"/>
      <c r="E48" s="59"/>
      <c r="F48" s="37"/>
      <c r="G48" s="37"/>
      <c r="H48" s="38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F48" s="50"/>
    </row>
    <row r="49" spans="1:32" ht="29.25" customHeight="1">
      <c r="A49" s="60"/>
      <c r="B49" s="60"/>
      <c r="C49" s="61"/>
      <c r="D49" s="61"/>
      <c r="E49" s="61"/>
      <c r="F49" s="60"/>
      <c r="G49" s="60"/>
      <c r="H49" s="60"/>
      <c r="I49" s="60"/>
      <c r="J49" s="60"/>
      <c r="K49" s="60"/>
      <c r="L49" s="60"/>
      <c r="M49" s="61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29.25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36" thickBot="1">
      <c r="A58" s="481" t="s">
        <v>45</v>
      </c>
      <c r="B58" s="481"/>
      <c r="C58" s="481"/>
      <c r="D58" s="481"/>
      <c r="E58" s="481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F58" s="50"/>
    </row>
    <row r="59" spans="1:32" ht="26.25" thickBot="1">
      <c r="A59" s="482" t="s">
        <v>622</v>
      </c>
      <c r="B59" s="483"/>
      <c r="C59" s="483"/>
      <c r="D59" s="483"/>
      <c r="E59" s="483"/>
      <c r="F59" s="483"/>
      <c r="G59" s="483"/>
      <c r="H59" s="483"/>
      <c r="I59" s="483"/>
      <c r="J59" s="483"/>
      <c r="K59" s="483"/>
      <c r="L59" s="483"/>
      <c r="M59" s="484"/>
      <c r="N59" s="485" t="s">
        <v>628</v>
      </c>
      <c r="O59" s="486"/>
      <c r="P59" s="486"/>
      <c r="Q59" s="486"/>
      <c r="R59" s="486"/>
      <c r="S59" s="486"/>
      <c r="T59" s="486"/>
      <c r="U59" s="486"/>
      <c r="V59" s="486"/>
      <c r="W59" s="486"/>
      <c r="X59" s="486"/>
      <c r="Y59" s="486"/>
      <c r="Z59" s="486"/>
      <c r="AA59" s="486"/>
      <c r="AB59" s="486"/>
      <c r="AC59" s="486"/>
      <c r="AD59" s="487"/>
    </row>
    <row r="60" spans="1:32" ht="27" customHeight="1">
      <c r="A60" s="488" t="s">
        <v>2</v>
      </c>
      <c r="B60" s="489"/>
      <c r="C60" s="292" t="s">
        <v>46</v>
      </c>
      <c r="D60" s="292" t="s">
        <v>47</v>
      </c>
      <c r="E60" s="292" t="s">
        <v>107</v>
      </c>
      <c r="F60" s="490" t="s">
        <v>106</v>
      </c>
      <c r="G60" s="491"/>
      <c r="H60" s="491"/>
      <c r="I60" s="491"/>
      <c r="J60" s="491"/>
      <c r="K60" s="491"/>
      <c r="L60" s="491"/>
      <c r="M60" s="492"/>
      <c r="N60" s="67" t="s">
        <v>110</v>
      </c>
      <c r="O60" s="292" t="s">
        <v>46</v>
      </c>
      <c r="P60" s="490" t="s">
        <v>47</v>
      </c>
      <c r="Q60" s="493"/>
      <c r="R60" s="490" t="s">
        <v>38</v>
      </c>
      <c r="S60" s="491"/>
      <c r="T60" s="491"/>
      <c r="U60" s="493"/>
      <c r="V60" s="490" t="s">
        <v>48</v>
      </c>
      <c r="W60" s="491"/>
      <c r="X60" s="491"/>
      <c r="Y60" s="491"/>
      <c r="Z60" s="491"/>
      <c r="AA60" s="491"/>
      <c r="AB60" s="491"/>
      <c r="AC60" s="491"/>
      <c r="AD60" s="492"/>
    </row>
    <row r="61" spans="1:32" ht="27" customHeight="1">
      <c r="A61" s="455" t="s">
        <v>116</v>
      </c>
      <c r="B61" s="456"/>
      <c r="C61" s="287" t="s">
        <v>155</v>
      </c>
      <c r="D61" s="287" t="s">
        <v>558</v>
      </c>
      <c r="E61" s="288" t="s">
        <v>620</v>
      </c>
      <c r="F61" s="457" t="s">
        <v>623</v>
      </c>
      <c r="G61" s="458"/>
      <c r="H61" s="458"/>
      <c r="I61" s="458"/>
      <c r="J61" s="458"/>
      <c r="K61" s="458"/>
      <c r="L61" s="458"/>
      <c r="M61" s="459"/>
      <c r="N61" s="291" t="s">
        <v>112</v>
      </c>
      <c r="O61" s="285" t="s">
        <v>207</v>
      </c>
      <c r="P61" s="472" t="s">
        <v>609</v>
      </c>
      <c r="Q61" s="473"/>
      <c r="R61" s="472" t="s">
        <v>629</v>
      </c>
      <c r="S61" s="474"/>
      <c r="T61" s="474"/>
      <c r="U61" s="473"/>
      <c r="V61" s="461" t="s">
        <v>187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116</v>
      </c>
      <c r="B62" s="456"/>
      <c r="C62" s="287" t="s">
        <v>155</v>
      </c>
      <c r="D62" s="287" t="s">
        <v>121</v>
      </c>
      <c r="E62" s="288" t="s">
        <v>507</v>
      </c>
      <c r="F62" s="457" t="s">
        <v>623</v>
      </c>
      <c r="G62" s="458"/>
      <c r="H62" s="458"/>
      <c r="I62" s="458"/>
      <c r="J62" s="458"/>
      <c r="K62" s="458"/>
      <c r="L62" s="458"/>
      <c r="M62" s="459"/>
      <c r="N62" s="297" t="s">
        <v>116</v>
      </c>
      <c r="O62" s="303" t="s">
        <v>225</v>
      </c>
      <c r="P62" s="472" t="s">
        <v>157</v>
      </c>
      <c r="Q62" s="473"/>
      <c r="R62" s="472" t="s">
        <v>587</v>
      </c>
      <c r="S62" s="474"/>
      <c r="T62" s="474"/>
      <c r="U62" s="473"/>
      <c r="V62" s="461" t="s">
        <v>144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112</v>
      </c>
      <c r="B63" s="456"/>
      <c r="C63" s="287" t="s">
        <v>207</v>
      </c>
      <c r="D63" s="287" t="s">
        <v>609</v>
      </c>
      <c r="E63" s="288" t="s">
        <v>610</v>
      </c>
      <c r="F63" s="457" t="s">
        <v>624</v>
      </c>
      <c r="G63" s="458"/>
      <c r="H63" s="458"/>
      <c r="I63" s="458"/>
      <c r="J63" s="458"/>
      <c r="K63" s="458"/>
      <c r="L63" s="458"/>
      <c r="M63" s="459"/>
      <c r="N63" s="297" t="s">
        <v>116</v>
      </c>
      <c r="O63" s="303" t="s">
        <v>164</v>
      </c>
      <c r="P63" s="472" t="s">
        <v>127</v>
      </c>
      <c r="Q63" s="473"/>
      <c r="R63" s="472" t="s">
        <v>569</v>
      </c>
      <c r="S63" s="474"/>
      <c r="T63" s="474"/>
      <c r="U63" s="473"/>
      <c r="V63" s="461" t="s">
        <v>144</v>
      </c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116</v>
      </c>
      <c r="B64" s="456"/>
      <c r="C64" s="296" t="s">
        <v>164</v>
      </c>
      <c r="D64" s="296" t="s">
        <v>127</v>
      </c>
      <c r="E64" s="298" t="s">
        <v>569</v>
      </c>
      <c r="F64" s="457" t="s">
        <v>625</v>
      </c>
      <c r="G64" s="458"/>
      <c r="H64" s="458"/>
      <c r="I64" s="458"/>
      <c r="J64" s="458"/>
      <c r="K64" s="458"/>
      <c r="L64" s="458"/>
      <c r="M64" s="459"/>
      <c r="N64" s="291" t="s">
        <v>112</v>
      </c>
      <c r="O64" s="285" t="s">
        <v>631</v>
      </c>
      <c r="P64" s="472" t="s">
        <v>632</v>
      </c>
      <c r="Q64" s="473"/>
      <c r="R64" s="472" t="s">
        <v>630</v>
      </c>
      <c r="S64" s="474"/>
      <c r="T64" s="474"/>
      <c r="U64" s="473"/>
      <c r="V64" s="461" t="s">
        <v>187</v>
      </c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 t="s">
        <v>112</v>
      </c>
      <c r="B65" s="456"/>
      <c r="C65" s="296" t="s">
        <v>259</v>
      </c>
      <c r="D65" s="296" t="s">
        <v>121</v>
      </c>
      <c r="E65" s="298" t="s">
        <v>303</v>
      </c>
      <c r="F65" s="457" t="s">
        <v>144</v>
      </c>
      <c r="G65" s="458"/>
      <c r="H65" s="458"/>
      <c r="I65" s="458"/>
      <c r="J65" s="458"/>
      <c r="K65" s="458"/>
      <c r="L65" s="458"/>
      <c r="M65" s="459"/>
      <c r="N65" s="291" t="s">
        <v>112</v>
      </c>
      <c r="O65" s="285" t="s">
        <v>634</v>
      </c>
      <c r="P65" s="472" t="s">
        <v>635</v>
      </c>
      <c r="Q65" s="473"/>
      <c r="R65" s="472" t="s">
        <v>633</v>
      </c>
      <c r="S65" s="474"/>
      <c r="T65" s="474"/>
      <c r="U65" s="473"/>
      <c r="V65" s="461" t="s">
        <v>187</v>
      </c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 t="s">
        <v>112</v>
      </c>
      <c r="B66" s="456"/>
      <c r="C66" s="287" t="s">
        <v>626</v>
      </c>
      <c r="D66" s="287" t="s">
        <v>121</v>
      </c>
      <c r="E66" s="288" t="s">
        <v>627</v>
      </c>
      <c r="F66" s="457" t="s">
        <v>144</v>
      </c>
      <c r="G66" s="458"/>
      <c r="H66" s="458"/>
      <c r="I66" s="458"/>
      <c r="J66" s="458"/>
      <c r="K66" s="458"/>
      <c r="L66" s="458"/>
      <c r="M66" s="459"/>
      <c r="N66" s="291"/>
      <c r="O66" s="285"/>
      <c r="P66" s="472"/>
      <c r="Q66" s="473"/>
      <c r="R66" s="472"/>
      <c r="S66" s="474"/>
      <c r="T66" s="474"/>
      <c r="U66" s="473"/>
      <c r="V66" s="461"/>
      <c r="W66" s="462"/>
      <c r="X66" s="462"/>
      <c r="Y66" s="462"/>
      <c r="Z66" s="462"/>
      <c r="AA66" s="462"/>
      <c r="AB66" s="462"/>
      <c r="AC66" s="462"/>
      <c r="AD66" s="463"/>
    </row>
    <row r="67" spans="1:32" ht="27" customHeight="1">
      <c r="A67" s="455"/>
      <c r="B67" s="456"/>
      <c r="C67" s="287"/>
      <c r="D67" s="287"/>
      <c r="E67" s="288"/>
      <c r="F67" s="457"/>
      <c r="G67" s="458"/>
      <c r="H67" s="458"/>
      <c r="I67" s="458"/>
      <c r="J67" s="458"/>
      <c r="K67" s="458"/>
      <c r="L67" s="458"/>
      <c r="M67" s="459"/>
      <c r="N67" s="291"/>
      <c r="O67" s="285"/>
      <c r="P67" s="472"/>
      <c r="Q67" s="473"/>
      <c r="R67" s="472"/>
      <c r="S67" s="474"/>
      <c r="T67" s="474"/>
      <c r="U67" s="473"/>
      <c r="V67" s="461"/>
      <c r="W67" s="462"/>
      <c r="X67" s="462"/>
      <c r="Y67" s="462"/>
      <c r="Z67" s="462"/>
      <c r="AA67" s="462"/>
      <c r="AB67" s="462"/>
      <c r="AC67" s="462"/>
      <c r="AD67" s="463"/>
    </row>
    <row r="68" spans="1:32" ht="27" customHeight="1">
      <c r="A68" s="455"/>
      <c r="B68" s="456"/>
      <c r="C68" s="287"/>
      <c r="D68" s="287"/>
      <c r="E68" s="288"/>
      <c r="F68" s="457"/>
      <c r="G68" s="458"/>
      <c r="H68" s="458"/>
      <c r="I68" s="458"/>
      <c r="J68" s="458"/>
      <c r="K68" s="458"/>
      <c r="L68" s="458"/>
      <c r="M68" s="459"/>
      <c r="N68" s="291"/>
      <c r="O68" s="285"/>
      <c r="P68" s="472"/>
      <c r="Q68" s="473"/>
      <c r="R68" s="472"/>
      <c r="S68" s="474"/>
      <c r="T68" s="474"/>
      <c r="U68" s="473"/>
      <c r="V68" s="461"/>
      <c r="W68" s="462"/>
      <c r="X68" s="462"/>
      <c r="Y68" s="462"/>
      <c r="Z68" s="462"/>
      <c r="AA68" s="462"/>
      <c r="AB68" s="462"/>
      <c r="AC68" s="462"/>
      <c r="AD68" s="463"/>
    </row>
    <row r="69" spans="1:32" ht="27" customHeight="1">
      <c r="A69" s="455"/>
      <c r="B69" s="456"/>
      <c r="C69" s="287"/>
      <c r="D69" s="287"/>
      <c r="E69" s="288"/>
      <c r="F69" s="457"/>
      <c r="G69" s="458"/>
      <c r="H69" s="458"/>
      <c r="I69" s="458"/>
      <c r="J69" s="458"/>
      <c r="K69" s="458"/>
      <c r="L69" s="458"/>
      <c r="M69" s="459"/>
      <c r="N69" s="291"/>
      <c r="O69" s="285"/>
      <c r="P69" s="460"/>
      <c r="Q69" s="460"/>
      <c r="R69" s="460"/>
      <c r="S69" s="460"/>
      <c r="T69" s="460"/>
      <c r="U69" s="460"/>
      <c r="V69" s="461"/>
      <c r="W69" s="462"/>
      <c r="X69" s="462"/>
      <c r="Y69" s="462"/>
      <c r="Z69" s="462"/>
      <c r="AA69" s="462"/>
      <c r="AB69" s="462"/>
      <c r="AC69" s="462"/>
      <c r="AD69" s="463"/>
      <c r="AF69" s="81">
        <f>8*3000</f>
        <v>24000</v>
      </c>
    </row>
    <row r="70" spans="1:32" ht="27" customHeight="1" thickBot="1">
      <c r="A70" s="464"/>
      <c r="B70" s="465"/>
      <c r="C70" s="289"/>
      <c r="D70" s="290"/>
      <c r="E70" s="289"/>
      <c r="F70" s="466"/>
      <c r="G70" s="467"/>
      <c r="H70" s="467"/>
      <c r="I70" s="467"/>
      <c r="J70" s="467"/>
      <c r="K70" s="467"/>
      <c r="L70" s="467"/>
      <c r="M70" s="468"/>
      <c r="N70" s="105"/>
      <c r="O70" s="97"/>
      <c r="P70" s="469"/>
      <c r="Q70" s="469"/>
      <c r="R70" s="469"/>
      <c r="S70" s="469"/>
      <c r="T70" s="469"/>
      <c r="U70" s="469"/>
      <c r="V70" s="470"/>
      <c r="W70" s="470"/>
      <c r="X70" s="470"/>
      <c r="Y70" s="470"/>
      <c r="Z70" s="470"/>
      <c r="AA70" s="470"/>
      <c r="AB70" s="470"/>
      <c r="AC70" s="470"/>
      <c r="AD70" s="471"/>
      <c r="AF70" s="81">
        <f>16*3000</f>
        <v>48000</v>
      </c>
    </row>
    <row r="71" spans="1:32" ht="27.75" thickBot="1">
      <c r="A71" s="453" t="s">
        <v>636</v>
      </c>
      <c r="B71" s="453"/>
      <c r="C71" s="453"/>
      <c r="D71" s="453"/>
      <c r="E71" s="45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81">
        <v>24000</v>
      </c>
    </row>
    <row r="72" spans="1:32" ht="29.25" customHeight="1" thickBot="1">
      <c r="A72" s="454" t="s">
        <v>111</v>
      </c>
      <c r="B72" s="451"/>
      <c r="C72" s="286" t="s">
        <v>2</v>
      </c>
      <c r="D72" s="286" t="s">
        <v>37</v>
      </c>
      <c r="E72" s="286" t="s">
        <v>3</v>
      </c>
      <c r="F72" s="451" t="s">
        <v>109</v>
      </c>
      <c r="G72" s="451"/>
      <c r="H72" s="451"/>
      <c r="I72" s="451"/>
      <c r="J72" s="451"/>
      <c r="K72" s="451" t="s">
        <v>39</v>
      </c>
      <c r="L72" s="451"/>
      <c r="M72" s="286" t="s">
        <v>40</v>
      </c>
      <c r="N72" s="451" t="s">
        <v>41</v>
      </c>
      <c r="O72" s="451"/>
      <c r="P72" s="448" t="s">
        <v>42</v>
      </c>
      <c r="Q72" s="450"/>
      <c r="R72" s="448" t="s">
        <v>43</v>
      </c>
      <c r="S72" s="449"/>
      <c r="T72" s="449"/>
      <c r="U72" s="449"/>
      <c r="V72" s="449"/>
      <c r="W72" s="449"/>
      <c r="X72" s="449"/>
      <c r="Y72" s="449"/>
      <c r="Z72" s="449"/>
      <c r="AA72" s="450"/>
      <c r="AB72" s="451" t="s">
        <v>44</v>
      </c>
      <c r="AC72" s="451"/>
      <c r="AD72" s="452"/>
      <c r="AF72" s="81">
        <f>SUM(AF69:AF71)</f>
        <v>96000</v>
      </c>
    </row>
    <row r="73" spans="1:32" ht="25.5" customHeight="1">
      <c r="A73" s="439">
        <v>1</v>
      </c>
      <c r="B73" s="440"/>
      <c r="C73" s="98" t="s">
        <v>126</v>
      </c>
      <c r="D73" s="281"/>
      <c r="E73" s="284" t="s">
        <v>127</v>
      </c>
      <c r="F73" s="441" t="s">
        <v>637</v>
      </c>
      <c r="G73" s="431"/>
      <c r="H73" s="431"/>
      <c r="I73" s="431"/>
      <c r="J73" s="431"/>
      <c r="K73" s="431" t="s">
        <v>638</v>
      </c>
      <c r="L73" s="431"/>
      <c r="M73" s="51" t="s">
        <v>154</v>
      </c>
      <c r="N73" s="442" t="s">
        <v>192</v>
      </c>
      <c r="O73" s="442"/>
      <c r="P73" s="443">
        <v>500</v>
      </c>
      <c r="Q73" s="443"/>
      <c r="R73" s="444" t="s">
        <v>639</v>
      </c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2</v>
      </c>
      <c r="B74" s="440"/>
      <c r="C74" s="98" t="s">
        <v>116</v>
      </c>
      <c r="D74" s="305"/>
      <c r="E74" s="302" t="s">
        <v>600</v>
      </c>
      <c r="F74" s="445" t="s">
        <v>601</v>
      </c>
      <c r="G74" s="446"/>
      <c r="H74" s="446"/>
      <c r="I74" s="446"/>
      <c r="J74" s="447"/>
      <c r="K74" s="431" t="s">
        <v>640</v>
      </c>
      <c r="L74" s="431"/>
      <c r="M74" s="51" t="s">
        <v>358</v>
      </c>
      <c r="N74" s="442" t="s">
        <v>615</v>
      </c>
      <c r="O74" s="442"/>
      <c r="P74" s="443">
        <v>400</v>
      </c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3</v>
      </c>
      <c r="B75" s="440"/>
      <c r="C75" s="98" t="s">
        <v>643</v>
      </c>
      <c r="D75" s="281"/>
      <c r="E75" s="284" t="s">
        <v>632</v>
      </c>
      <c r="F75" s="441" t="s">
        <v>641</v>
      </c>
      <c r="G75" s="431"/>
      <c r="H75" s="431"/>
      <c r="I75" s="431"/>
      <c r="J75" s="431"/>
      <c r="K75" s="431" t="s">
        <v>644</v>
      </c>
      <c r="L75" s="431"/>
      <c r="M75" s="51" t="s">
        <v>645</v>
      </c>
      <c r="N75" s="442" t="s">
        <v>631</v>
      </c>
      <c r="O75" s="442"/>
      <c r="P75" s="443">
        <v>50</v>
      </c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4</v>
      </c>
      <c r="B76" s="440"/>
      <c r="C76" s="98" t="s">
        <v>643</v>
      </c>
      <c r="D76" s="281"/>
      <c r="E76" s="284" t="s">
        <v>632</v>
      </c>
      <c r="F76" s="445" t="s">
        <v>642</v>
      </c>
      <c r="G76" s="446"/>
      <c r="H76" s="446"/>
      <c r="I76" s="446"/>
      <c r="J76" s="447"/>
      <c r="K76" s="431" t="s">
        <v>644</v>
      </c>
      <c r="L76" s="431"/>
      <c r="M76" s="51" t="s">
        <v>645</v>
      </c>
      <c r="N76" s="442" t="s">
        <v>631</v>
      </c>
      <c r="O76" s="442"/>
      <c r="P76" s="443">
        <v>50</v>
      </c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5</v>
      </c>
      <c r="B77" s="440"/>
      <c r="C77" s="98" t="s">
        <v>116</v>
      </c>
      <c r="D77" s="281"/>
      <c r="E77" s="284" t="s">
        <v>646</v>
      </c>
      <c r="F77" s="445" t="s">
        <v>620</v>
      </c>
      <c r="G77" s="446"/>
      <c r="H77" s="446"/>
      <c r="I77" s="446"/>
      <c r="J77" s="447"/>
      <c r="K77" s="431" t="s">
        <v>647</v>
      </c>
      <c r="L77" s="431"/>
      <c r="M77" s="51" t="s">
        <v>648</v>
      </c>
      <c r="N77" s="442" t="s">
        <v>631</v>
      </c>
      <c r="O77" s="442"/>
      <c r="P77" s="443">
        <v>100</v>
      </c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6</v>
      </c>
      <c r="B78" s="440"/>
      <c r="C78" s="98" t="s">
        <v>116</v>
      </c>
      <c r="D78" s="281"/>
      <c r="E78" s="284" t="s">
        <v>649</v>
      </c>
      <c r="F78" s="445" t="s">
        <v>507</v>
      </c>
      <c r="G78" s="446"/>
      <c r="H78" s="446"/>
      <c r="I78" s="446"/>
      <c r="J78" s="447"/>
      <c r="K78" s="431" t="s">
        <v>647</v>
      </c>
      <c r="L78" s="431"/>
      <c r="M78" s="51" t="s">
        <v>648</v>
      </c>
      <c r="N78" s="442" t="s">
        <v>631</v>
      </c>
      <c r="O78" s="442"/>
      <c r="P78" s="443">
        <v>50</v>
      </c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7</v>
      </c>
      <c r="B79" s="440"/>
      <c r="C79" s="98" t="s">
        <v>116</v>
      </c>
      <c r="D79" s="281"/>
      <c r="E79" s="284" t="s">
        <v>635</v>
      </c>
      <c r="F79" s="445" t="s">
        <v>650</v>
      </c>
      <c r="G79" s="446"/>
      <c r="H79" s="446"/>
      <c r="I79" s="446"/>
      <c r="J79" s="447"/>
      <c r="K79" s="431" t="s">
        <v>651</v>
      </c>
      <c r="L79" s="431"/>
      <c r="M79" s="51" t="s">
        <v>648</v>
      </c>
      <c r="N79" s="442" t="s">
        <v>652</v>
      </c>
      <c r="O79" s="442"/>
      <c r="P79" s="443">
        <v>100</v>
      </c>
      <c r="Q79" s="443"/>
      <c r="R79" s="444" t="s">
        <v>653</v>
      </c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5.5" customHeight="1">
      <c r="A80" s="439">
        <v>8</v>
      </c>
      <c r="B80" s="440"/>
      <c r="C80" s="98"/>
      <c r="D80" s="281"/>
      <c r="E80" s="284"/>
      <c r="F80" s="441"/>
      <c r="G80" s="431"/>
      <c r="H80" s="431"/>
      <c r="I80" s="431"/>
      <c r="J80" s="431"/>
      <c r="K80" s="431"/>
      <c r="L80" s="431"/>
      <c r="M80" s="51"/>
      <c r="N80" s="442"/>
      <c r="O80" s="442"/>
      <c r="P80" s="443"/>
      <c r="Q80" s="443"/>
      <c r="R80" s="444"/>
      <c r="S80" s="444"/>
      <c r="T80" s="444"/>
      <c r="U80" s="444"/>
      <c r="V80" s="444"/>
      <c r="W80" s="444"/>
      <c r="X80" s="444"/>
      <c r="Y80" s="444"/>
      <c r="Z80" s="444"/>
      <c r="AA80" s="444"/>
      <c r="AB80" s="431"/>
      <c r="AC80" s="431"/>
      <c r="AD80" s="432"/>
      <c r="AF80" s="50"/>
    </row>
    <row r="81" spans="1:32" ht="25.5" customHeight="1">
      <c r="A81" s="439">
        <v>9</v>
      </c>
      <c r="B81" s="440"/>
      <c r="C81" s="98"/>
      <c r="D81" s="281"/>
      <c r="E81" s="284"/>
      <c r="F81" s="441"/>
      <c r="G81" s="431"/>
      <c r="H81" s="431"/>
      <c r="I81" s="431"/>
      <c r="J81" s="431"/>
      <c r="K81" s="431"/>
      <c r="L81" s="431"/>
      <c r="M81" s="51"/>
      <c r="N81" s="442"/>
      <c r="O81" s="442"/>
      <c r="P81" s="443"/>
      <c r="Q81" s="443"/>
      <c r="R81" s="444"/>
      <c r="S81" s="444"/>
      <c r="T81" s="444"/>
      <c r="U81" s="444"/>
      <c r="V81" s="444"/>
      <c r="W81" s="444"/>
      <c r="X81" s="444"/>
      <c r="Y81" s="444"/>
      <c r="Z81" s="444"/>
      <c r="AA81" s="444"/>
      <c r="AB81" s="431"/>
      <c r="AC81" s="431"/>
      <c r="AD81" s="432"/>
      <c r="AF81" s="50"/>
    </row>
    <row r="82" spans="1:32" ht="25.5" customHeight="1">
      <c r="A82" s="439">
        <v>10</v>
      </c>
      <c r="B82" s="440"/>
      <c r="C82" s="98"/>
      <c r="D82" s="281"/>
      <c r="E82" s="284"/>
      <c r="F82" s="441"/>
      <c r="G82" s="431"/>
      <c r="H82" s="431"/>
      <c r="I82" s="431"/>
      <c r="J82" s="431"/>
      <c r="K82" s="431"/>
      <c r="L82" s="431"/>
      <c r="M82" s="51"/>
      <c r="N82" s="442"/>
      <c r="O82" s="442"/>
      <c r="P82" s="443"/>
      <c r="Q82" s="443"/>
      <c r="R82" s="444"/>
      <c r="S82" s="444"/>
      <c r="T82" s="444"/>
      <c r="U82" s="444"/>
      <c r="V82" s="444"/>
      <c r="W82" s="444"/>
      <c r="X82" s="444"/>
      <c r="Y82" s="444"/>
      <c r="Z82" s="444"/>
      <c r="AA82" s="444"/>
      <c r="AB82" s="431"/>
      <c r="AC82" s="431"/>
      <c r="AD82" s="432"/>
      <c r="AF82" s="50"/>
    </row>
    <row r="83" spans="1:32" ht="26.25" customHeight="1" thickBot="1">
      <c r="A83" s="411" t="s">
        <v>654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23.25" thickBot="1">
      <c r="A84" s="433" t="s">
        <v>111</v>
      </c>
      <c r="B84" s="434"/>
      <c r="C84" s="283" t="s">
        <v>2</v>
      </c>
      <c r="D84" s="283" t="s">
        <v>37</v>
      </c>
      <c r="E84" s="283" t="s">
        <v>120</v>
      </c>
      <c r="F84" s="413" t="s">
        <v>38</v>
      </c>
      <c r="G84" s="413"/>
      <c r="H84" s="413"/>
      <c r="I84" s="413"/>
      <c r="J84" s="413"/>
      <c r="K84" s="435" t="s">
        <v>58</v>
      </c>
      <c r="L84" s="436"/>
      <c r="M84" s="436"/>
      <c r="N84" s="436"/>
      <c r="O84" s="436"/>
      <c r="P84" s="436"/>
      <c r="Q84" s="436"/>
      <c r="R84" s="436"/>
      <c r="S84" s="437"/>
      <c r="T84" s="413" t="s">
        <v>49</v>
      </c>
      <c r="U84" s="413"/>
      <c r="V84" s="435" t="s">
        <v>50</v>
      </c>
      <c r="W84" s="437"/>
      <c r="X84" s="436" t="s">
        <v>51</v>
      </c>
      <c r="Y84" s="436"/>
      <c r="Z84" s="436"/>
      <c r="AA84" s="436"/>
      <c r="AB84" s="436"/>
      <c r="AC84" s="436"/>
      <c r="AD84" s="438"/>
      <c r="AF84" s="50"/>
    </row>
    <row r="85" spans="1:32" ht="33.75" customHeight="1">
      <c r="A85" s="405">
        <v>1</v>
      </c>
      <c r="B85" s="406"/>
      <c r="C85" s="282"/>
      <c r="D85" s="282"/>
      <c r="E85" s="65"/>
      <c r="F85" s="420"/>
      <c r="G85" s="421"/>
      <c r="H85" s="421"/>
      <c r="I85" s="421"/>
      <c r="J85" s="422"/>
      <c r="K85" s="423"/>
      <c r="L85" s="424"/>
      <c r="M85" s="424"/>
      <c r="N85" s="424"/>
      <c r="O85" s="424"/>
      <c r="P85" s="424"/>
      <c r="Q85" s="424"/>
      <c r="R85" s="424"/>
      <c r="S85" s="425"/>
      <c r="T85" s="426"/>
      <c r="U85" s="427"/>
      <c r="V85" s="428"/>
      <c r="W85" s="428"/>
      <c r="X85" s="429"/>
      <c r="Y85" s="429"/>
      <c r="Z85" s="429"/>
      <c r="AA85" s="429"/>
      <c r="AB85" s="429"/>
      <c r="AC85" s="429"/>
      <c r="AD85" s="430"/>
      <c r="AF85" s="50"/>
    </row>
    <row r="86" spans="1:32" ht="30" customHeight="1">
      <c r="A86" s="398">
        <f>A85+1</f>
        <v>2</v>
      </c>
      <c r="B86" s="399"/>
      <c r="C86" s="281"/>
      <c r="D86" s="281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ref="A87:A91" si="22">A86+1</f>
        <v>3</v>
      </c>
      <c r="B87" s="399"/>
      <c r="C87" s="281"/>
      <c r="D87" s="281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22"/>
        <v>4</v>
      </c>
      <c r="B88" s="399"/>
      <c r="C88" s="281"/>
      <c r="D88" s="281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0" customHeight="1">
      <c r="A89" s="398">
        <f t="shared" si="22"/>
        <v>5</v>
      </c>
      <c r="B89" s="399"/>
      <c r="C89" s="281"/>
      <c r="D89" s="281"/>
      <c r="E89" s="32"/>
      <c r="F89" s="399"/>
      <c r="G89" s="399"/>
      <c r="H89" s="399"/>
      <c r="I89" s="399"/>
      <c r="J89" s="399"/>
      <c r="K89" s="414"/>
      <c r="L89" s="415"/>
      <c r="M89" s="415"/>
      <c r="N89" s="415"/>
      <c r="O89" s="415"/>
      <c r="P89" s="415"/>
      <c r="Q89" s="415"/>
      <c r="R89" s="415"/>
      <c r="S89" s="416"/>
      <c r="T89" s="417"/>
      <c r="U89" s="417"/>
      <c r="V89" s="417"/>
      <c r="W89" s="417"/>
      <c r="X89" s="418"/>
      <c r="Y89" s="418"/>
      <c r="Z89" s="418"/>
      <c r="AA89" s="418"/>
      <c r="AB89" s="418"/>
      <c r="AC89" s="418"/>
      <c r="AD89" s="419"/>
      <c r="AF89" s="50"/>
    </row>
    <row r="90" spans="1:32" ht="30" customHeight="1">
      <c r="A90" s="398">
        <f t="shared" si="22"/>
        <v>6</v>
      </c>
      <c r="B90" s="399"/>
      <c r="C90" s="281"/>
      <c r="D90" s="281"/>
      <c r="E90" s="32"/>
      <c r="F90" s="399"/>
      <c r="G90" s="399"/>
      <c r="H90" s="399"/>
      <c r="I90" s="399"/>
      <c r="J90" s="399"/>
      <c r="K90" s="414"/>
      <c r="L90" s="415"/>
      <c r="M90" s="415"/>
      <c r="N90" s="415"/>
      <c r="O90" s="415"/>
      <c r="P90" s="415"/>
      <c r="Q90" s="415"/>
      <c r="R90" s="415"/>
      <c r="S90" s="416"/>
      <c r="T90" s="417"/>
      <c r="U90" s="417"/>
      <c r="V90" s="417"/>
      <c r="W90" s="417"/>
      <c r="X90" s="418"/>
      <c r="Y90" s="418"/>
      <c r="Z90" s="418"/>
      <c r="AA90" s="418"/>
      <c r="AB90" s="418"/>
      <c r="AC90" s="418"/>
      <c r="AD90" s="419"/>
      <c r="AF90" s="50"/>
    </row>
    <row r="91" spans="1:32" ht="30" customHeight="1">
      <c r="A91" s="398">
        <f t="shared" si="22"/>
        <v>7</v>
      </c>
      <c r="B91" s="399"/>
      <c r="C91" s="281"/>
      <c r="D91" s="281"/>
      <c r="E91" s="32"/>
      <c r="F91" s="399"/>
      <c r="G91" s="399"/>
      <c r="H91" s="399"/>
      <c r="I91" s="399"/>
      <c r="J91" s="399"/>
      <c r="K91" s="414"/>
      <c r="L91" s="415"/>
      <c r="M91" s="415"/>
      <c r="N91" s="415"/>
      <c r="O91" s="415"/>
      <c r="P91" s="415"/>
      <c r="Q91" s="415"/>
      <c r="R91" s="415"/>
      <c r="S91" s="416"/>
      <c r="T91" s="417"/>
      <c r="U91" s="417"/>
      <c r="V91" s="417"/>
      <c r="W91" s="417"/>
      <c r="X91" s="418"/>
      <c r="Y91" s="418"/>
      <c r="Z91" s="418"/>
      <c r="AA91" s="418"/>
      <c r="AB91" s="418"/>
      <c r="AC91" s="418"/>
      <c r="AD91" s="419"/>
      <c r="AF91" s="50"/>
    </row>
    <row r="92" spans="1:32" ht="36" thickBot="1">
      <c r="A92" s="411" t="s">
        <v>655</v>
      </c>
      <c r="B92" s="411"/>
      <c r="C92" s="411"/>
      <c r="D92" s="411"/>
      <c r="E92" s="411"/>
      <c r="F92" s="37"/>
      <c r="G92" s="37"/>
      <c r="H92" s="38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F92" s="50"/>
    </row>
    <row r="93" spans="1:32" ht="30.75" customHeight="1" thickBot="1">
      <c r="A93" s="412" t="s">
        <v>111</v>
      </c>
      <c r="B93" s="413"/>
      <c r="C93" s="403" t="s">
        <v>52</v>
      </c>
      <c r="D93" s="403"/>
      <c r="E93" s="403" t="s">
        <v>53</v>
      </c>
      <c r="F93" s="403"/>
      <c r="G93" s="403"/>
      <c r="H93" s="403"/>
      <c r="I93" s="403"/>
      <c r="J93" s="403"/>
      <c r="K93" s="403" t="s">
        <v>54</v>
      </c>
      <c r="L93" s="403"/>
      <c r="M93" s="403"/>
      <c r="N93" s="403"/>
      <c r="O93" s="403"/>
      <c r="P93" s="403"/>
      <c r="Q93" s="403"/>
      <c r="R93" s="403"/>
      <c r="S93" s="403"/>
      <c r="T93" s="403" t="s">
        <v>55</v>
      </c>
      <c r="U93" s="403"/>
      <c r="V93" s="403" t="s">
        <v>56</v>
      </c>
      <c r="W93" s="403"/>
      <c r="X93" s="403"/>
      <c r="Y93" s="403" t="s">
        <v>51</v>
      </c>
      <c r="Z93" s="403"/>
      <c r="AA93" s="403"/>
      <c r="AB93" s="403"/>
      <c r="AC93" s="403"/>
      <c r="AD93" s="404"/>
      <c r="AF93" s="50"/>
    </row>
    <row r="94" spans="1:32" ht="30.75" customHeight="1">
      <c r="A94" s="405">
        <v>1</v>
      </c>
      <c r="B94" s="406"/>
      <c r="C94" s="407"/>
      <c r="D94" s="407"/>
      <c r="E94" s="407"/>
      <c r="F94" s="407"/>
      <c r="G94" s="407"/>
      <c r="H94" s="407"/>
      <c r="I94" s="407"/>
      <c r="J94" s="407"/>
      <c r="K94" s="407"/>
      <c r="L94" s="407"/>
      <c r="M94" s="407"/>
      <c r="N94" s="407"/>
      <c r="O94" s="407"/>
      <c r="P94" s="407"/>
      <c r="Q94" s="407"/>
      <c r="R94" s="407"/>
      <c r="S94" s="407"/>
      <c r="T94" s="407"/>
      <c r="U94" s="407"/>
      <c r="V94" s="408"/>
      <c r="W94" s="408"/>
      <c r="X94" s="408"/>
      <c r="Y94" s="409"/>
      <c r="Z94" s="409"/>
      <c r="AA94" s="409"/>
      <c r="AB94" s="409"/>
      <c r="AC94" s="409"/>
      <c r="AD94" s="410"/>
      <c r="AF94" s="50"/>
    </row>
    <row r="95" spans="1:32" ht="30.75" customHeight="1">
      <c r="A95" s="398">
        <v>2</v>
      </c>
      <c r="B95" s="399"/>
      <c r="C95" s="400"/>
      <c r="D95" s="400"/>
      <c r="E95" s="400"/>
      <c r="F95" s="400"/>
      <c r="G95" s="400"/>
      <c r="H95" s="400"/>
      <c r="I95" s="400"/>
      <c r="J95" s="400"/>
      <c r="K95" s="400"/>
      <c r="L95" s="400"/>
      <c r="M95" s="400"/>
      <c r="N95" s="400"/>
      <c r="O95" s="400"/>
      <c r="P95" s="400"/>
      <c r="Q95" s="400"/>
      <c r="R95" s="400"/>
      <c r="S95" s="400"/>
      <c r="T95" s="401"/>
      <c r="U95" s="401"/>
      <c r="V95" s="402"/>
      <c r="W95" s="402"/>
      <c r="X95" s="402"/>
      <c r="Y95" s="390"/>
      <c r="Z95" s="390"/>
      <c r="AA95" s="390"/>
      <c r="AB95" s="390"/>
      <c r="AC95" s="390"/>
      <c r="AD95" s="391"/>
      <c r="AF95" s="50"/>
    </row>
    <row r="96" spans="1:32" ht="30.75" customHeight="1" thickBot="1">
      <c r="A96" s="392">
        <v>3</v>
      </c>
      <c r="B96" s="393"/>
      <c r="C96" s="394"/>
      <c r="D96" s="394"/>
      <c r="E96" s="394"/>
      <c r="F96" s="394"/>
      <c r="G96" s="394"/>
      <c r="H96" s="394"/>
      <c r="I96" s="394"/>
      <c r="J96" s="394"/>
      <c r="K96" s="394"/>
      <c r="L96" s="394"/>
      <c r="M96" s="394"/>
      <c r="N96" s="394"/>
      <c r="O96" s="394"/>
      <c r="P96" s="394"/>
      <c r="Q96" s="394"/>
      <c r="R96" s="394"/>
      <c r="S96" s="394"/>
      <c r="T96" s="394"/>
      <c r="U96" s="394"/>
      <c r="V96" s="395"/>
      <c r="W96" s="395"/>
      <c r="X96" s="395"/>
      <c r="Y96" s="396"/>
      <c r="Z96" s="396"/>
      <c r="AA96" s="396"/>
      <c r="AB96" s="396"/>
      <c r="AC96" s="396"/>
      <c r="AD96" s="397"/>
      <c r="AF96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1:H31"/>
    <mergeCell ref="A58:E58"/>
    <mergeCell ref="A59:M59"/>
    <mergeCell ref="N59:AD59"/>
    <mergeCell ref="A60:B60"/>
    <mergeCell ref="F60:M60"/>
    <mergeCell ref="P60:Q60"/>
    <mergeCell ref="R60:U60"/>
    <mergeCell ref="V60:AD60"/>
    <mergeCell ref="I4:O4"/>
    <mergeCell ref="P4:Q4"/>
    <mergeCell ref="R4:V4"/>
    <mergeCell ref="W4:AA4"/>
    <mergeCell ref="AB4:AB5"/>
    <mergeCell ref="AC4:AC5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R69:U69"/>
    <mergeCell ref="V69:AD69"/>
    <mergeCell ref="A70:B70"/>
    <mergeCell ref="F70:M70"/>
    <mergeCell ref="P70:Q70"/>
    <mergeCell ref="R70:U70"/>
    <mergeCell ref="V70:AD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71:E71"/>
    <mergeCell ref="A72:B72"/>
    <mergeCell ref="F72:J72"/>
    <mergeCell ref="K72:L72"/>
    <mergeCell ref="N72:O72"/>
    <mergeCell ref="P72:Q72"/>
    <mergeCell ref="A69:B69"/>
    <mergeCell ref="F69:M69"/>
    <mergeCell ref="P69:Q69"/>
    <mergeCell ref="R72:AA72"/>
    <mergeCell ref="AB72:AD72"/>
    <mergeCell ref="A73:B73"/>
    <mergeCell ref="F73:J73"/>
    <mergeCell ref="K73:L73"/>
    <mergeCell ref="N73:O73"/>
    <mergeCell ref="P73:Q73"/>
    <mergeCell ref="R73:AA73"/>
    <mergeCell ref="AB73:AD73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B81"/>
    <mergeCell ref="F81:J81"/>
    <mergeCell ref="K81:L81"/>
    <mergeCell ref="N81:O81"/>
    <mergeCell ref="P81:Q81"/>
    <mergeCell ref="R81:AA81"/>
    <mergeCell ref="AB81:AD81"/>
    <mergeCell ref="A80:B80"/>
    <mergeCell ref="F80:J80"/>
    <mergeCell ref="K80:L80"/>
    <mergeCell ref="N80:O80"/>
    <mergeCell ref="P80:Q80"/>
    <mergeCell ref="R80:AA80"/>
    <mergeCell ref="AB82:AD82"/>
    <mergeCell ref="A83:E83"/>
    <mergeCell ref="A84:B84"/>
    <mergeCell ref="F84:J84"/>
    <mergeCell ref="K84:S84"/>
    <mergeCell ref="T84:U84"/>
    <mergeCell ref="V84:W84"/>
    <mergeCell ref="X84:AD84"/>
    <mergeCell ref="A82:B82"/>
    <mergeCell ref="F82:J82"/>
    <mergeCell ref="K82:L82"/>
    <mergeCell ref="N82:O82"/>
    <mergeCell ref="P82:Q82"/>
    <mergeCell ref="R82:AA82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V91:W91"/>
    <mergeCell ref="X91:AD91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92:E92"/>
    <mergeCell ref="A93:B93"/>
    <mergeCell ref="C93:D93"/>
    <mergeCell ref="E93:J93"/>
    <mergeCell ref="K93:S93"/>
    <mergeCell ref="T93:U93"/>
    <mergeCell ref="A91:B91"/>
    <mergeCell ref="F91:J91"/>
    <mergeCell ref="K91:S91"/>
    <mergeCell ref="T91:U91"/>
    <mergeCell ref="V93:X93"/>
    <mergeCell ref="Y93:AD93"/>
    <mergeCell ref="A94:B94"/>
    <mergeCell ref="C94:D94"/>
    <mergeCell ref="E94:J94"/>
    <mergeCell ref="K94:S94"/>
    <mergeCell ref="T94:U94"/>
    <mergeCell ref="V94:X94"/>
    <mergeCell ref="Y94:AD94"/>
    <mergeCell ref="Y95:AD95"/>
    <mergeCell ref="A96:B96"/>
    <mergeCell ref="C96:D96"/>
    <mergeCell ref="E96:J96"/>
    <mergeCell ref="K96:S96"/>
    <mergeCell ref="T96:U96"/>
    <mergeCell ref="V96:X96"/>
    <mergeCell ref="Y96:AD96"/>
    <mergeCell ref="A95:B95"/>
    <mergeCell ref="C95:D95"/>
    <mergeCell ref="E95:J95"/>
    <mergeCell ref="K95:S95"/>
    <mergeCell ref="T95:U95"/>
    <mergeCell ref="V95:X9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6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0468-E716-4A7D-8478-796D71A715AE}">
  <sheetPr codeName="Sheet18">
    <pageSetUpPr fitToPage="1"/>
  </sheetPr>
  <dimension ref="A1:AF95"/>
  <sheetViews>
    <sheetView view="pageBreakPreview" zoomScale="70" zoomScaleNormal="72" zoomScaleSheetLayoutView="70" workbookViewId="0">
      <selection activeCell="A9" sqref="A9:XFD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656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294" t="s">
        <v>17</v>
      </c>
      <c r="L5" s="294" t="s">
        <v>18</v>
      </c>
      <c r="M5" s="294" t="s">
        <v>19</v>
      </c>
      <c r="N5" s="29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597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40000</v>
      </c>
      <c r="J6" s="14">
        <v>10796</v>
      </c>
      <c r="K6" s="15">
        <f>L6+10212+10998</f>
        <v>32006</v>
      </c>
      <c r="L6" s="15">
        <f>2629*2+2769*2</f>
        <v>10796</v>
      </c>
      <c r="M6" s="15">
        <f t="shared" ref="M6:M29" si="0">L6-N6</f>
        <v>10796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24</v>
      </c>
      <c r="Q6" s="40">
        <f t="shared" ref="Q6:Q29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1</v>
      </c>
      <c r="AD6" s="10">
        <f>AC6*AB6*(1-O6)</f>
        <v>1</v>
      </c>
      <c r="AE6" s="36">
        <f t="shared" ref="AE6:AE29" si="6">$AD$30</f>
        <v>0.56944444444444453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609</v>
      </c>
      <c r="E7" s="53" t="s">
        <v>629</v>
      </c>
      <c r="F7" s="30" t="s">
        <v>139</v>
      </c>
      <c r="G7" s="12">
        <v>1</v>
      </c>
      <c r="H7" s="13">
        <v>24</v>
      </c>
      <c r="I7" s="31">
        <v>2000</v>
      </c>
      <c r="J7" s="14">
        <v>4217</v>
      </c>
      <c r="K7" s="15">
        <f>L7</f>
        <v>4217</v>
      </c>
      <c r="L7" s="15">
        <f>1620+2597</f>
        <v>4217</v>
      </c>
      <c r="M7" s="15">
        <f t="shared" si="0"/>
        <v>4217</v>
      </c>
      <c r="N7" s="15">
        <v>0</v>
      </c>
      <c r="O7" s="58">
        <f t="shared" si="1"/>
        <v>0</v>
      </c>
      <c r="P7" s="39">
        <f t="shared" si="2"/>
        <v>22</v>
      </c>
      <c r="Q7" s="40">
        <f t="shared" si="3"/>
        <v>2</v>
      </c>
      <c r="R7" s="7"/>
      <c r="S7" s="6"/>
      <c r="T7" s="16">
        <v>2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0.91666666666666663</v>
      </c>
      <c r="AD7" s="10">
        <f t="shared" ref="AD7:AD29" si="8">AC7*AB7*(1-O7)</f>
        <v>0.91666666666666663</v>
      </c>
      <c r="AE7" s="36">
        <f t="shared" si="6"/>
        <v>0.56944444444444453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115</v>
      </c>
      <c r="E8" s="53" t="s">
        <v>630</v>
      </c>
      <c r="F8" s="30" t="s">
        <v>122</v>
      </c>
      <c r="G8" s="12">
        <v>4</v>
      </c>
      <c r="H8" s="13">
        <v>22</v>
      </c>
      <c r="I8" s="31">
        <v>20000</v>
      </c>
      <c r="J8" s="5">
        <v>20716</v>
      </c>
      <c r="K8" s="15">
        <f>L8</f>
        <v>20716</v>
      </c>
      <c r="L8" s="15">
        <f>2819*4+2360*4</f>
        <v>20716</v>
      </c>
      <c r="M8" s="15">
        <f t="shared" si="0"/>
        <v>20716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/>
      <c r="T8" s="16">
        <v>1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8"/>
        <v>0.95833333333333337</v>
      </c>
      <c r="AE8" s="36">
        <f t="shared" si="6"/>
        <v>0.56944444444444453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499</v>
      </c>
      <c r="E9" s="53" t="s">
        <v>523</v>
      </c>
      <c r="F9" s="30" t="s">
        <v>524</v>
      </c>
      <c r="G9" s="12" t="s">
        <v>302</v>
      </c>
      <c r="H9" s="13">
        <v>24</v>
      </c>
      <c r="I9" s="7">
        <v>20000</v>
      </c>
      <c r="J9" s="14">
        <v>4649</v>
      </c>
      <c r="K9" s="15">
        <f>L9+4212+561+4883+5069</f>
        <v>19374</v>
      </c>
      <c r="L9" s="15">
        <f>2623+2026</f>
        <v>4649</v>
      </c>
      <c r="M9" s="15">
        <f t="shared" si="0"/>
        <v>4649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0.56944444444444453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5682</v>
      </c>
      <c r="K10" s="15">
        <f>L10+5338+5669+5744+4980+3619+1932+309+2790+5660+4715+1739+3127+5884+1203+3638+5732+5658+5217+2430+1897+5596+5715+3707+799+2709+2266+5086+3381+4392</f>
        <v>116614</v>
      </c>
      <c r="L10" s="15">
        <f>2802+2880</f>
        <v>5682</v>
      </c>
      <c r="M10" s="15">
        <f t="shared" si="0"/>
        <v>5682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0.56944444444444453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121</v>
      </c>
      <c r="E11" s="53" t="s">
        <v>303</v>
      </c>
      <c r="F11" s="30" t="s">
        <v>235</v>
      </c>
      <c r="G11" s="33">
        <v>2</v>
      </c>
      <c r="H11" s="35">
        <v>24</v>
      </c>
      <c r="I11" s="7">
        <v>44000</v>
      </c>
      <c r="J11" s="14">
        <v>10744</v>
      </c>
      <c r="K11" s="15">
        <f>L11+7651+9096</f>
        <v>27491</v>
      </c>
      <c r="L11" s="15">
        <f>2701*2+2671*2</f>
        <v>10744</v>
      </c>
      <c r="M11" s="15">
        <f t="shared" si="0"/>
        <v>10744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0.56944444444444453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565</v>
      </c>
      <c r="F12" s="30" t="s">
        <v>205</v>
      </c>
      <c r="G12" s="12">
        <v>1</v>
      </c>
      <c r="H12" s="13">
        <v>22</v>
      </c>
      <c r="I12" s="31">
        <v>20000</v>
      </c>
      <c r="J12" s="5">
        <v>5015</v>
      </c>
      <c r="K12" s="15">
        <f>L12+3245+4808+4930</f>
        <v>17998</v>
      </c>
      <c r="L12" s="15">
        <f>2542+2473</f>
        <v>5015</v>
      </c>
      <c r="M12" s="15">
        <f t="shared" si="0"/>
        <v>5015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0.56944444444444453</v>
      </c>
      <c r="AF12" s="81">
        <f t="shared" si="7"/>
        <v>7</v>
      </c>
    </row>
    <row r="13" spans="1:32" ht="27" customHeight="1">
      <c r="A13" s="92">
        <v>8</v>
      </c>
      <c r="B13" s="11" t="s">
        <v>597</v>
      </c>
      <c r="C13" s="11" t="s">
        <v>112</v>
      </c>
      <c r="D13" s="52" t="s">
        <v>115</v>
      </c>
      <c r="E13" s="53" t="s">
        <v>657</v>
      </c>
      <c r="F13" s="30" t="s">
        <v>122</v>
      </c>
      <c r="G13" s="33">
        <v>1</v>
      </c>
      <c r="H13" s="35">
        <v>22</v>
      </c>
      <c r="I13" s="7">
        <v>3000</v>
      </c>
      <c r="J13" s="14">
        <v>4035</v>
      </c>
      <c r="K13" s="15">
        <f>L13</f>
        <v>4035</v>
      </c>
      <c r="L13" s="15">
        <f>2435+1600</f>
        <v>4035</v>
      </c>
      <c r="M13" s="15">
        <f t="shared" si="0"/>
        <v>4035</v>
      </c>
      <c r="N13" s="15">
        <v>0</v>
      </c>
      <c r="O13" s="58">
        <f t="shared" si="1"/>
        <v>0</v>
      </c>
      <c r="P13" s="39">
        <f t="shared" si="2"/>
        <v>22</v>
      </c>
      <c r="Q13" s="40">
        <f t="shared" si="3"/>
        <v>2</v>
      </c>
      <c r="R13" s="7"/>
      <c r="S13" s="6"/>
      <c r="T13" s="16">
        <v>2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0.91666666666666663</v>
      </c>
      <c r="AD13" s="10">
        <f t="shared" si="8"/>
        <v>0.91666666666666663</v>
      </c>
      <c r="AE13" s="36">
        <f t="shared" si="6"/>
        <v>0.56944444444444453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566</v>
      </c>
      <c r="F14" s="30" t="s">
        <v>139</v>
      </c>
      <c r="G14" s="33">
        <v>1</v>
      </c>
      <c r="H14" s="35">
        <v>50</v>
      </c>
      <c r="I14" s="7">
        <v>100</v>
      </c>
      <c r="J14" s="5">
        <v>100</v>
      </c>
      <c r="K14" s="15">
        <f>L14+100</f>
        <v>100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0.56944444444444453</v>
      </c>
      <c r="AF14" s="81">
        <f t="shared" si="7"/>
        <v>9</v>
      </c>
    </row>
    <row r="15" spans="1:32" ht="27" customHeight="1">
      <c r="A15" s="106">
        <v>10</v>
      </c>
      <c r="B15" s="11" t="s">
        <v>597</v>
      </c>
      <c r="C15" s="34" t="s">
        <v>112</v>
      </c>
      <c r="D15" s="52" t="s">
        <v>138</v>
      </c>
      <c r="E15" s="53" t="s">
        <v>599</v>
      </c>
      <c r="F15" s="30" t="s">
        <v>139</v>
      </c>
      <c r="G15" s="12">
        <v>2</v>
      </c>
      <c r="H15" s="13">
        <v>24</v>
      </c>
      <c r="I15" s="31">
        <v>74000</v>
      </c>
      <c r="J15" s="14">
        <v>12258</v>
      </c>
      <c r="K15" s="15">
        <f>L15+8206+11870</f>
        <v>32334</v>
      </c>
      <c r="L15" s="15">
        <f>3122*2+3007*2</f>
        <v>12258</v>
      </c>
      <c r="M15" s="15">
        <f t="shared" si="0"/>
        <v>12258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0.56944444444444453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234</v>
      </c>
      <c r="F16" s="30" t="s">
        <v>235</v>
      </c>
      <c r="G16" s="12">
        <v>2</v>
      </c>
      <c r="H16" s="13">
        <v>22</v>
      </c>
      <c r="I16" s="31">
        <v>72000</v>
      </c>
      <c r="J16" s="5">
        <v>9098</v>
      </c>
      <c r="K16" s="15">
        <f>L16+4453+8440+10782</f>
        <v>32773</v>
      </c>
      <c r="L16" s="15">
        <f>2814*2+1735*2</f>
        <v>9098</v>
      </c>
      <c r="M16" s="15">
        <f t="shared" si="0"/>
        <v>9098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0.56944444444444453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112</v>
      </c>
      <c r="D17" s="52" t="s">
        <v>138</v>
      </c>
      <c r="E17" s="53" t="s">
        <v>633</v>
      </c>
      <c r="F17" s="30" t="s">
        <v>137</v>
      </c>
      <c r="G17" s="12">
        <v>1</v>
      </c>
      <c r="H17" s="13">
        <v>24</v>
      </c>
      <c r="I17" s="7">
        <v>250</v>
      </c>
      <c r="J17" s="14">
        <v>327</v>
      </c>
      <c r="K17" s="15">
        <f>L17</f>
        <v>327</v>
      </c>
      <c r="L17" s="15">
        <f>327</f>
        <v>327</v>
      </c>
      <c r="M17" s="15">
        <f t="shared" si="0"/>
        <v>327</v>
      </c>
      <c r="N17" s="15">
        <v>0</v>
      </c>
      <c r="O17" s="58">
        <f t="shared" si="1"/>
        <v>0</v>
      </c>
      <c r="P17" s="39">
        <f t="shared" si="2"/>
        <v>3</v>
      </c>
      <c r="Q17" s="40">
        <f t="shared" si="3"/>
        <v>21</v>
      </c>
      <c r="R17" s="7"/>
      <c r="S17" s="6"/>
      <c r="T17" s="16"/>
      <c r="U17" s="16"/>
      <c r="V17" s="17"/>
      <c r="W17" s="5">
        <v>10</v>
      </c>
      <c r="X17" s="16"/>
      <c r="Y17" s="16"/>
      <c r="Z17" s="16"/>
      <c r="AA17" s="18">
        <v>11</v>
      </c>
      <c r="AB17" s="8">
        <f t="shared" si="4"/>
        <v>1</v>
      </c>
      <c r="AC17" s="9">
        <f t="shared" si="5"/>
        <v>0.125</v>
      </c>
      <c r="AD17" s="10">
        <f t="shared" si="8"/>
        <v>0.125</v>
      </c>
      <c r="AE17" s="36">
        <f t="shared" si="6"/>
        <v>0.56944444444444453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127</v>
      </c>
      <c r="E18" s="53" t="s">
        <v>569</v>
      </c>
      <c r="F18" s="30" t="s">
        <v>153</v>
      </c>
      <c r="G18" s="12">
        <v>1</v>
      </c>
      <c r="H18" s="13">
        <v>22</v>
      </c>
      <c r="I18" s="31">
        <v>20000</v>
      </c>
      <c r="J18" s="5">
        <v>4173</v>
      </c>
      <c r="K18" s="15">
        <f>L18+2984+4988+2374</f>
        <v>14519</v>
      </c>
      <c r="L18" s="15">
        <f>1444+2729</f>
        <v>4173</v>
      </c>
      <c r="M18" s="15">
        <f t="shared" si="0"/>
        <v>4173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8"/>
        <v>0.875</v>
      </c>
      <c r="AE18" s="36">
        <f t="shared" si="6"/>
        <v>0.56944444444444453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116</v>
      </c>
      <c r="D19" s="52" t="s">
        <v>157</v>
      </c>
      <c r="E19" s="53" t="s">
        <v>587</v>
      </c>
      <c r="F19" s="30" t="s">
        <v>158</v>
      </c>
      <c r="G19" s="33">
        <v>1</v>
      </c>
      <c r="H19" s="35">
        <v>24</v>
      </c>
      <c r="I19" s="7">
        <v>20000</v>
      </c>
      <c r="J19" s="14">
        <v>4287</v>
      </c>
      <c r="K19" s="15">
        <f>L19</f>
        <v>4287</v>
      </c>
      <c r="L19" s="15">
        <f>1945+2342</f>
        <v>4287</v>
      </c>
      <c r="M19" s="15">
        <f t="shared" si="0"/>
        <v>4287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0.875</v>
      </c>
      <c r="AD19" s="10">
        <f t="shared" si="8"/>
        <v>0.875</v>
      </c>
      <c r="AE19" s="36">
        <f t="shared" si="6"/>
        <v>0.56944444444444453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112</v>
      </c>
      <c r="D20" s="52" t="s">
        <v>115</v>
      </c>
      <c r="E20" s="53" t="s">
        <v>143</v>
      </c>
      <c r="F20" s="30" t="s">
        <v>136</v>
      </c>
      <c r="G20" s="33">
        <v>2</v>
      </c>
      <c r="H20" s="35">
        <v>24</v>
      </c>
      <c r="I20" s="7">
        <v>70000</v>
      </c>
      <c r="J20" s="14">
        <v>11156</v>
      </c>
      <c r="K20" s="15">
        <f>L20+3150+7466+4534+7764+11032</f>
        <v>45102</v>
      </c>
      <c r="L20" s="15">
        <f>2820*2+2758*2</f>
        <v>11156</v>
      </c>
      <c r="M20" s="15">
        <f t="shared" si="0"/>
        <v>11156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0.56944444444444453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146</v>
      </c>
      <c r="F21" s="12" t="s">
        <v>114</v>
      </c>
      <c r="G21" s="12">
        <v>3</v>
      </c>
      <c r="H21" s="35">
        <v>20</v>
      </c>
      <c r="I21" s="7">
        <v>2000000</v>
      </c>
      <c r="J21" s="14">
        <v>64736</v>
      </c>
      <c r="K21" s="15">
        <f>L21+57172+63944+63948+58884+57396+63564</f>
        <v>429644</v>
      </c>
      <c r="L21" s="15">
        <f>7998*4+8186*4</f>
        <v>64736</v>
      </c>
      <c r="M21" s="15">
        <f t="shared" si="0"/>
        <v>64736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0.56944444444444453</v>
      </c>
      <c r="AF21" s="81">
        <f t="shared" si="7"/>
        <v>16</v>
      </c>
    </row>
    <row r="22" spans="1:32" ht="26.25" customHeight="1">
      <c r="A22" s="307">
        <v>17</v>
      </c>
      <c r="B22" s="11" t="s">
        <v>57</v>
      </c>
      <c r="C22" s="11"/>
      <c r="D22" s="52"/>
      <c r="E22" s="53"/>
      <c r="F22" s="12"/>
      <c r="G22" s="12"/>
      <c r="H22" s="35"/>
      <c r="I22" s="7"/>
      <c r="J22" s="14"/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0.56944444444444453</v>
      </c>
      <c r="AF22" s="81">
        <f t="shared" si="7"/>
        <v>17</v>
      </c>
    </row>
    <row r="23" spans="1:32" ht="26.25" customHeight="1">
      <c r="A23" s="307">
        <v>18</v>
      </c>
      <c r="B23" s="11" t="s">
        <v>57</v>
      </c>
      <c r="C23" s="11" t="s">
        <v>116</v>
      </c>
      <c r="D23" s="52" t="s">
        <v>600</v>
      </c>
      <c r="E23" s="53" t="s">
        <v>601</v>
      </c>
      <c r="F23" s="12" t="s">
        <v>602</v>
      </c>
      <c r="G23" s="12">
        <v>4</v>
      </c>
      <c r="H23" s="35">
        <v>15</v>
      </c>
      <c r="I23" s="7">
        <v>6000</v>
      </c>
      <c r="J23" s="14"/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0.56944444444444453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149</v>
      </c>
      <c r="F24" s="12" t="s">
        <v>136</v>
      </c>
      <c r="G24" s="12">
        <v>4</v>
      </c>
      <c r="H24" s="35">
        <v>20</v>
      </c>
      <c r="I24" s="7">
        <v>70000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0.56944444444444453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/>
      <c r="D25" s="52"/>
      <c r="E25" s="53"/>
      <c r="F25" s="12"/>
      <c r="G25" s="12"/>
      <c r="H25" s="35">
        <v>20</v>
      </c>
      <c r="I25" s="7"/>
      <c r="J25" s="14">
        <v>0</v>
      </c>
      <c r="K25" s="15">
        <f t="shared" ref="K25" si="9">L25</f>
        <v>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 t="str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0.56944444444444453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142</v>
      </c>
      <c r="E26" s="53" t="s">
        <v>151</v>
      </c>
      <c r="F26" s="12" t="s">
        <v>123</v>
      </c>
      <c r="G26" s="12">
        <v>3</v>
      </c>
      <c r="H26" s="35">
        <v>20</v>
      </c>
      <c r="I26" s="7">
        <v>70000</v>
      </c>
      <c r="J26" s="14">
        <v>19983</v>
      </c>
      <c r="K26" s="15">
        <f>L26+22125+9744+18372+21786+19983</f>
        <v>92010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0</v>
      </c>
      <c r="R26" s="7"/>
      <c r="S26" s="6"/>
      <c r="T26" s="16"/>
      <c r="U26" s="16"/>
      <c r="V26" s="114"/>
      <c r="W26" s="5"/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0.56944444444444453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127</v>
      </c>
      <c r="E27" s="53" t="s">
        <v>148</v>
      </c>
      <c r="F27" s="12" t="s">
        <v>124</v>
      </c>
      <c r="G27" s="12">
        <v>3</v>
      </c>
      <c r="H27" s="35">
        <v>20</v>
      </c>
      <c r="I27" s="7">
        <v>70000</v>
      </c>
      <c r="J27" s="14">
        <v>18138</v>
      </c>
      <c r="K27" s="15">
        <f>L27+16448+27472+26896+18138</f>
        <v>88954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0.56944444444444453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125</v>
      </c>
      <c r="F28" s="12" t="s">
        <v>124</v>
      </c>
      <c r="G28" s="12">
        <v>4</v>
      </c>
      <c r="H28" s="35">
        <v>20</v>
      </c>
      <c r="I28" s="7">
        <v>50000</v>
      </c>
      <c r="J28" s="14">
        <v>26944</v>
      </c>
      <c r="K28" s="15">
        <f>L28+24592+26944+21716</f>
        <v>73252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0.56944444444444453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150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0.56944444444444453</v>
      </c>
      <c r="AF29" s="81">
        <f t="shared" si="7"/>
        <v>36</v>
      </c>
    </row>
    <row r="30" spans="1:32" ht="19.5" thickBot="1">
      <c r="A30" s="478" t="s">
        <v>34</v>
      </c>
      <c r="B30" s="479"/>
      <c r="C30" s="479"/>
      <c r="D30" s="479"/>
      <c r="E30" s="479"/>
      <c r="F30" s="479"/>
      <c r="G30" s="479"/>
      <c r="H30" s="480"/>
      <c r="I30" s="22">
        <f t="shared" ref="I30:N30" si="10">SUM(I6:I29)</f>
        <v>3786350</v>
      </c>
      <c r="J30" s="19">
        <f t="shared" si="10"/>
        <v>338682</v>
      </c>
      <c r="K30" s="20">
        <f t="shared" si="10"/>
        <v>1764297</v>
      </c>
      <c r="L30" s="21">
        <f t="shared" si="10"/>
        <v>171889</v>
      </c>
      <c r="M30" s="20">
        <f t="shared" si="10"/>
        <v>171889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328</v>
      </c>
      <c r="Q30" s="43">
        <f t="shared" si="11"/>
        <v>200</v>
      </c>
      <c r="R30" s="23">
        <f t="shared" si="11"/>
        <v>0</v>
      </c>
      <c r="S30" s="24">
        <f t="shared" si="11"/>
        <v>6</v>
      </c>
      <c r="T30" s="24">
        <f t="shared" si="11"/>
        <v>5</v>
      </c>
      <c r="U30" s="24">
        <f t="shared" si="11"/>
        <v>0</v>
      </c>
      <c r="V30" s="25">
        <f t="shared" si="11"/>
        <v>48</v>
      </c>
      <c r="W30" s="26">
        <f t="shared" si="11"/>
        <v>82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59</v>
      </c>
      <c r="AB30" s="28">
        <f>AVERAGE(AB6:AB29)</f>
        <v>0.7142857142857143</v>
      </c>
      <c r="AC30" s="4">
        <f>AVERAGE(AC6:AC29)</f>
        <v>0.56944444444444453</v>
      </c>
      <c r="AD30" s="4">
        <f>AVERAGE(AD6:AD29)</f>
        <v>0.56944444444444453</v>
      </c>
      <c r="AE30" s="29"/>
    </row>
    <row r="31" spans="1:32">
      <c r="T31" s="50" t="s">
        <v>128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 t="s">
        <v>129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27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29.25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1" t="s">
        <v>45</v>
      </c>
      <c r="B57" s="481"/>
      <c r="C57" s="481"/>
      <c r="D57" s="481"/>
      <c r="E57" s="481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82" t="s">
        <v>658</v>
      </c>
      <c r="B58" s="483"/>
      <c r="C58" s="483"/>
      <c r="D58" s="483"/>
      <c r="E58" s="483"/>
      <c r="F58" s="483"/>
      <c r="G58" s="483"/>
      <c r="H58" s="483"/>
      <c r="I58" s="483"/>
      <c r="J58" s="483"/>
      <c r="K58" s="483"/>
      <c r="L58" s="483"/>
      <c r="M58" s="484"/>
      <c r="N58" s="485" t="s">
        <v>662</v>
      </c>
      <c r="O58" s="486"/>
      <c r="P58" s="486"/>
      <c r="Q58" s="486"/>
      <c r="R58" s="486"/>
      <c r="S58" s="486"/>
      <c r="T58" s="486"/>
      <c r="U58" s="486"/>
      <c r="V58" s="486"/>
      <c r="W58" s="486"/>
      <c r="X58" s="486"/>
      <c r="Y58" s="486"/>
      <c r="Z58" s="486"/>
      <c r="AA58" s="486"/>
      <c r="AB58" s="486"/>
      <c r="AC58" s="486"/>
      <c r="AD58" s="487"/>
    </row>
    <row r="59" spans="1:32" ht="27" customHeight="1">
      <c r="A59" s="488" t="s">
        <v>2</v>
      </c>
      <c r="B59" s="489"/>
      <c r="C59" s="295" t="s">
        <v>46</v>
      </c>
      <c r="D59" s="295" t="s">
        <v>47</v>
      </c>
      <c r="E59" s="295" t="s">
        <v>107</v>
      </c>
      <c r="F59" s="490" t="s">
        <v>106</v>
      </c>
      <c r="G59" s="491"/>
      <c r="H59" s="491"/>
      <c r="I59" s="491"/>
      <c r="J59" s="491"/>
      <c r="K59" s="491"/>
      <c r="L59" s="491"/>
      <c r="M59" s="492"/>
      <c r="N59" s="67" t="s">
        <v>110</v>
      </c>
      <c r="O59" s="295" t="s">
        <v>46</v>
      </c>
      <c r="P59" s="490" t="s">
        <v>47</v>
      </c>
      <c r="Q59" s="493"/>
      <c r="R59" s="490" t="s">
        <v>38</v>
      </c>
      <c r="S59" s="491"/>
      <c r="T59" s="491"/>
      <c r="U59" s="493"/>
      <c r="V59" s="490" t="s">
        <v>48</v>
      </c>
      <c r="W59" s="491"/>
      <c r="X59" s="491"/>
      <c r="Y59" s="491"/>
      <c r="Z59" s="491"/>
      <c r="AA59" s="491"/>
      <c r="AB59" s="491"/>
      <c r="AC59" s="491"/>
      <c r="AD59" s="492"/>
    </row>
    <row r="60" spans="1:32" ht="27" customHeight="1">
      <c r="A60" s="455" t="s">
        <v>112</v>
      </c>
      <c r="B60" s="456"/>
      <c r="C60" s="296" t="s">
        <v>207</v>
      </c>
      <c r="D60" s="296" t="s">
        <v>609</v>
      </c>
      <c r="E60" s="298" t="s">
        <v>629</v>
      </c>
      <c r="F60" s="457" t="s">
        <v>187</v>
      </c>
      <c r="G60" s="458"/>
      <c r="H60" s="458"/>
      <c r="I60" s="458"/>
      <c r="J60" s="458"/>
      <c r="K60" s="458"/>
      <c r="L60" s="458"/>
      <c r="M60" s="459"/>
      <c r="N60" s="297" t="s">
        <v>112</v>
      </c>
      <c r="O60" s="303" t="s">
        <v>207</v>
      </c>
      <c r="P60" s="472" t="s">
        <v>138</v>
      </c>
      <c r="Q60" s="473"/>
      <c r="R60" s="472" t="s">
        <v>663</v>
      </c>
      <c r="S60" s="474"/>
      <c r="T60" s="474"/>
      <c r="U60" s="473"/>
      <c r="V60" s="461" t="s">
        <v>187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112</v>
      </c>
      <c r="B61" s="456"/>
      <c r="C61" s="296" t="s">
        <v>155</v>
      </c>
      <c r="D61" s="296" t="s">
        <v>115</v>
      </c>
      <c r="E61" s="298" t="s">
        <v>630</v>
      </c>
      <c r="F61" s="457" t="s">
        <v>187</v>
      </c>
      <c r="G61" s="458"/>
      <c r="H61" s="458"/>
      <c r="I61" s="458"/>
      <c r="J61" s="458"/>
      <c r="K61" s="458"/>
      <c r="L61" s="458"/>
      <c r="M61" s="459"/>
      <c r="N61" s="297" t="s">
        <v>126</v>
      </c>
      <c r="O61" s="303" t="s">
        <v>155</v>
      </c>
      <c r="P61" s="472" t="s">
        <v>115</v>
      </c>
      <c r="Q61" s="473"/>
      <c r="R61" s="472" t="s">
        <v>664</v>
      </c>
      <c r="S61" s="474"/>
      <c r="T61" s="474"/>
      <c r="U61" s="473"/>
      <c r="V61" s="461" t="s">
        <v>187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112</v>
      </c>
      <c r="B62" s="456"/>
      <c r="C62" s="296" t="s">
        <v>315</v>
      </c>
      <c r="D62" s="296" t="s">
        <v>115</v>
      </c>
      <c r="E62" s="298" t="s">
        <v>657</v>
      </c>
      <c r="F62" s="457" t="s">
        <v>659</v>
      </c>
      <c r="G62" s="458"/>
      <c r="H62" s="458"/>
      <c r="I62" s="458"/>
      <c r="J62" s="458"/>
      <c r="K62" s="458"/>
      <c r="L62" s="458"/>
      <c r="M62" s="459"/>
      <c r="N62" s="297" t="s">
        <v>126</v>
      </c>
      <c r="O62" s="303" t="s">
        <v>665</v>
      </c>
      <c r="P62" s="472"/>
      <c r="Q62" s="473"/>
      <c r="R62" s="472" t="s">
        <v>666</v>
      </c>
      <c r="S62" s="474"/>
      <c r="T62" s="474"/>
      <c r="U62" s="473"/>
      <c r="V62" s="461" t="s">
        <v>187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116</v>
      </c>
      <c r="B63" s="456"/>
      <c r="C63" s="296" t="s">
        <v>164</v>
      </c>
      <c r="D63" s="296" t="s">
        <v>127</v>
      </c>
      <c r="E63" s="298" t="s">
        <v>569</v>
      </c>
      <c r="F63" s="457" t="s">
        <v>144</v>
      </c>
      <c r="G63" s="458"/>
      <c r="H63" s="458"/>
      <c r="I63" s="458"/>
      <c r="J63" s="458"/>
      <c r="K63" s="458"/>
      <c r="L63" s="458"/>
      <c r="M63" s="459"/>
      <c r="N63" s="297" t="s">
        <v>668</v>
      </c>
      <c r="O63" s="303" t="s">
        <v>669</v>
      </c>
      <c r="P63" s="472"/>
      <c r="Q63" s="473"/>
      <c r="R63" s="472" t="s">
        <v>667</v>
      </c>
      <c r="S63" s="474"/>
      <c r="T63" s="474"/>
      <c r="U63" s="473"/>
      <c r="V63" s="461" t="s">
        <v>187</v>
      </c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116</v>
      </c>
      <c r="B64" s="456"/>
      <c r="C64" s="296" t="s">
        <v>660</v>
      </c>
      <c r="D64" s="296" t="s">
        <v>661</v>
      </c>
      <c r="E64" s="315" t="s">
        <v>587</v>
      </c>
      <c r="F64" s="457" t="s">
        <v>401</v>
      </c>
      <c r="G64" s="458"/>
      <c r="H64" s="458"/>
      <c r="I64" s="458"/>
      <c r="J64" s="458"/>
      <c r="K64" s="458"/>
      <c r="L64" s="458"/>
      <c r="M64" s="459"/>
      <c r="N64" s="297"/>
      <c r="O64" s="303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/>
      <c r="B65" s="456"/>
      <c r="C65" s="296"/>
      <c r="D65" s="296"/>
      <c r="E65" s="298"/>
      <c r="F65" s="457"/>
      <c r="G65" s="458"/>
      <c r="H65" s="458"/>
      <c r="I65" s="458"/>
      <c r="J65" s="458"/>
      <c r="K65" s="458"/>
      <c r="L65" s="458"/>
      <c r="M65" s="459"/>
      <c r="N65" s="297"/>
      <c r="O65" s="303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296"/>
      <c r="D66" s="296"/>
      <c r="E66" s="298"/>
      <c r="F66" s="457"/>
      <c r="G66" s="458"/>
      <c r="H66" s="458"/>
      <c r="I66" s="458"/>
      <c r="J66" s="458"/>
      <c r="K66" s="458"/>
      <c r="L66" s="458"/>
      <c r="M66" s="459"/>
      <c r="N66" s="297"/>
      <c r="O66" s="303"/>
      <c r="P66" s="472"/>
      <c r="Q66" s="473"/>
      <c r="R66" s="472"/>
      <c r="S66" s="474"/>
      <c r="T66" s="474"/>
      <c r="U66" s="473"/>
      <c r="V66" s="461"/>
      <c r="W66" s="462"/>
      <c r="X66" s="462"/>
      <c r="Y66" s="462"/>
      <c r="Z66" s="462"/>
      <c r="AA66" s="462"/>
      <c r="AB66" s="462"/>
      <c r="AC66" s="462"/>
      <c r="AD66" s="463"/>
    </row>
    <row r="67" spans="1:32" ht="27" customHeight="1">
      <c r="A67" s="455"/>
      <c r="B67" s="456"/>
      <c r="C67" s="296"/>
      <c r="D67" s="296"/>
      <c r="E67" s="298"/>
      <c r="F67" s="457"/>
      <c r="G67" s="458"/>
      <c r="H67" s="458"/>
      <c r="I67" s="458"/>
      <c r="J67" s="458"/>
      <c r="K67" s="458"/>
      <c r="L67" s="458"/>
      <c r="M67" s="459"/>
      <c r="N67" s="297"/>
      <c r="O67" s="303"/>
      <c r="P67" s="472"/>
      <c r="Q67" s="473"/>
      <c r="R67" s="472"/>
      <c r="S67" s="474"/>
      <c r="T67" s="474"/>
      <c r="U67" s="473"/>
      <c r="V67" s="461"/>
      <c r="W67" s="462"/>
      <c r="X67" s="462"/>
      <c r="Y67" s="462"/>
      <c r="Z67" s="462"/>
      <c r="AA67" s="462"/>
      <c r="AB67" s="462"/>
      <c r="AC67" s="462"/>
      <c r="AD67" s="463"/>
    </row>
    <row r="68" spans="1:32" ht="27" customHeight="1">
      <c r="A68" s="455"/>
      <c r="B68" s="456"/>
      <c r="C68" s="296"/>
      <c r="D68" s="296"/>
      <c r="E68" s="298"/>
      <c r="F68" s="457"/>
      <c r="G68" s="458"/>
      <c r="H68" s="458"/>
      <c r="I68" s="458"/>
      <c r="J68" s="458"/>
      <c r="K68" s="458"/>
      <c r="L68" s="458"/>
      <c r="M68" s="459"/>
      <c r="N68" s="297"/>
      <c r="O68" s="303"/>
      <c r="P68" s="460"/>
      <c r="Q68" s="460"/>
      <c r="R68" s="460"/>
      <c r="S68" s="460"/>
      <c r="T68" s="460"/>
      <c r="U68" s="460"/>
      <c r="V68" s="461"/>
      <c r="W68" s="462"/>
      <c r="X68" s="462"/>
      <c r="Y68" s="462"/>
      <c r="Z68" s="462"/>
      <c r="AA68" s="462"/>
      <c r="AB68" s="462"/>
      <c r="AC68" s="462"/>
      <c r="AD68" s="463"/>
      <c r="AF68" s="81">
        <f>8*3000</f>
        <v>24000</v>
      </c>
    </row>
    <row r="69" spans="1:32" ht="27" customHeight="1" thickBot="1">
      <c r="A69" s="464"/>
      <c r="B69" s="465"/>
      <c r="C69" s="299"/>
      <c r="D69" s="300"/>
      <c r="E69" s="299"/>
      <c r="F69" s="466"/>
      <c r="G69" s="467"/>
      <c r="H69" s="467"/>
      <c r="I69" s="467"/>
      <c r="J69" s="467"/>
      <c r="K69" s="467"/>
      <c r="L69" s="467"/>
      <c r="M69" s="468"/>
      <c r="N69" s="105"/>
      <c r="O69" s="97"/>
      <c r="P69" s="469"/>
      <c r="Q69" s="469"/>
      <c r="R69" s="469"/>
      <c r="S69" s="469"/>
      <c r="T69" s="469"/>
      <c r="U69" s="469"/>
      <c r="V69" s="470"/>
      <c r="W69" s="470"/>
      <c r="X69" s="470"/>
      <c r="Y69" s="470"/>
      <c r="Z69" s="470"/>
      <c r="AA69" s="470"/>
      <c r="AB69" s="470"/>
      <c r="AC69" s="470"/>
      <c r="AD69" s="471"/>
      <c r="AF69" s="81">
        <f>16*3000</f>
        <v>48000</v>
      </c>
    </row>
    <row r="70" spans="1:32" ht="27.75" thickBot="1">
      <c r="A70" s="453" t="s">
        <v>670</v>
      </c>
      <c r="B70" s="453"/>
      <c r="C70" s="453"/>
      <c r="D70" s="453"/>
      <c r="E70" s="453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54" t="s">
        <v>111</v>
      </c>
      <c r="B71" s="451"/>
      <c r="C71" s="301" t="s">
        <v>2</v>
      </c>
      <c r="D71" s="301" t="s">
        <v>37</v>
      </c>
      <c r="E71" s="301" t="s">
        <v>3</v>
      </c>
      <c r="F71" s="451" t="s">
        <v>109</v>
      </c>
      <c r="G71" s="451"/>
      <c r="H71" s="451"/>
      <c r="I71" s="451"/>
      <c r="J71" s="451"/>
      <c r="K71" s="451" t="s">
        <v>39</v>
      </c>
      <c r="L71" s="451"/>
      <c r="M71" s="301" t="s">
        <v>40</v>
      </c>
      <c r="N71" s="451" t="s">
        <v>41</v>
      </c>
      <c r="O71" s="451"/>
      <c r="P71" s="448" t="s">
        <v>42</v>
      </c>
      <c r="Q71" s="450"/>
      <c r="R71" s="448" t="s">
        <v>43</v>
      </c>
      <c r="S71" s="449"/>
      <c r="T71" s="449"/>
      <c r="U71" s="449"/>
      <c r="V71" s="449"/>
      <c r="W71" s="449"/>
      <c r="X71" s="449"/>
      <c r="Y71" s="449"/>
      <c r="Z71" s="449"/>
      <c r="AA71" s="450"/>
      <c r="AB71" s="451" t="s">
        <v>44</v>
      </c>
      <c r="AC71" s="451"/>
      <c r="AD71" s="452"/>
      <c r="AF71" s="81">
        <f>SUM(AF68:AF70)</f>
        <v>96000</v>
      </c>
    </row>
    <row r="72" spans="1:32" ht="25.5" customHeight="1">
      <c r="A72" s="439">
        <v>1</v>
      </c>
      <c r="B72" s="440"/>
      <c r="C72" s="98" t="s">
        <v>126</v>
      </c>
      <c r="D72" s="305"/>
      <c r="E72" s="302" t="s">
        <v>127</v>
      </c>
      <c r="F72" s="441" t="s">
        <v>671</v>
      </c>
      <c r="G72" s="431"/>
      <c r="H72" s="431"/>
      <c r="I72" s="431"/>
      <c r="J72" s="431"/>
      <c r="K72" s="431" t="s">
        <v>638</v>
      </c>
      <c r="L72" s="431"/>
      <c r="M72" s="51" t="s">
        <v>154</v>
      </c>
      <c r="N72" s="442" t="s">
        <v>192</v>
      </c>
      <c r="O72" s="442"/>
      <c r="P72" s="443">
        <v>500</v>
      </c>
      <c r="Q72" s="443"/>
      <c r="R72" s="444" t="s">
        <v>639</v>
      </c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2</v>
      </c>
      <c r="B73" s="440"/>
      <c r="C73" s="98" t="s">
        <v>673</v>
      </c>
      <c r="D73" s="305"/>
      <c r="E73" s="302" t="s">
        <v>674</v>
      </c>
      <c r="F73" s="445" t="s">
        <v>672</v>
      </c>
      <c r="G73" s="446"/>
      <c r="H73" s="446"/>
      <c r="I73" s="446"/>
      <c r="J73" s="447"/>
      <c r="K73" s="431" t="s">
        <v>675</v>
      </c>
      <c r="L73" s="431"/>
      <c r="M73" s="51" t="s">
        <v>154</v>
      </c>
      <c r="N73" s="442" t="s">
        <v>315</v>
      </c>
      <c r="O73" s="442"/>
      <c r="P73" s="443">
        <v>50</v>
      </c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3</v>
      </c>
      <c r="B74" s="440"/>
      <c r="C74" s="98"/>
      <c r="D74" s="305"/>
      <c r="E74" s="302"/>
      <c r="F74" s="441"/>
      <c r="G74" s="431"/>
      <c r="H74" s="431"/>
      <c r="I74" s="431"/>
      <c r="J74" s="431"/>
      <c r="K74" s="431"/>
      <c r="L74" s="431"/>
      <c r="M74" s="51"/>
      <c r="N74" s="442"/>
      <c r="O74" s="442"/>
      <c r="P74" s="443"/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4</v>
      </c>
      <c r="B75" s="440"/>
      <c r="C75" s="98"/>
      <c r="D75" s="305"/>
      <c r="E75" s="302"/>
      <c r="F75" s="445"/>
      <c r="G75" s="446"/>
      <c r="H75" s="446"/>
      <c r="I75" s="446"/>
      <c r="J75" s="447"/>
      <c r="K75" s="431"/>
      <c r="L75" s="431"/>
      <c r="M75" s="51"/>
      <c r="N75" s="442"/>
      <c r="O75" s="442"/>
      <c r="P75" s="443"/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5</v>
      </c>
      <c r="B76" s="440"/>
      <c r="C76" s="98"/>
      <c r="D76" s="305"/>
      <c r="E76" s="302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6</v>
      </c>
      <c r="B77" s="440"/>
      <c r="C77" s="98"/>
      <c r="D77" s="305"/>
      <c r="E77" s="302"/>
      <c r="F77" s="445"/>
      <c r="G77" s="446"/>
      <c r="H77" s="446"/>
      <c r="I77" s="446"/>
      <c r="J77" s="447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7</v>
      </c>
      <c r="B78" s="440"/>
      <c r="C78" s="98"/>
      <c r="D78" s="305"/>
      <c r="E78" s="302"/>
      <c r="F78" s="445"/>
      <c r="G78" s="446"/>
      <c r="H78" s="446"/>
      <c r="I78" s="446"/>
      <c r="J78" s="447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8</v>
      </c>
      <c r="B79" s="440"/>
      <c r="C79" s="98"/>
      <c r="D79" s="305"/>
      <c r="E79" s="302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5.5" customHeight="1">
      <c r="A80" s="439">
        <v>9</v>
      </c>
      <c r="B80" s="440"/>
      <c r="C80" s="98"/>
      <c r="D80" s="305"/>
      <c r="E80" s="302"/>
      <c r="F80" s="441"/>
      <c r="G80" s="431"/>
      <c r="H80" s="431"/>
      <c r="I80" s="431"/>
      <c r="J80" s="431"/>
      <c r="K80" s="431"/>
      <c r="L80" s="431"/>
      <c r="M80" s="51"/>
      <c r="N80" s="442"/>
      <c r="O80" s="442"/>
      <c r="P80" s="443"/>
      <c r="Q80" s="443"/>
      <c r="R80" s="444"/>
      <c r="S80" s="444"/>
      <c r="T80" s="444"/>
      <c r="U80" s="444"/>
      <c r="V80" s="444"/>
      <c r="W80" s="444"/>
      <c r="X80" s="444"/>
      <c r="Y80" s="444"/>
      <c r="Z80" s="444"/>
      <c r="AA80" s="444"/>
      <c r="AB80" s="431"/>
      <c r="AC80" s="431"/>
      <c r="AD80" s="432"/>
      <c r="AF80" s="50"/>
    </row>
    <row r="81" spans="1:32" ht="25.5" customHeight="1">
      <c r="A81" s="439">
        <v>10</v>
      </c>
      <c r="B81" s="440"/>
      <c r="C81" s="98"/>
      <c r="D81" s="305"/>
      <c r="E81" s="302"/>
      <c r="F81" s="441"/>
      <c r="G81" s="431"/>
      <c r="H81" s="431"/>
      <c r="I81" s="431"/>
      <c r="J81" s="431"/>
      <c r="K81" s="431"/>
      <c r="L81" s="431"/>
      <c r="M81" s="51"/>
      <c r="N81" s="442"/>
      <c r="O81" s="442"/>
      <c r="P81" s="443"/>
      <c r="Q81" s="443"/>
      <c r="R81" s="444"/>
      <c r="S81" s="444"/>
      <c r="T81" s="444"/>
      <c r="U81" s="444"/>
      <c r="V81" s="444"/>
      <c r="W81" s="444"/>
      <c r="X81" s="444"/>
      <c r="Y81" s="444"/>
      <c r="Z81" s="444"/>
      <c r="AA81" s="444"/>
      <c r="AB81" s="431"/>
      <c r="AC81" s="431"/>
      <c r="AD81" s="432"/>
      <c r="AF81" s="50"/>
    </row>
    <row r="82" spans="1:32" ht="26.25" customHeight="1" thickBot="1">
      <c r="A82" s="411" t="s">
        <v>676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33" t="s">
        <v>111</v>
      </c>
      <c r="B83" s="434"/>
      <c r="C83" s="304" t="s">
        <v>2</v>
      </c>
      <c r="D83" s="304" t="s">
        <v>37</v>
      </c>
      <c r="E83" s="304" t="s">
        <v>120</v>
      </c>
      <c r="F83" s="413" t="s">
        <v>38</v>
      </c>
      <c r="G83" s="413"/>
      <c r="H83" s="413"/>
      <c r="I83" s="413"/>
      <c r="J83" s="413"/>
      <c r="K83" s="435" t="s">
        <v>58</v>
      </c>
      <c r="L83" s="436"/>
      <c r="M83" s="436"/>
      <c r="N83" s="436"/>
      <c r="O83" s="436"/>
      <c r="P83" s="436"/>
      <c r="Q83" s="436"/>
      <c r="R83" s="436"/>
      <c r="S83" s="437"/>
      <c r="T83" s="413" t="s">
        <v>49</v>
      </c>
      <c r="U83" s="413"/>
      <c r="V83" s="435" t="s">
        <v>50</v>
      </c>
      <c r="W83" s="437"/>
      <c r="X83" s="436" t="s">
        <v>51</v>
      </c>
      <c r="Y83" s="436"/>
      <c r="Z83" s="436"/>
      <c r="AA83" s="436"/>
      <c r="AB83" s="436"/>
      <c r="AC83" s="436"/>
      <c r="AD83" s="438"/>
      <c r="AF83" s="50"/>
    </row>
    <row r="84" spans="1:32" ht="33.75" customHeight="1">
      <c r="A84" s="405">
        <v>1</v>
      </c>
      <c r="B84" s="406"/>
      <c r="C84" s="306"/>
      <c r="D84" s="306"/>
      <c r="E84" s="65"/>
      <c r="F84" s="420"/>
      <c r="G84" s="421"/>
      <c r="H84" s="421"/>
      <c r="I84" s="421"/>
      <c r="J84" s="422"/>
      <c r="K84" s="423"/>
      <c r="L84" s="424"/>
      <c r="M84" s="424"/>
      <c r="N84" s="424"/>
      <c r="O84" s="424"/>
      <c r="P84" s="424"/>
      <c r="Q84" s="424"/>
      <c r="R84" s="424"/>
      <c r="S84" s="425"/>
      <c r="T84" s="426"/>
      <c r="U84" s="427"/>
      <c r="V84" s="428"/>
      <c r="W84" s="428"/>
      <c r="X84" s="429"/>
      <c r="Y84" s="429"/>
      <c r="Z84" s="429"/>
      <c r="AA84" s="429"/>
      <c r="AB84" s="429"/>
      <c r="AC84" s="429"/>
      <c r="AD84" s="430"/>
      <c r="AF84" s="50"/>
    </row>
    <row r="85" spans="1:32" ht="30" customHeight="1">
      <c r="A85" s="398">
        <f>A84+1</f>
        <v>2</v>
      </c>
      <c r="B85" s="399"/>
      <c r="C85" s="305"/>
      <c r="D85" s="305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ref="A86:A90" si="12">A85+1</f>
        <v>3</v>
      </c>
      <c r="B86" s="399"/>
      <c r="C86" s="305"/>
      <c r="D86" s="305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12"/>
        <v>4</v>
      </c>
      <c r="B87" s="399"/>
      <c r="C87" s="305"/>
      <c r="D87" s="305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2"/>
        <v>5</v>
      </c>
      <c r="B88" s="399"/>
      <c r="C88" s="305"/>
      <c r="D88" s="305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0" customHeight="1">
      <c r="A89" s="398">
        <f t="shared" si="12"/>
        <v>6</v>
      </c>
      <c r="B89" s="399"/>
      <c r="C89" s="305"/>
      <c r="D89" s="305"/>
      <c r="E89" s="32"/>
      <c r="F89" s="399"/>
      <c r="G89" s="399"/>
      <c r="H89" s="399"/>
      <c r="I89" s="399"/>
      <c r="J89" s="399"/>
      <c r="K89" s="414"/>
      <c r="L89" s="415"/>
      <c r="M89" s="415"/>
      <c r="N89" s="415"/>
      <c r="O89" s="415"/>
      <c r="P89" s="415"/>
      <c r="Q89" s="415"/>
      <c r="R89" s="415"/>
      <c r="S89" s="416"/>
      <c r="T89" s="417"/>
      <c r="U89" s="417"/>
      <c r="V89" s="417"/>
      <c r="W89" s="417"/>
      <c r="X89" s="418"/>
      <c r="Y89" s="418"/>
      <c r="Z89" s="418"/>
      <c r="AA89" s="418"/>
      <c r="AB89" s="418"/>
      <c r="AC89" s="418"/>
      <c r="AD89" s="419"/>
      <c r="AF89" s="50"/>
    </row>
    <row r="90" spans="1:32" ht="30" customHeight="1">
      <c r="A90" s="398">
        <f t="shared" si="12"/>
        <v>7</v>
      </c>
      <c r="B90" s="399"/>
      <c r="C90" s="305"/>
      <c r="D90" s="305"/>
      <c r="E90" s="32"/>
      <c r="F90" s="399"/>
      <c r="G90" s="399"/>
      <c r="H90" s="399"/>
      <c r="I90" s="399"/>
      <c r="J90" s="399"/>
      <c r="K90" s="414"/>
      <c r="L90" s="415"/>
      <c r="M90" s="415"/>
      <c r="N90" s="415"/>
      <c r="O90" s="415"/>
      <c r="P90" s="415"/>
      <c r="Q90" s="415"/>
      <c r="R90" s="415"/>
      <c r="S90" s="416"/>
      <c r="T90" s="417"/>
      <c r="U90" s="417"/>
      <c r="V90" s="417"/>
      <c r="W90" s="417"/>
      <c r="X90" s="418"/>
      <c r="Y90" s="418"/>
      <c r="Z90" s="418"/>
      <c r="AA90" s="418"/>
      <c r="AB90" s="418"/>
      <c r="AC90" s="418"/>
      <c r="AD90" s="419"/>
      <c r="AF90" s="50"/>
    </row>
    <row r="91" spans="1:32" ht="36" thickBot="1">
      <c r="A91" s="411" t="s">
        <v>677</v>
      </c>
      <c r="B91" s="411"/>
      <c r="C91" s="411"/>
      <c r="D91" s="411"/>
      <c r="E91" s="411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412" t="s">
        <v>111</v>
      </c>
      <c r="B92" s="413"/>
      <c r="C92" s="403" t="s">
        <v>52</v>
      </c>
      <c r="D92" s="403"/>
      <c r="E92" s="403" t="s">
        <v>53</v>
      </c>
      <c r="F92" s="403"/>
      <c r="G92" s="403"/>
      <c r="H92" s="403"/>
      <c r="I92" s="403"/>
      <c r="J92" s="403"/>
      <c r="K92" s="403" t="s">
        <v>54</v>
      </c>
      <c r="L92" s="403"/>
      <c r="M92" s="403"/>
      <c r="N92" s="403"/>
      <c r="O92" s="403"/>
      <c r="P92" s="403"/>
      <c r="Q92" s="403"/>
      <c r="R92" s="403"/>
      <c r="S92" s="403"/>
      <c r="T92" s="403" t="s">
        <v>55</v>
      </c>
      <c r="U92" s="403"/>
      <c r="V92" s="403" t="s">
        <v>56</v>
      </c>
      <c r="W92" s="403"/>
      <c r="X92" s="403"/>
      <c r="Y92" s="403" t="s">
        <v>51</v>
      </c>
      <c r="Z92" s="403"/>
      <c r="AA92" s="403"/>
      <c r="AB92" s="403"/>
      <c r="AC92" s="403"/>
      <c r="AD92" s="404"/>
      <c r="AF92" s="50"/>
    </row>
    <row r="93" spans="1:32" ht="30.75" customHeight="1">
      <c r="A93" s="405">
        <v>1</v>
      </c>
      <c r="B93" s="406"/>
      <c r="C93" s="407"/>
      <c r="D93" s="407"/>
      <c r="E93" s="407"/>
      <c r="F93" s="407"/>
      <c r="G93" s="407"/>
      <c r="H93" s="407"/>
      <c r="I93" s="407"/>
      <c r="J93" s="407"/>
      <c r="K93" s="407"/>
      <c r="L93" s="407"/>
      <c r="M93" s="407"/>
      <c r="N93" s="407"/>
      <c r="O93" s="407"/>
      <c r="P93" s="407"/>
      <c r="Q93" s="407"/>
      <c r="R93" s="407"/>
      <c r="S93" s="407"/>
      <c r="T93" s="407"/>
      <c r="U93" s="407"/>
      <c r="V93" s="408"/>
      <c r="W93" s="408"/>
      <c r="X93" s="408"/>
      <c r="Y93" s="409"/>
      <c r="Z93" s="409"/>
      <c r="AA93" s="409"/>
      <c r="AB93" s="409"/>
      <c r="AC93" s="409"/>
      <c r="AD93" s="410"/>
      <c r="AF93" s="50"/>
    </row>
    <row r="94" spans="1:32" ht="30.75" customHeight="1">
      <c r="A94" s="398">
        <v>2</v>
      </c>
      <c r="B94" s="399"/>
      <c r="C94" s="400"/>
      <c r="D94" s="400"/>
      <c r="E94" s="400"/>
      <c r="F94" s="400"/>
      <c r="G94" s="400"/>
      <c r="H94" s="400"/>
      <c r="I94" s="400"/>
      <c r="J94" s="400"/>
      <c r="K94" s="400"/>
      <c r="L94" s="400"/>
      <c r="M94" s="400"/>
      <c r="N94" s="400"/>
      <c r="O94" s="400"/>
      <c r="P94" s="400"/>
      <c r="Q94" s="400"/>
      <c r="R94" s="400"/>
      <c r="S94" s="400"/>
      <c r="T94" s="401"/>
      <c r="U94" s="401"/>
      <c r="V94" s="402"/>
      <c r="W94" s="402"/>
      <c r="X94" s="402"/>
      <c r="Y94" s="390"/>
      <c r="Z94" s="390"/>
      <c r="AA94" s="390"/>
      <c r="AB94" s="390"/>
      <c r="AC94" s="390"/>
      <c r="AD94" s="391"/>
      <c r="AF94" s="50"/>
    </row>
    <row r="95" spans="1:32" ht="30.75" customHeight="1" thickBot="1">
      <c r="A95" s="392">
        <v>3</v>
      </c>
      <c r="B95" s="393"/>
      <c r="C95" s="394"/>
      <c r="D95" s="394"/>
      <c r="E95" s="394"/>
      <c r="F95" s="394"/>
      <c r="G95" s="394"/>
      <c r="H95" s="394"/>
      <c r="I95" s="394"/>
      <c r="J95" s="394"/>
      <c r="K95" s="394"/>
      <c r="L95" s="394"/>
      <c r="M95" s="394"/>
      <c r="N95" s="394"/>
      <c r="O95" s="394"/>
      <c r="P95" s="394"/>
      <c r="Q95" s="394"/>
      <c r="R95" s="394"/>
      <c r="S95" s="394"/>
      <c r="T95" s="394"/>
      <c r="U95" s="394"/>
      <c r="V95" s="395"/>
      <c r="W95" s="395"/>
      <c r="X95" s="395"/>
      <c r="Y95" s="396"/>
      <c r="Z95" s="396"/>
      <c r="AA95" s="396"/>
      <c r="AB95" s="396"/>
      <c r="AC95" s="396"/>
      <c r="AD95" s="397"/>
      <c r="AF95" s="50"/>
    </row>
  </sheetData>
  <mergeCells count="232"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5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7258-6E82-4243-AC22-FC0AC947E011}">
  <sheetPr codeName="Sheet19">
    <pageSetUpPr fitToPage="1"/>
  </sheetPr>
  <dimension ref="A1:AF96"/>
  <sheetViews>
    <sheetView view="pageBreakPreview" zoomScale="70" zoomScaleNormal="72" zoomScaleSheetLayoutView="70" workbookViewId="0">
      <selection activeCell="A93" sqref="A93:B9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678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320" t="s">
        <v>17</v>
      </c>
      <c r="L5" s="320" t="s">
        <v>18</v>
      </c>
      <c r="M5" s="320" t="s">
        <v>19</v>
      </c>
      <c r="N5" s="32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597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40000</v>
      </c>
      <c r="J6" s="14">
        <v>10946</v>
      </c>
      <c r="K6" s="15">
        <f>L6+10212+10998+10796</f>
        <v>42952</v>
      </c>
      <c r="L6" s="15">
        <f>2830*2+2643*2</f>
        <v>10946</v>
      </c>
      <c r="M6" s="15">
        <f t="shared" ref="M6:M30" si="0">L6-N6</f>
        <v>10946</v>
      </c>
      <c r="N6" s="15">
        <v>0</v>
      </c>
      <c r="O6" s="58">
        <f t="shared" ref="O6:O31" si="1">IF(L6=0,"0",N6/L6)</f>
        <v>0</v>
      </c>
      <c r="P6" s="39">
        <f t="shared" ref="P6:P30" si="2">IF(L6=0,"0",(24-Q6))</f>
        <v>24</v>
      </c>
      <c r="Q6" s="40">
        <f t="shared" ref="Q6:Q30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30" si="4">IF(J6=0,"0",(L6/J6))</f>
        <v>1</v>
      </c>
      <c r="AC6" s="9">
        <f t="shared" ref="AC6:AC30" si="5">IF(P6=0,"0",(P6/24))</f>
        <v>1</v>
      </c>
      <c r="AD6" s="10">
        <f>AC6*AB6*(1-O6)</f>
        <v>1</v>
      </c>
      <c r="AE6" s="36">
        <f t="shared" ref="AE6:AE30" si="6">$AD$31</f>
        <v>0.54833333333333334</v>
      </c>
      <c r="AF6" s="81">
        <f t="shared" ref="AF6:AF30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138</v>
      </c>
      <c r="E7" s="53" t="s">
        <v>663</v>
      </c>
      <c r="F7" s="30" t="s">
        <v>137</v>
      </c>
      <c r="G7" s="12">
        <v>2</v>
      </c>
      <c r="H7" s="13">
        <v>24</v>
      </c>
      <c r="I7" s="31">
        <v>20000</v>
      </c>
      <c r="J7" s="14">
        <v>10816</v>
      </c>
      <c r="K7" s="15">
        <f>L7</f>
        <v>10816</v>
      </c>
      <c r="L7" s="15">
        <f>2630*2+2778*2</f>
        <v>10816</v>
      </c>
      <c r="M7" s="15">
        <f t="shared" si="0"/>
        <v>10816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30" si="8">AC7*AB7*(1-O7)</f>
        <v>1</v>
      </c>
      <c r="AE7" s="36">
        <f t="shared" si="6"/>
        <v>0.54833333333333334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115</v>
      </c>
      <c r="E8" s="53" t="s">
        <v>630</v>
      </c>
      <c r="F8" s="30" t="s">
        <v>122</v>
      </c>
      <c r="G8" s="12">
        <v>4</v>
      </c>
      <c r="H8" s="13">
        <v>22</v>
      </c>
      <c r="I8" s="31">
        <v>20000</v>
      </c>
      <c r="J8" s="5">
        <v>5620</v>
      </c>
      <c r="K8" s="15">
        <f>L8+20716</f>
        <v>26336</v>
      </c>
      <c r="L8" s="15">
        <f>1405*4</f>
        <v>5620</v>
      </c>
      <c r="M8" s="15">
        <f t="shared" si="0"/>
        <v>5620</v>
      </c>
      <c r="N8" s="15">
        <v>0</v>
      </c>
      <c r="O8" s="58">
        <f t="shared" si="1"/>
        <v>0</v>
      </c>
      <c r="P8" s="39">
        <f t="shared" si="2"/>
        <v>7</v>
      </c>
      <c r="Q8" s="40">
        <f t="shared" si="3"/>
        <v>17</v>
      </c>
      <c r="R8" s="7"/>
      <c r="S8" s="6"/>
      <c r="T8" s="16"/>
      <c r="U8" s="16"/>
      <c r="V8" s="17"/>
      <c r="W8" s="5">
        <v>17</v>
      </c>
      <c r="X8" s="16"/>
      <c r="Y8" s="16"/>
      <c r="Z8" s="16"/>
      <c r="AA8" s="18"/>
      <c r="AB8" s="8">
        <f t="shared" si="4"/>
        <v>1</v>
      </c>
      <c r="AC8" s="9">
        <f t="shared" si="5"/>
        <v>0.29166666666666669</v>
      </c>
      <c r="AD8" s="10">
        <f t="shared" si="8"/>
        <v>0.29166666666666669</v>
      </c>
      <c r="AE8" s="36">
        <f t="shared" si="6"/>
        <v>0.54833333333333334</v>
      </c>
      <c r="AF8" s="81">
        <f t="shared" si="7"/>
        <v>3</v>
      </c>
    </row>
    <row r="9" spans="1:32" ht="27" customHeight="1">
      <c r="A9" s="92">
        <v>3</v>
      </c>
      <c r="B9" s="11" t="s">
        <v>57</v>
      </c>
      <c r="C9" s="34" t="s">
        <v>126</v>
      </c>
      <c r="D9" s="52" t="s">
        <v>115</v>
      </c>
      <c r="E9" s="53" t="s">
        <v>679</v>
      </c>
      <c r="F9" s="30" t="s">
        <v>273</v>
      </c>
      <c r="G9" s="12">
        <v>2</v>
      </c>
      <c r="H9" s="13">
        <v>22</v>
      </c>
      <c r="I9" s="31">
        <v>30000</v>
      </c>
      <c r="J9" s="5">
        <v>6714</v>
      </c>
      <c r="K9" s="15">
        <f>L9</f>
        <v>6714</v>
      </c>
      <c r="L9" s="15">
        <f>2910*2+447*2</f>
        <v>6714</v>
      </c>
      <c r="M9" s="15">
        <f t="shared" si="0"/>
        <v>6714</v>
      </c>
      <c r="N9" s="15">
        <v>0</v>
      </c>
      <c r="O9" s="58">
        <f t="shared" si="1"/>
        <v>0</v>
      </c>
      <c r="P9" s="39">
        <f t="shared" si="2"/>
        <v>15</v>
      </c>
      <c r="Q9" s="40">
        <f t="shared" si="3"/>
        <v>9</v>
      </c>
      <c r="R9" s="7"/>
      <c r="S9" s="6"/>
      <c r="T9" s="16">
        <v>9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0.625</v>
      </c>
      <c r="AD9" s="10">
        <f t="shared" si="8"/>
        <v>0.625</v>
      </c>
      <c r="AE9" s="36">
        <f t="shared" si="6"/>
        <v>0.54833333333333334</v>
      </c>
      <c r="AF9" s="81">
        <f t="shared" si="7"/>
        <v>3</v>
      </c>
    </row>
    <row r="10" spans="1:32" ht="27" customHeight="1">
      <c r="A10" s="92">
        <v>4</v>
      </c>
      <c r="B10" s="11" t="s">
        <v>57</v>
      </c>
      <c r="C10" s="34" t="s">
        <v>116</v>
      </c>
      <c r="D10" s="52" t="s">
        <v>499</v>
      </c>
      <c r="E10" s="53" t="s">
        <v>523</v>
      </c>
      <c r="F10" s="30" t="s">
        <v>524</v>
      </c>
      <c r="G10" s="12" t="s">
        <v>302</v>
      </c>
      <c r="H10" s="13">
        <v>24</v>
      </c>
      <c r="I10" s="7">
        <v>20000</v>
      </c>
      <c r="J10" s="14">
        <v>4728</v>
      </c>
      <c r="K10" s="15">
        <f>L10+4212+561+4883+5069+4649</f>
        <v>24102</v>
      </c>
      <c r="L10" s="15">
        <f>2577+2151</f>
        <v>4728</v>
      </c>
      <c r="M10" s="15">
        <f t="shared" si="0"/>
        <v>4728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0.54833333333333334</v>
      </c>
      <c r="AF10" s="81">
        <f t="shared" si="7"/>
        <v>4</v>
      </c>
    </row>
    <row r="11" spans="1:32" ht="27" customHeight="1">
      <c r="A11" s="92">
        <v>5</v>
      </c>
      <c r="B11" s="11" t="s">
        <v>57</v>
      </c>
      <c r="C11" s="11" t="s">
        <v>112</v>
      </c>
      <c r="D11" s="52" t="s">
        <v>121</v>
      </c>
      <c r="E11" s="53" t="s">
        <v>152</v>
      </c>
      <c r="F11" s="30" t="s">
        <v>123</v>
      </c>
      <c r="G11" s="33">
        <v>1</v>
      </c>
      <c r="H11" s="35">
        <v>24</v>
      </c>
      <c r="I11" s="7">
        <v>115000</v>
      </c>
      <c r="J11" s="14">
        <v>5705</v>
      </c>
      <c r="K11" s="15">
        <f>L11+5338+5669+5744+4980+3619+1932+309+2790+5660+4715+1739+3127+5884+1203+3638+5732+5658+5217+2430+1897+5596+5715+3707+799+2709+2266+5086+3381+4392+5682</f>
        <v>122319</v>
      </c>
      <c r="L11" s="15">
        <f>2836+2869</f>
        <v>5705</v>
      </c>
      <c r="M11" s="15">
        <f t="shared" si="0"/>
        <v>5705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0.54833333333333334</v>
      </c>
      <c r="AF11" s="81">
        <f t="shared" si="7"/>
        <v>5</v>
      </c>
    </row>
    <row r="12" spans="1:32" ht="27" customHeight="1">
      <c r="A12" s="92">
        <v>6</v>
      </c>
      <c r="B12" s="11" t="s">
        <v>57</v>
      </c>
      <c r="C12" s="11" t="s">
        <v>112</v>
      </c>
      <c r="D12" s="52" t="s">
        <v>121</v>
      </c>
      <c r="E12" s="53" t="s">
        <v>303</v>
      </c>
      <c r="F12" s="30" t="s">
        <v>235</v>
      </c>
      <c r="G12" s="33">
        <v>2</v>
      </c>
      <c r="H12" s="35">
        <v>24</v>
      </c>
      <c r="I12" s="7">
        <v>44000</v>
      </c>
      <c r="J12" s="14">
        <v>10878</v>
      </c>
      <c r="K12" s="15">
        <f>L12+7651+9096+10744</f>
        <v>38369</v>
      </c>
      <c r="L12" s="15">
        <f>2703*2+2736*2</f>
        <v>10878</v>
      </c>
      <c r="M12" s="15">
        <f t="shared" si="0"/>
        <v>10878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0.54833333333333334</v>
      </c>
      <c r="AF12" s="81">
        <f t="shared" si="7"/>
        <v>6</v>
      </c>
    </row>
    <row r="13" spans="1:32" ht="27" customHeight="1">
      <c r="A13" s="92">
        <v>7</v>
      </c>
      <c r="B13" s="11" t="s">
        <v>57</v>
      </c>
      <c r="C13" s="34" t="s">
        <v>116</v>
      </c>
      <c r="D13" s="52" t="s">
        <v>115</v>
      </c>
      <c r="E13" s="53" t="s">
        <v>565</v>
      </c>
      <c r="F13" s="30" t="s">
        <v>205</v>
      </c>
      <c r="G13" s="12">
        <v>1</v>
      </c>
      <c r="H13" s="13">
        <v>22</v>
      </c>
      <c r="I13" s="31">
        <v>20000</v>
      </c>
      <c r="J13" s="5">
        <v>4784</v>
      </c>
      <c r="K13" s="15">
        <f>L13+3245+4808+4930+5015</f>
        <v>22782</v>
      </c>
      <c r="L13" s="15">
        <f>2501+2283</f>
        <v>4784</v>
      </c>
      <c r="M13" s="15">
        <f t="shared" si="0"/>
        <v>4784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0.54833333333333334</v>
      </c>
      <c r="AF13" s="81">
        <f t="shared" si="7"/>
        <v>7</v>
      </c>
    </row>
    <row r="14" spans="1:32" ht="27" customHeight="1">
      <c r="A14" s="92">
        <v>8</v>
      </c>
      <c r="B14" s="11" t="s">
        <v>57</v>
      </c>
      <c r="C14" s="11" t="s">
        <v>126</v>
      </c>
      <c r="D14" s="52" t="s">
        <v>680</v>
      </c>
      <c r="E14" s="53" t="s">
        <v>681</v>
      </c>
      <c r="F14" s="30" t="s">
        <v>122</v>
      </c>
      <c r="G14" s="33" t="s">
        <v>682</v>
      </c>
      <c r="H14" s="35">
        <v>22</v>
      </c>
      <c r="I14" s="7">
        <v>1000</v>
      </c>
      <c r="J14" s="14">
        <v>1124</v>
      </c>
      <c r="K14" s="15">
        <f>L14</f>
        <v>1124</v>
      </c>
      <c r="L14" s="15">
        <f>1124</f>
        <v>1124</v>
      </c>
      <c r="M14" s="15">
        <f t="shared" si="0"/>
        <v>1124</v>
      </c>
      <c r="N14" s="15">
        <v>0</v>
      </c>
      <c r="O14" s="58">
        <f t="shared" si="1"/>
        <v>0</v>
      </c>
      <c r="P14" s="39">
        <f t="shared" si="2"/>
        <v>7</v>
      </c>
      <c r="Q14" s="40">
        <f t="shared" si="3"/>
        <v>17</v>
      </c>
      <c r="R14" s="7"/>
      <c r="S14" s="6"/>
      <c r="T14" s="16"/>
      <c r="U14" s="16"/>
      <c r="V14" s="17"/>
      <c r="W14" s="5">
        <v>17</v>
      </c>
      <c r="X14" s="16"/>
      <c r="Y14" s="16"/>
      <c r="Z14" s="16"/>
      <c r="AA14" s="18"/>
      <c r="AB14" s="8">
        <f t="shared" si="4"/>
        <v>1</v>
      </c>
      <c r="AC14" s="9">
        <f t="shared" si="5"/>
        <v>0.29166666666666669</v>
      </c>
      <c r="AD14" s="10">
        <f t="shared" si="8"/>
        <v>0.29166666666666669</v>
      </c>
      <c r="AE14" s="36">
        <f t="shared" si="6"/>
        <v>0.54833333333333334</v>
      </c>
      <c r="AF14" s="81">
        <f t="shared" si="7"/>
        <v>8</v>
      </c>
    </row>
    <row r="15" spans="1:32" ht="27" customHeight="1">
      <c r="A15" s="99">
        <v>9</v>
      </c>
      <c r="B15" s="11" t="s">
        <v>57</v>
      </c>
      <c r="C15" s="34" t="s">
        <v>112</v>
      </c>
      <c r="D15" s="52" t="s">
        <v>115</v>
      </c>
      <c r="E15" s="53" t="s">
        <v>566</v>
      </c>
      <c r="F15" s="30" t="s">
        <v>139</v>
      </c>
      <c r="G15" s="33">
        <v>1</v>
      </c>
      <c r="H15" s="35">
        <v>50</v>
      </c>
      <c r="I15" s="7">
        <v>100</v>
      </c>
      <c r="J15" s="5">
        <v>100</v>
      </c>
      <c r="K15" s="15">
        <f>L15+100</f>
        <v>100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0.54833333333333334</v>
      </c>
      <c r="AF15" s="81">
        <f t="shared" si="7"/>
        <v>9</v>
      </c>
    </row>
    <row r="16" spans="1:32" ht="27" customHeight="1">
      <c r="A16" s="106">
        <v>10</v>
      </c>
      <c r="B16" s="11" t="s">
        <v>597</v>
      </c>
      <c r="C16" s="34" t="s">
        <v>112</v>
      </c>
      <c r="D16" s="52" t="s">
        <v>138</v>
      </c>
      <c r="E16" s="53" t="s">
        <v>599</v>
      </c>
      <c r="F16" s="30" t="s">
        <v>139</v>
      </c>
      <c r="G16" s="12">
        <v>2</v>
      </c>
      <c r="H16" s="13">
        <v>24</v>
      </c>
      <c r="I16" s="31">
        <f>74000+25000</f>
        <v>99000</v>
      </c>
      <c r="J16" s="14">
        <v>12474</v>
      </c>
      <c r="K16" s="15">
        <f>L16+8206+11870+12258</f>
        <v>44808</v>
      </c>
      <c r="L16" s="15">
        <f>3090*2+3147*2</f>
        <v>12474</v>
      </c>
      <c r="M16" s="15">
        <f t="shared" si="0"/>
        <v>12474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0.54833333333333334</v>
      </c>
      <c r="AF16" s="81">
        <f t="shared" si="7"/>
        <v>10</v>
      </c>
    </row>
    <row r="17" spans="1:32" ht="27" customHeight="1">
      <c r="A17" s="92">
        <v>11</v>
      </c>
      <c r="B17" s="11" t="s">
        <v>57</v>
      </c>
      <c r="C17" s="34" t="s">
        <v>112</v>
      </c>
      <c r="D17" s="52" t="s">
        <v>159</v>
      </c>
      <c r="E17" s="53" t="s">
        <v>234</v>
      </c>
      <c r="F17" s="30" t="s">
        <v>235</v>
      </c>
      <c r="G17" s="12">
        <v>2</v>
      </c>
      <c r="H17" s="13">
        <v>22</v>
      </c>
      <c r="I17" s="31">
        <v>72000</v>
      </c>
      <c r="J17" s="5">
        <v>8530</v>
      </c>
      <c r="K17" s="15">
        <f>L17+4453+8440+10782+9098</f>
        <v>41303</v>
      </c>
      <c r="L17" s="15">
        <f>2782*2+1483*2</f>
        <v>8530</v>
      </c>
      <c r="M17" s="15">
        <f t="shared" si="0"/>
        <v>8530</v>
      </c>
      <c r="N17" s="15">
        <v>0</v>
      </c>
      <c r="O17" s="58">
        <f t="shared" si="1"/>
        <v>0</v>
      </c>
      <c r="P17" s="39">
        <f t="shared" si="2"/>
        <v>20</v>
      </c>
      <c r="Q17" s="40">
        <f t="shared" si="3"/>
        <v>4</v>
      </c>
      <c r="R17" s="7"/>
      <c r="S17" s="6">
        <v>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0.83333333333333337</v>
      </c>
      <c r="AD17" s="10">
        <f t="shared" si="8"/>
        <v>0.83333333333333337</v>
      </c>
      <c r="AE17" s="36">
        <f t="shared" si="6"/>
        <v>0.54833333333333334</v>
      </c>
      <c r="AF17" s="81">
        <f t="shared" si="7"/>
        <v>11</v>
      </c>
    </row>
    <row r="18" spans="1:32" ht="27" customHeight="1">
      <c r="A18" s="106">
        <v>12</v>
      </c>
      <c r="B18" s="11" t="s">
        <v>57</v>
      </c>
      <c r="C18" s="34" t="s">
        <v>668</v>
      </c>
      <c r="D18" s="52"/>
      <c r="E18" s="53" t="s">
        <v>667</v>
      </c>
      <c r="F18" s="30" t="s">
        <v>683</v>
      </c>
      <c r="G18" s="12">
        <v>1</v>
      </c>
      <c r="H18" s="13">
        <v>24</v>
      </c>
      <c r="I18" s="7">
        <f>7000+19000</f>
        <v>26000</v>
      </c>
      <c r="J18" s="14">
        <v>3864</v>
      </c>
      <c r="K18" s="15">
        <f>L18</f>
        <v>3864</v>
      </c>
      <c r="L18" s="15">
        <f>2861+1003</f>
        <v>3864</v>
      </c>
      <c r="M18" s="15">
        <f t="shared" si="0"/>
        <v>3864</v>
      </c>
      <c r="N18" s="15">
        <v>0</v>
      </c>
      <c r="O18" s="58">
        <f t="shared" si="1"/>
        <v>0</v>
      </c>
      <c r="P18" s="39">
        <f t="shared" si="2"/>
        <v>19</v>
      </c>
      <c r="Q18" s="40">
        <f t="shared" si="3"/>
        <v>5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5</v>
      </c>
      <c r="AB18" s="8">
        <f t="shared" si="4"/>
        <v>1</v>
      </c>
      <c r="AC18" s="9">
        <f t="shared" si="5"/>
        <v>0.79166666666666663</v>
      </c>
      <c r="AD18" s="10">
        <f t="shared" si="8"/>
        <v>0.79166666666666663</v>
      </c>
      <c r="AE18" s="36">
        <f t="shared" si="6"/>
        <v>0.54833333333333334</v>
      </c>
      <c r="AF18" s="81">
        <f t="shared" si="7"/>
        <v>12</v>
      </c>
    </row>
    <row r="19" spans="1:32" ht="27" customHeight="1">
      <c r="A19" s="92">
        <v>13</v>
      </c>
      <c r="B19" s="11" t="s">
        <v>57</v>
      </c>
      <c r="C19" s="34" t="s">
        <v>116</v>
      </c>
      <c r="D19" s="52" t="s">
        <v>127</v>
      </c>
      <c r="E19" s="53" t="s">
        <v>569</v>
      </c>
      <c r="F19" s="30" t="s">
        <v>153</v>
      </c>
      <c r="G19" s="12">
        <v>1</v>
      </c>
      <c r="H19" s="13">
        <v>22</v>
      </c>
      <c r="I19" s="31">
        <v>20000</v>
      </c>
      <c r="J19" s="5">
        <v>4163</v>
      </c>
      <c r="K19" s="15">
        <f>L19+2984+4988+2374+4173</f>
        <v>18682</v>
      </c>
      <c r="L19" s="15">
        <f>1282+2881</f>
        <v>4163</v>
      </c>
      <c r="M19" s="15">
        <f t="shared" si="0"/>
        <v>4163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0.875</v>
      </c>
      <c r="AD19" s="10">
        <f t="shared" si="8"/>
        <v>0.875</v>
      </c>
      <c r="AE19" s="36">
        <f t="shared" si="6"/>
        <v>0.54833333333333334</v>
      </c>
      <c r="AF19" s="81">
        <f t="shared" si="7"/>
        <v>13</v>
      </c>
    </row>
    <row r="20" spans="1:32" ht="27" customHeight="1">
      <c r="A20" s="92">
        <v>14</v>
      </c>
      <c r="B20" s="11" t="s">
        <v>57</v>
      </c>
      <c r="C20" s="11" t="s">
        <v>116</v>
      </c>
      <c r="D20" s="52" t="s">
        <v>157</v>
      </c>
      <c r="E20" s="53" t="s">
        <v>587</v>
      </c>
      <c r="F20" s="30" t="s">
        <v>158</v>
      </c>
      <c r="G20" s="33">
        <v>1</v>
      </c>
      <c r="H20" s="35">
        <v>24</v>
      </c>
      <c r="I20" s="7">
        <v>20000</v>
      </c>
      <c r="J20" s="14">
        <v>5676</v>
      </c>
      <c r="K20" s="15">
        <f>L20+4287</f>
        <v>9963</v>
      </c>
      <c r="L20" s="15">
        <f>2821+2855</f>
        <v>5676</v>
      </c>
      <c r="M20" s="15">
        <f t="shared" si="0"/>
        <v>5676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0.54833333333333334</v>
      </c>
      <c r="AF20" s="81">
        <f t="shared" si="7"/>
        <v>14</v>
      </c>
    </row>
    <row r="21" spans="1:32" ht="27" customHeight="1">
      <c r="A21" s="106">
        <v>15</v>
      </c>
      <c r="B21" s="11" t="s">
        <v>57</v>
      </c>
      <c r="C21" s="11" t="s">
        <v>112</v>
      </c>
      <c r="D21" s="52" t="s">
        <v>115</v>
      </c>
      <c r="E21" s="53" t="s">
        <v>143</v>
      </c>
      <c r="F21" s="30" t="s">
        <v>136</v>
      </c>
      <c r="G21" s="33">
        <v>2</v>
      </c>
      <c r="H21" s="35">
        <v>24</v>
      </c>
      <c r="I21" s="7">
        <v>70000</v>
      </c>
      <c r="J21" s="14">
        <v>11220</v>
      </c>
      <c r="K21" s="15">
        <f>L21+3150+7466+4534+7764+11032+11156</f>
        <v>56322</v>
      </c>
      <c r="L21" s="15">
        <f>2785*2+2825*2</f>
        <v>11220</v>
      </c>
      <c r="M21" s="15">
        <f t="shared" si="0"/>
        <v>11220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0.54833333333333334</v>
      </c>
      <c r="AF21" s="81">
        <f t="shared" si="7"/>
        <v>15</v>
      </c>
    </row>
    <row r="22" spans="1:32" ht="26.25" customHeight="1">
      <c r="A22" s="92">
        <v>16</v>
      </c>
      <c r="B22" s="11" t="s">
        <v>57</v>
      </c>
      <c r="C22" s="11" t="s">
        <v>113</v>
      </c>
      <c r="D22" s="52"/>
      <c r="E22" s="53" t="s">
        <v>146</v>
      </c>
      <c r="F22" s="12" t="s">
        <v>114</v>
      </c>
      <c r="G22" s="12">
        <v>3</v>
      </c>
      <c r="H22" s="35">
        <v>20</v>
      </c>
      <c r="I22" s="7">
        <v>2000000</v>
      </c>
      <c r="J22" s="14">
        <v>63568</v>
      </c>
      <c r="K22" s="15">
        <f>L22+57172+63944+63948+58884+57396+63564+64736</f>
        <v>493212</v>
      </c>
      <c r="L22" s="15">
        <f>7566*4+8326*4</f>
        <v>63568</v>
      </c>
      <c r="M22" s="15">
        <f t="shared" si="0"/>
        <v>63568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8"/>
        <v>1</v>
      </c>
      <c r="AE22" s="36">
        <f t="shared" si="6"/>
        <v>0.54833333333333334</v>
      </c>
      <c r="AF22" s="81">
        <f t="shared" si="7"/>
        <v>16</v>
      </c>
    </row>
    <row r="23" spans="1:32" ht="26.25" customHeight="1">
      <c r="A23" s="307">
        <v>17</v>
      </c>
      <c r="B23" s="11" t="s">
        <v>57</v>
      </c>
      <c r="C23" s="11"/>
      <c r="D23" s="52"/>
      <c r="E23" s="53"/>
      <c r="F23" s="12"/>
      <c r="G23" s="12"/>
      <c r="H23" s="35"/>
      <c r="I23" s="7"/>
      <c r="J23" s="14"/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0.54833333333333334</v>
      </c>
      <c r="AF23" s="81">
        <f t="shared" si="7"/>
        <v>17</v>
      </c>
    </row>
    <row r="24" spans="1:32" ht="26.25" customHeight="1">
      <c r="A24" s="307">
        <v>18</v>
      </c>
      <c r="B24" s="11" t="s">
        <v>57</v>
      </c>
      <c r="C24" s="11" t="s">
        <v>116</v>
      </c>
      <c r="D24" s="52" t="s">
        <v>600</v>
      </c>
      <c r="E24" s="53" t="s">
        <v>601</v>
      </c>
      <c r="F24" s="12" t="s">
        <v>602</v>
      </c>
      <c r="G24" s="12">
        <v>4</v>
      </c>
      <c r="H24" s="35">
        <v>15</v>
      </c>
      <c r="I24" s="7">
        <v>6000</v>
      </c>
      <c r="J24" s="14"/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/>
      <c r="X24" s="16"/>
      <c r="Y24" s="16"/>
      <c r="Z24" s="16"/>
      <c r="AA24" s="18">
        <v>24</v>
      </c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0.54833333333333334</v>
      </c>
      <c r="AF24" s="81">
        <f t="shared" si="7"/>
        <v>18</v>
      </c>
    </row>
    <row r="25" spans="1:32" ht="21.75" customHeight="1">
      <c r="A25" s="92">
        <v>31</v>
      </c>
      <c r="B25" s="11" t="s">
        <v>57</v>
      </c>
      <c r="C25" s="11" t="s">
        <v>116</v>
      </c>
      <c r="D25" s="52" t="s">
        <v>115</v>
      </c>
      <c r="E25" s="53" t="s">
        <v>149</v>
      </c>
      <c r="F25" s="12" t="s">
        <v>136</v>
      </c>
      <c r="G25" s="12">
        <v>4</v>
      </c>
      <c r="H25" s="35">
        <v>20</v>
      </c>
      <c r="I25" s="7">
        <v>70000</v>
      </c>
      <c r="J25" s="14">
        <v>22300</v>
      </c>
      <c r="K25" s="15">
        <f>L25+22300</f>
        <v>22300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>
        <v>24</v>
      </c>
      <c r="W25" s="5"/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0.54833333333333334</v>
      </c>
      <c r="AF25" s="81">
        <f t="shared" si="7"/>
        <v>31</v>
      </c>
    </row>
    <row r="26" spans="1:32" ht="21.75" customHeight="1">
      <c r="A26" s="92">
        <v>32</v>
      </c>
      <c r="B26" s="11" t="s">
        <v>57</v>
      </c>
      <c r="C26" s="11"/>
      <c r="D26" s="52"/>
      <c r="E26" s="53"/>
      <c r="F26" s="12"/>
      <c r="G26" s="12"/>
      <c r="H26" s="35">
        <v>20</v>
      </c>
      <c r="I26" s="7"/>
      <c r="J26" s="14">
        <v>0</v>
      </c>
      <c r="K26" s="15">
        <f t="shared" ref="K26" si="9">L26</f>
        <v>0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7"/>
      <c r="W26" s="5">
        <v>24</v>
      </c>
      <c r="X26" s="16"/>
      <c r="Y26" s="16"/>
      <c r="Z26" s="16"/>
      <c r="AA26" s="18"/>
      <c r="AB26" s="8" t="str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0.54833333333333334</v>
      </c>
      <c r="AF26" s="81">
        <f t="shared" si="7"/>
        <v>32</v>
      </c>
    </row>
    <row r="27" spans="1:32" ht="21.75" customHeight="1">
      <c r="A27" s="92">
        <v>33</v>
      </c>
      <c r="B27" s="11" t="s">
        <v>57</v>
      </c>
      <c r="C27" s="11" t="s">
        <v>116</v>
      </c>
      <c r="D27" s="52" t="s">
        <v>142</v>
      </c>
      <c r="E27" s="53" t="s">
        <v>151</v>
      </c>
      <c r="F27" s="12" t="s">
        <v>123</v>
      </c>
      <c r="G27" s="12">
        <v>3</v>
      </c>
      <c r="H27" s="35">
        <v>20</v>
      </c>
      <c r="I27" s="7">
        <v>70000</v>
      </c>
      <c r="J27" s="14">
        <v>19983</v>
      </c>
      <c r="K27" s="15">
        <f>L27+22125+9744+18372+21786+19983</f>
        <v>92010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0.54833333333333334</v>
      </c>
      <c r="AF27" s="81">
        <f t="shared" si="7"/>
        <v>33</v>
      </c>
    </row>
    <row r="28" spans="1:32" ht="21.75" customHeight="1">
      <c r="A28" s="92">
        <v>34</v>
      </c>
      <c r="B28" s="11" t="s">
        <v>57</v>
      </c>
      <c r="C28" s="11" t="s">
        <v>116</v>
      </c>
      <c r="D28" s="52" t="s">
        <v>127</v>
      </c>
      <c r="E28" s="53" t="s">
        <v>148</v>
      </c>
      <c r="F28" s="12" t="s">
        <v>124</v>
      </c>
      <c r="G28" s="12">
        <v>3</v>
      </c>
      <c r="H28" s="35">
        <v>20</v>
      </c>
      <c r="I28" s="7">
        <v>70000</v>
      </c>
      <c r="J28" s="14">
        <v>18138</v>
      </c>
      <c r="K28" s="15">
        <f>L28+16448+27472+26896+18138</f>
        <v>88954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0.54833333333333334</v>
      </c>
      <c r="AF28" s="81">
        <f t="shared" si="7"/>
        <v>34</v>
      </c>
    </row>
    <row r="29" spans="1:32" ht="21.75" customHeight="1">
      <c r="A29" s="92">
        <v>35</v>
      </c>
      <c r="B29" s="11" t="s">
        <v>57</v>
      </c>
      <c r="C29" s="11" t="s">
        <v>116</v>
      </c>
      <c r="D29" s="52" t="s">
        <v>121</v>
      </c>
      <c r="E29" s="53" t="s">
        <v>125</v>
      </c>
      <c r="F29" s="12" t="s">
        <v>124</v>
      </c>
      <c r="G29" s="12">
        <v>4</v>
      </c>
      <c r="H29" s="35">
        <v>20</v>
      </c>
      <c r="I29" s="7">
        <v>50000</v>
      </c>
      <c r="J29" s="14">
        <v>26944</v>
      </c>
      <c r="K29" s="15">
        <f>L29+24592+26944+21716</f>
        <v>73252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0.54833333333333334</v>
      </c>
      <c r="AF29" s="81">
        <f t="shared" si="7"/>
        <v>35</v>
      </c>
    </row>
    <row r="30" spans="1:32" ht="21.75" customHeight="1" thickBot="1">
      <c r="A30" s="92">
        <v>36</v>
      </c>
      <c r="B30" s="11" t="s">
        <v>57</v>
      </c>
      <c r="C30" s="11" t="s">
        <v>113</v>
      </c>
      <c r="D30" s="52"/>
      <c r="E30" s="53" t="s">
        <v>150</v>
      </c>
      <c r="F30" s="12" t="s">
        <v>114</v>
      </c>
      <c r="G30" s="12">
        <v>4</v>
      </c>
      <c r="H30" s="35">
        <v>20</v>
      </c>
      <c r="I30" s="7">
        <v>1000000</v>
      </c>
      <c r="J30" s="14">
        <v>79328</v>
      </c>
      <c r="K30" s="15">
        <f>L30+28388+70816+76368+81764+83428+47688+53180+83092+82192+79328</f>
        <v>686244</v>
      </c>
      <c r="L30" s="15"/>
      <c r="M30" s="15">
        <f t="shared" si="0"/>
        <v>0</v>
      </c>
      <c r="N30" s="15">
        <v>0</v>
      </c>
      <c r="O30" s="58" t="str">
        <f t="shared" si="1"/>
        <v>0</v>
      </c>
      <c r="P30" s="39" t="str">
        <f t="shared" si="2"/>
        <v>0</v>
      </c>
      <c r="Q30" s="40">
        <f t="shared" si="3"/>
        <v>24</v>
      </c>
      <c r="R30" s="7"/>
      <c r="S30" s="6"/>
      <c r="T30" s="16"/>
      <c r="U30" s="16"/>
      <c r="V30" s="114">
        <v>24</v>
      </c>
      <c r="W30" s="5"/>
      <c r="X30" s="16"/>
      <c r="Y30" s="16"/>
      <c r="Z30" s="16"/>
      <c r="AA30" s="18"/>
      <c r="AB30" s="8">
        <f t="shared" si="4"/>
        <v>0</v>
      </c>
      <c r="AC30" s="9">
        <f t="shared" si="5"/>
        <v>0</v>
      </c>
      <c r="AD30" s="10">
        <f t="shared" si="8"/>
        <v>0</v>
      </c>
      <c r="AE30" s="36">
        <f t="shared" si="6"/>
        <v>0.54833333333333334</v>
      </c>
      <c r="AF30" s="81">
        <f t="shared" si="7"/>
        <v>36</v>
      </c>
    </row>
    <row r="31" spans="1:32" ht="19.5" thickBot="1">
      <c r="A31" s="478" t="s">
        <v>34</v>
      </c>
      <c r="B31" s="479"/>
      <c r="C31" s="479"/>
      <c r="D31" s="479"/>
      <c r="E31" s="479"/>
      <c r="F31" s="479"/>
      <c r="G31" s="479"/>
      <c r="H31" s="480"/>
      <c r="I31" s="22">
        <f t="shared" ref="I31:N31" si="10">SUM(I6:I30)</f>
        <v>3883100</v>
      </c>
      <c r="J31" s="19">
        <f t="shared" si="10"/>
        <v>337603</v>
      </c>
      <c r="K31" s="20">
        <f t="shared" si="10"/>
        <v>1926528</v>
      </c>
      <c r="L31" s="21">
        <f t="shared" si="10"/>
        <v>170810</v>
      </c>
      <c r="M31" s="20">
        <f t="shared" si="10"/>
        <v>170810</v>
      </c>
      <c r="N31" s="21">
        <f t="shared" si="10"/>
        <v>0</v>
      </c>
      <c r="O31" s="41">
        <f t="shared" si="1"/>
        <v>0</v>
      </c>
      <c r="P31" s="42">
        <f t="shared" ref="P31:AA31" si="11">SUM(P6:P30)</f>
        <v>329</v>
      </c>
      <c r="Q31" s="43">
        <f t="shared" si="11"/>
        <v>223</v>
      </c>
      <c r="R31" s="23">
        <f t="shared" si="11"/>
        <v>0</v>
      </c>
      <c r="S31" s="24">
        <f t="shared" si="11"/>
        <v>7</v>
      </c>
      <c r="T31" s="24">
        <f t="shared" si="11"/>
        <v>9</v>
      </c>
      <c r="U31" s="24">
        <f t="shared" si="11"/>
        <v>0</v>
      </c>
      <c r="V31" s="25">
        <f t="shared" si="11"/>
        <v>48</v>
      </c>
      <c r="W31" s="26">
        <f t="shared" si="11"/>
        <v>106</v>
      </c>
      <c r="X31" s="27">
        <f t="shared" si="11"/>
        <v>0</v>
      </c>
      <c r="Y31" s="27">
        <f t="shared" si="11"/>
        <v>0</v>
      </c>
      <c r="Z31" s="27">
        <f t="shared" si="11"/>
        <v>0</v>
      </c>
      <c r="AA31" s="27">
        <f t="shared" si="11"/>
        <v>53</v>
      </c>
      <c r="AB31" s="28">
        <f>AVERAGE(AB6:AB30)</f>
        <v>0.72727272727272729</v>
      </c>
      <c r="AC31" s="4">
        <f>AVERAGE(AC6:AC30)</f>
        <v>0.54833333333333334</v>
      </c>
      <c r="AD31" s="4">
        <f>AVERAGE(AD6:AD30)</f>
        <v>0.54833333333333334</v>
      </c>
      <c r="AE31" s="29"/>
    </row>
    <row r="32" spans="1:32">
      <c r="T32" s="50" t="s">
        <v>128</v>
      </c>
    </row>
    <row r="33" spans="1:32" ht="18.75">
      <c r="A33" s="2"/>
      <c r="B33" s="2" t="s">
        <v>35</v>
      </c>
      <c r="C33" s="2"/>
      <c r="D33" s="2"/>
      <c r="E33" s="2"/>
      <c r="F33" s="2"/>
      <c r="G33" s="2"/>
      <c r="H33" s="3"/>
      <c r="I33" s="3"/>
      <c r="J33" s="2"/>
      <c r="K33" s="2"/>
      <c r="L33" s="2"/>
      <c r="M33" s="2"/>
      <c r="N33" s="2" t="s">
        <v>36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1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 t="s">
        <v>129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82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27">
      <c r="A48" s="59"/>
      <c r="B48" s="59"/>
      <c r="C48" s="59"/>
      <c r="D48" s="59"/>
      <c r="E48" s="59"/>
      <c r="F48" s="37"/>
      <c r="G48" s="37"/>
      <c r="H48" s="38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F48" s="50"/>
    </row>
    <row r="49" spans="1:32" ht="29.25" customHeight="1">
      <c r="A49" s="60"/>
      <c r="B49" s="60"/>
      <c r="C49" s="61"/>
      <c r="D49" s="61"/>
      <c r="E49" s="61"/>
      <c r="F49" s="60"/>
      <c r="G49" s="60"/>
      <c r="H49" s="60"/>
      <c r="I49" s="60"/>
      <c r="J49" s="60"/>
      <c r="K49" s="60"/>
      <c r="L49" s="60"/>
      <c r="M49" s="61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29.25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36" thickBot="1">
      <c r="A58" s="481" t="s">
        <v>45</v>
      </c>
      <c r="B58" s="481"/>
      <c r="C58" s="481"/>
      <c r="D58" s="481"/>
      <c r="E58" s="481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F58" s="50"/>
    </row>
    <row r="59" spans="1:32" ht="26.25" thickBot="1">
      <c r="A59" s="482" t="s">
        <v>684</v>
      </c>
      <c r="B59" s="483"/>
      <c r="C59" s="483"/>
      <c r="D59" s="483"/>
      <c r="E59" s="483"/>
      <c r="F59" s="483"/>
      <c r="G59" s="483"/>
      <c r="H59" s="483"/>
      <c r="I59" s="483"/>
      <c r="J59" s="483"/>
      <c r="K59" s="483"/>
      <c r="L59" s="483"/>
      <c r="M59" s="484"/>
      <c r="N59" s="485" t="s">
        <v>701</v>
      </c>
      <c r="O59" s="486"/>
      <c r="P59" s="486"/>
      <c r="Q59" s="486"/>
      <c r="R59" s="486"/>
      <c r="S59" s="486"/>
      <c r="T59" s="486"/>
      <c r="U59" s="486"/>
      <c r="V59" s="486"/>
      <c r="W59" s="486"/>
      <c r="X59" s="486"/>
      <c r="Y59" s="486"/>
      <c r="Z59" s="486"/>
      <c r="AA59" s="486"/>
      <c r="AB59" s="486"/>
      <c r="AC59" s="486"/>
      <c r="AD59" s="487"/>
    </row>
    <row r="60" spans="1:32" ht="27" customHeight="1">
      <c r="A60" s="488" t="s">
        <v>2</v>
      </c>
      <c r="B60" s="489"/>
      <c r="C60" s="319" t="s">
        <v>46</v>
      </c>
      <c r="D60" s="319" t="s">
        <v>47</v>
      </c>
      <c r="E60" s="319" t="s">
        <v>107</v>
      </c>
      <c r="F60" s="490" t="s">
        <v>106</v>
      </c>
      <c r="G60" s="491"/>
      <c r="H60" s="491"/>
      <c r="I60" s="491"/>
      <c r="J60" s="491"/>
      <c r="K60" s="491"/>
      <c r="L60" s="491"/>
      <c r="M60" s="492"/>
      <c r="N60" s="67" t="s">
        <v>110</v>
      </c>
      <c r="O60" s="319" t="s">
        <v>46</v>
      </c>
      <c r="P60" s="490" t="s">
        <v>47</v>
      </c>
      <c r="Q60" s="493"/>
      <c r="R60" s="490" t="s">
        <v>38</v>
      </c>
      <c r="S60" s="491"/>
      <c r="T60" s="491"/>
      <c r="U60" s="493"/>
      <c r="V60" s="490" t="s">
        <v>48</v>
      </c>
      <c r="W60" s="491"/>
      <c r="X60" s="491"/>
      <c r="Y60" s="491"/>
      <c r="Z60" s="491"/>
      <c r="AA60" s="491"/>
      <c r="AB60" s="491"/>
      <c r="AC60" s="491"/>
      <c r="AD60" s="492"/>
    </row>
    <row r="61" spans="1:32" ht="27" customHeight="1">
      <c r="A61" s="455" t="s">
        <v>112</v>
      </c>
      <c r="B61" s="456"/>
      <c r="C61" s="314" t="s">
        <v>207</v>
      </c>
      <c r="D61" s="314" t="s">
        <v>138</v>
      </c>
      <c r="E61" s="315" t="s">
        <v>685</v>
      </c>
      <c r="F61" s="457" t="s">
        <v>187</v>
      </c>
      <c r="G61" s="458"/>
      <c r="H61" s="458"/>
      <c r="I61" s="458"/>
      <c r="J61" s="458"/>
      <c r="K61" s="458"/>
      <c r="L61" s="458"/>
      <c r="M61" s="459"/>
      <c r="N61" s="324" t="s">
        <v>126</v>
      </c>
      <c r="O61" s="330" t="s">
        <v>315</v>
      </c>
      <c r="P61" s="472"/>
      <c r="Q61" s="473"/>
      <c r="R61" s="472" t="s">
        <v>702</v>
      </c>
      <c r="S61" s="474"/>
      <c r="T61" s="474"/>
      <c r="U61" s="473"/>
      <c r="V61" s="461" t="s">
        <v>187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126</v>
      </c>
      <c r="B62" s="456"/>
      <c r="C62" s="314" t="s">
        <v>155</v>
      </c>
      <c r="D62" s="314" t="s">
        <v>115</v>
      </c>
      <c r="E62" s="315" t="s">
        <v>679</v>
      </c>
      <c r="F62" s="457" t="s">
        <v>187</v>
      </c>
      <c r="G62" s="458"/>
      <c r="H62" s="458"/>
      <c r="I62" s="458"/>
      <c r="J62" s="458"/>
      <c r="K62" s="458"/>
      <c r="L62" s="458"/>
      <c r="M62" s="459"/>
      <c r="N62" s="318" t="s">
        <v>704</v>
      </c>
      <c r="O62" s="312" t="s">
        <v>700</v>
      </c>
      <c r="P62" s="472" t="s">
        <v>699</v>
      </c>
      <c r="Q62" s="473"/>
      <c r="R62" s="472" t="s">
        <v>695</v>
      </c>
      <c r="S62" s="474"/>
      <c r="T62" s="474"/>
      <c r="U62" s="473"/>
      <c r="V62" s="461" t="s">
        <v>703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126</v>
      </c>
      <c r="B63" s="456"/>
      <c r="C63" s="314" t="s">
        <v>687</v>
      </c>
      <c r="D63" s="314" t="s">
        <v>688</v>
      </c>
      <c r="E63" s="315" t="s">
        <v>686</v>
      </c>
      <c r="F63" s="457" t="s">
        <v>187</v>
      </c>
      <c r="G63" s="458"/>
      <c r="H63" s="458"/>
      <c r="I63" s="458"/>
      <c r="J63" s="458"/>
      <c r="K63" s="458"/>
      <c r="L63" s="458"/>
      <c r="M63" s="459"/>
      <c r="N63" s="318"/>
      <c r="O63" s="312"/>
      <c r="P63" s="472"/>
      <c r="Q63" s="473"/>
      <c r="R63" s="472"/>
      <c r="S63" s="474"/>
      <c r="T63" s="474"/>
      <c r="U63" s="473"/>
      <c r="V63" s="461"/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690</v>
      </c>
      <c r="B64" s="456"/>
      <c r="C64" s="314" t="s">
        <v>691</v>
      </c>
      <c r="D64" s="314"/>
      <c r="E64" s="315" t="s">
        <v>689</v>
      </c>
      <c r="F64" s="457" t="s">
        <v>187</v>
      </c>
      <c r="G64" s="458"/>
      <c r="H64" s="458"/>
      <c r="I64" s="458"/>
      <c r="J64" s="458"/>
      <c r="K64" s="458"/>
      <c r="L64" s="458"/>
      <c r="M64" s="459"/>
      <c r="N64" s="318"/>
      <c r="O64" s="312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 t="s">
        <v>696</v>
      </c>
      <c r="B65" s="456"/>
      <c r="C65" s="314" t="s">
        <v>697</v>
      </c>
      <c r="D65" s="314" t="s">
        <v>698</v>
      </c>
      <c r="E65" s="315" t="s">
        <v>692</v>
      </c>
      <c r="F65" s="457" t="s">
        <v>693</v>
      </c>
      <c r="G65" s="458"/>
      <c r="H65" s="458"/>
      <c r="I65" s="458"/>
      <c r="J65" s="458"/>
      <c r="K65" s="458"/>
      <c r="L65" s="458"/>
      <c r="M65" s="459"/>
      <c r="N65" s="318"/>
      <c r="O65" s="312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 t="s">
        <v>112</v>
      </c>
      <c r="B66" s="456"/>
      <c r="C66" s="314" t="s">
        <v>700</v>
      </c>
      <c r="D66" s="314" t="s">
        <v>699</v>
      </c>
      <c r="E66" s="315" t="s">
        <v>695</v>
      </c>
      <c r="F66" s="457" t="s">
        <v>694</v>
      </c>
      <c r="G66" s="458"/>
      <c r="H66" s="458"/>
      <c r="I66" s="458"/>
      <c r="J66" s="458"/>
      <c r="K66" s="458"/>
      <c r="L66" s="458"/>
      <c r="M66" s="459"/>
      <c r="N66" s="318"/>
      <c r="O66" s="312"/>
      <c r="P66" s="472"/>
      <c r="Q66" s="473"/>
      <c r="R66" s="472"/>
      <c r="S66" s="474"/>
      <c r="T66" s="474"/>
      <c r="U66" s="473"/>
      <c r="V66" s="461"/>
      <c r="W66" s="462"/>
      <c r="X66" s="462"/>
      <c r="Y66" s="462"/>
      <c r="Z66" s="462"/>
      <c r="AA66" s="462"/>
      <c r="AB66" s="462"/>
      <c r="AC66" s="462"/>
      <c r="AD66" s="463"/>
    </row>
    <row r="67" spans="1:32" ht="27" customHeight="1">
      <c r="A67" s="455"/>
      <c r="B67" s="456"/>
      <c r="C67" s="314"/>
      <c r="D67" s="314"/>
      <c r="E67" s="315"/>
      <c r="F67" s="457"/>
      <c r="G67" s="458"/>
      <c r="H67" s="458"/>
      <c r="I67" s="458"/>
      <c r="J67" s="458"/>
      <c r="K67" s="458"/>
      <c r="L67" s="458"/>
      <c r="M67" s="459"/>
      <c r="N67" s="318"/>
      <c r="O67" s="312"/>
      <c r="P67" s="472"/>
      <c r="Q67" s="473"/>
      <c r="R67" s="472"/>
      <c r="S67" s="474"/>
      <c r="T67" s="474"/>
      <c r="U67" s="473"/>
      <c r="V67" s="461"/>
      <c r="W67" s="462"/>
      <c r="X67" s="462"/>
      <c r="Y67" s="462"/>
      <c r="Z67" s="462"/>
      <c r="AA67" s="462"/>
      <c r="AB67" s="462"/>
      <c r="AC67" s="462"/>
      <c r="AD67" s="463"/>
    </row>
    <row r="68" spans="1:32" ht="27" customHeight="1">
      <c r="A68" s="455"/>
      <c r="B68" s="456"/>
      <c r="C68" s="314"/>
      <c r="D68" s="314"/>
      <c r="E68" s="315"/>
      <c r="F68" s="457"/>
      <c r="G68" s="458"/>
      <c r="H68" s="458"/>
      <c r="I68" s="458"/>
      <c r="J68" s="458"/>
      <c r="K68" s="458"/>
      <c r="L68" s="458"/>
      <c r="M68" s="459"/>
      <c r="N68" s="318"/>
      <c r="O68" s="312"/>
      <c r="P68" s="472"/>
      <c r="Q68" s="473"/>
      <c r="R68" s="472"/>
      <c r="S68" s="474"/>
      <c r="T68" s="474"/>
      <c r="U68" s="473"/>
      <c r="V68" s="461"/>
      <c r="W68" s="462"/>
      <c r="X68" s="462"/>
      <c r="Y68" s="462"/>
      <c r="Z68" s="462"/>
      <c r="AA68" s="462"/>
      <c r="AB68" s="462"/>
      <c r="AC68" s="462"/>
      <c r="AD68" s="463"/>
    </row>
    <row r="69" spans="1:32" ht="27" customHeight="1">
      <c r="A69" s="455"/>
      <c r="B69" s="456"/>
      <c r="C69" s="314"/>
      <c r="D69" s="314"/>
      <c r="E69" s="315"/>
      <c r="F69" s="457"/>
      <c r="G69" s="458"/>
      <c r="H69" s="458"/>
      <c r="I69" s="458"/>
      <c r="J69" s="458"/>
      <c r="K69" s="458"/>
      <c r="L69" s="458"/>
      <c r="M69" s="459"/>
      <c r="N69" s="318"/>
      <c r="O69" s="312"/>
      <c r="P69" s="460"/>
      <c r="Q69" s="460"/>
      <c r="R69" s="460"/>
      <c r="S69" s="460"/>
      <c r="T69" s="460"/>
      <c r="U69" s="460"/>
      <c r="V69" s="461"/>
      <c r="W69" s="462"/>
      <c r="X69" s="462"/>
      <c r="Y69" s="462"/>
      <c r="Z69" s="462"/>
      <c r="AA69" s="462"/>
      <c r="AB69" s="462"/>
      <c r="AC69" s="462"/>
      <c r="AD69" s="463"/>
      <c r="AF69" s="81">
        <f>8*3000</f>
        <v>24000</v>
      </c>
    </row>
    <row r="70" spans="1:32" ht="27" customHeight="1" thickBot="1">
      <c r="A70" s="464"/>
      <c r="B70" s="465"/>
      <c r="C70" s="316"/>
      <c r="D70" s="317"/>
      <c r="E70" s="316"/>
      <c r="F70" s="466"/>
      <c r="G70" s="467"/>
      <c r="H70" s="467"/>
      <c r="I70" s="467"/>
      <c r="J70" s="467"/>
      <c r="K70" s="467"/>
      <c r="L70" s="467"/>
      <c r="M70" s="468"/>
      <c r="N70" s="105"/>
      <c r="O70" s="97"/>
      <c r="P70" s="469"/>
      <c r="Q70" s="469"/>
      <c r="R70" s="469"/>
      <c r="S70" s="469"/>
      <c r="T70" s="469"/>
      <c r="U70" s="469"/>
      <c r="V70" s="470"/>
      <c r="W70" s="470"/>
      <c r="X70" s="470"/>
      <c r="Y70" s="470"/>
      <c r="Z70" s="470"/>
      <c r="AA70" s="470"/>
      <c r="AB70" s="470"/>
      <c r="AC70" s="470"/>
      <c r="AD70" s="471"/>
      <c r="AF70" s="81">
        <f>16*3000</f>
        <v>48000</v>
      </c>
    </row>
    <row r="71" spans="1:32" ht="27.75" thickBot="1">
      <c r="A71" s="453" t="s">
        <v>705</v>
      </c>
      <c r="B71" s="453"/>
      <c r="C71" s="453"/>
      <c r="D71" s="453"/>
      <c r="E71" s="45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81">
        <v>24000</v>
      </c>
    </row>
    <row r="72" spans="1:32" ht="29.25" customHeight="1" thickBot="1">
      <c r="A72" s="454" t="s">
        <v>111</v>
      </c>
      <c r="B72" s="451"/>
      <c r="C72" s="313" t="s">
        <v>2</v>
      </c>
      <c r="D72" s="313" t="s">
        <v>37</v>
      </c>
      <c r="E72" s="313" t="s">
        <v>3</v>
      </c>
      <c r="F72" s="451" t="s">
        <v>109</v>
      </c>
      <c r="G72" s="451"/>
      <c r="H72" s="451"/>
      <c r="I72" s="451"/>
      <c r="J72" s="451"/>
      <c r="K72" s="451" t="s">
        <v>39</v>
      </c>
      <c r="L72" s="451"/>
      <c r="M72" s="313" t="s">
        <v>40</v>
      </c>
      <c r="N72" s="451" t="s">
        <v>41</v>
      </c>
      <c r="O72" s="451"/>
      <c r="P72" s="448" t="s">
        <v>42</v>
      </c>
      <c r="Q72" s="450"/>
      <c r="R72" s="448" t="s">
        <v>43</v>
      </c>
      <c r="S72" s="449"/>
      <c r="T72" s="449"/>
      <c r="U72" s="449"/>
      <c r="V72" s="449"/>
      <c r="W72" s="449"/>
      <c r="X72" s="449"/>
      <c r="Y72" s="449"/>
      <c r="Z72" s="449"/>
      <c r="AA72" s="450"/>
      <c r="AB72" s="451" t="s">
        <v>44</v>
      </c>
      <c r="AC72" s="451"/>
      <c r="AD72" s="452"/>
      <c r="AF72" s="81">
        <f>SUM(AF69:AF71)</f>
        <v>96000</v>
      </c>
    </row>
    <row r="73" spans="1:32" ht="25.5" customHeight="1">
      <c r="A73" s="439">
        <v>1</v>
      </c>
      <c r="B73" s="440"/>
      <c r="C73" s="98" t="s">
        <v>126</v>
      </c>
      <c r="D73" s="308"/>
      <c r="E73" s="311" t="s">
        <v>236</v>
      </c>
      <c r="F73" s="441" t="s">
        <v>707</v>
      </c>
      <c r="G73" s="431"/>
      <c r="H73" s="431"/>
      <c r="I73" s="431"/>
      <c r="J73" s="431"/>
      <c r="K73" s="431">
        <v>8301</v>
      </c>
      <c r="L73" s="431"/>
      <c r="M73" s="51" t="s">
        <v>154</v>
      </c>
      <c r="N73" s="442" t="s">
        <v>192</v>
      </c>
      <c r="O73" s="442"/>
      <c r="P73" s="443">
        <v>50</v>
      </c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2</v>
      </c>
      <c r="B74" s="440"/>
      <c r="C74" s="98" t="s">
        <v>673</v>
      </c>
      <c r="D74" s="308"/>
      <c r="E74" s="311" t="s">
        <v>674</v>
      </c>
      <c r="F74" s="445" t="s">
        <v>706</v>
      </c>
      <c r="G74" s="446"/>
      <c r="H74" s="446"/>
      <c r="I74" s="446"/>
      <c r="J74" s="447"/>
      <c r="K74" s="431" t="s">
        <v>675</v>
      </c>
      <c r="L74" s="431"/>
      <c r="M74" s="51" t="s">
        <v>514</v>
      </c>
      <c r="N74" s="442" t="s">
        <v>315</v>
      </c>
      <c r="O74" s="442"/>
      <c r="P74" s="443">
        <v>50</v>
      </c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3</v>
      </c>
      <c r="B75" s="440"/>
      <c r="C75" s="98" t="s">
        <v>112</v>
      </c>
      <c r="D75" s="308"/>
      <c r="E75" s="311" t="s">
        <v>115</v>
      </c>
      <c r="F75" s="441" t="s">
        <v>708</v>
      </c>
      <c r="G75" s="431"/>
      <c r="H75" s="431"/>
      <c r="I75" s="431"/>
      <c r="J75" s="431"/>
      <c r="K75" s="431" t="s">
        <v>709</v>
      </c>
      <c r="L75" s="431"/>
      <c r="M75" s="51" t="s">
        <v>154</v>
      </c>
      <c r="N75" s="442" t="s">
        <v>192</v>
      </c>
      <c r="O75" s="442"/>
      <c r="P75" s="443">
        <v>50</v>
      </c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4</v>
      </c>
      <c r="B76" s="440"/>
      <c r="C76" s="98" t="s">
        <v>696</v>
      </c>
      <c r="D76" s="308"/>
      <c r="E76" s="311" t="s">
        <v>710</v>
      </c>
      <c r="F76" s="445" t="s">
        <v>711</v>
      </c>
      <c r="G76" s="446"/>
      <c r="H76" s="446"/>
      <c r="I76" s="446"/>
      <c r="J76" s="447"/>
      <c r="K76" s="431" t="s">
        <v>712</v>
      </c>
      <c r="L76" s="431"/>
      <c r="M76" s="51" t="s">
        <v>154</v>
      </c>
      <c r="N76" s="442" t="s">
        <v>615</v>
      </c>
      <c r="O76" s="442"/>
      <c r="P76" s="443">
        <v>400</v>
      </c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5</v>
      </c>
      <c r="B77" s="440"/>
      <c r="C77" s="98"/>
      <c r="D77" s="308"/>
      <c r="E77" s="311"/>
      <c r="F77" s="445"/>
      <c r="G77" s="446"/>
      <c r="H77" s="446"/>
      <c r="I77" s="446"/>
      <c r="J77" s="447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6</v>
      </c>
      <c r="B78" s="440"/>
      <c r="C78" s="98"/>
      <c r="D78" s="308"/>
      <c r="E78" s="311"/>
      <c r="F78" s="445"/>
      <c r="G78" s="446"/>
      <c r="H78" s="446"/>
      <c r="I78" s="446"/>
      <c r="J78" s="447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7</v>
      </c>
      <c r="B79" s="440"/>
      <c r="C79" s="98"/>
      <c r="D79" s="308"/>
      <c r="E79" s="311"/>
      <c r="F79" s="445"/>
      <c r="G79" s="446"/>
      <c r="H79" s="446"/>
      <c r="I79" s="446"/>
      <c r="J79" s="447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5.5" customHeight="1">
      <c r="A80" s="439">
        <v>8</v>
      </c>
      <c r="B80" s="440"/>
      <c r="C80" s="98"/>
      <c r="D80" s="308"/>
      <c r="E80" s="311"/>
      <c r="F80" s="441"/>
      <c r="G80" s="431"/>
      <c r="H80" s="431"/>
      <c r="I80" s="431"/>
      <c r="J80" s="431"/>
      <c r="K80" s="431"/>
      <c r="L80" s="431"/>
      <c r="M80" s="51"/>
      <c r="N80" s="442"/>
      <c r="O80" s="442"/>
      <c r="P80" s="443"/>
      <c r="Q80" s="443"/>
      <c r="R80" s="444"/>
      <c r="S80" s="444"/>
      <c r="T80" s="444"/>
      <c r="U80" s="444"/>
      <c r="V80" s="444"/>
      <c r="W80" s="444"/>
      <c r="X80" s="444"/>
      <c r="Y80" s="444"/>
      <c r="Z80" s="444"/>
      <c r="AA80" s="444"/>
      <c r="AB80" s="431"/>
      <c r="AC80" s="431"/>
      <c r="AD80" s="432"/>
      <c r="AF80" s="50"/>
    </row>
    <row r="81" spans="1:32" ht="25.5" customHeight="1">
      <c r="A81" s="439">
        <v>9</v>
      </c>
      <c r="B81" s="440"/>
      <c r="C81" s="98"/>
      <c r="D81" s="308"/>
      <c r="E81" s="311"/>
      <c r="F81" s="441"/>
      <c r="G81" s="431"/>
      <c r="H81" s="431"/>
      <c r="I81" s="431"/>
      <c r="J81" s="431"/>
      <c r="K81" s="431"/>
      <c r="L81" s="431"/>
      <c r="M81" s="51"/>
      <c r="N81" s="442"/>
      <c r="O81" s="442"/>
      <c r="P81" s="443"/>
      <c r="Q81" s="443"/>
      <c r="R81" s="444"/>
      <c r="S81" s="444"/>
      <c r="T81" s="444"/>
      <c r="U81" s="444"/>
      <c r="V81" s="444"/>
      <c r="W81" s="444"/>
      <c r="X81" s="444"/>
      <c r="Y81" s="444"/>
      <c r="Z81" s="444"/>
      <c r="AA81" s="444"/>
      <c r="AB81" s="431"/>
      <c r="AC81" s="431"/>
      <c r="AD81" s="432"/>
      <c r="AF81" s="50"/>
    </row>
    <row r="82" spans="1:32" ht="25.5" customHeight="1">
      <c r="A82" s="439">
        <v>10</v>
      </c>
      <c r="B82" s="440"/>
      <c r="C82" s="98"/>
      <c r="D82" s="308"/>
      <c r="E82" s="311"/>
      <c r="F82" s="441"/>
      <c r="G82" s="431"/>
      <c r="H82" s="431"/>
      <c r="I82" s="431"/>
      <c r="J82" s="431"/>
      <c r="K82" s="431"/>
      <c r="L82" s="431"/>
      <c r="M82" s="51"/>
      <c r="N82" s="442"/>
      <c r="O82" s="442"/>
      <c r="P82" s="443"/>
      <c r="Q82" s="443"/>
      <c r="R82" s="444"/>
      <c r="S82" s="444"/>
      <c r="T82" s="444"/>
      <c r="U82" s="444"/>
      <c r="V82" s="444"/>
      <c r="W82" s="444"/>
      <c r="X82" s="444"/>
      <c r="Y82" s="444"/>
      <c r="Z82" s="444"/>
      <c r="AA82" s="444"/>
      <c r="AB82" s="431"/>
      <c r="AC82" s="431"/>
      <c r="AD82" s="432"/>
      <c r="AF82" s="50"/>
    </row>
    <row r="83" spans="1:32" ht="26.25" customHeight="1" thickBot="1">
      <c r="A83" s="411" t="s">
        <v>713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23.25" thickBot="1">
      <c r="A84" s="433" t="s">
        <v>111</v>
      </c>
      <c r="B84" s="434"/>
      <c r="C84" s="310" t="s">
        <v>2</v>
      </c>
      <c r="D84" s="310" t="s">
        <v>37</v>
      </c>
      <c r="E84" s="310" t="s">
        <v>120</v>
      </c>
      <c r="F84" s="413" t="s">
        <v>38</v>
      </c>
      <c r="G84" s="413"/>
      <c r="H84" s="413"/>
      <c r="I84" s="413"/>
      <c r="J84" s="413"/>
      <c r="K84" s="435" t="s">
        <v>58</v>
      </c>
      <c r="L84" s="436"/>
      <c r="M84" s="436"/>
      <c r="N84" s="436"/>
      <c r="O84" s="436"/>
      <c r="P84" s="436"/>
      <c r="Q84" s="436"/>
      <c r="R84" s="436"/>
      <c r="S84" s="437"/>
      <c r="T84" s="413" t="s">
        <v>49</v>
      </c>
      <c r="U84" s="413"/>
      <c r="V84" s="435" t="s">
        <v>50</v>
      </c>
      <c r="W84" s="437"/>
      <c r="X84" s="436" t="s">
        <v>51</v>
      </c>
      <c r="Y84" s="436"/>
      <c r="Z84" s="436"/>
      <c r="AA84" s="436"/>
      <c r="AB84" s="436"/>
      <c r="AC84" s="436"/>
      <c r="AD84" s="438"/>
      <c r="AF84" s="50"/>
    </row>
    <row r="85" spans="1:32" ht="33.75" customHeight="1">
      <c r="A85" s="405">
        <v>1</v>
      </c>
      <c r="B85" s="406"/>
      <c r="C85" s="309"/>
      <c r="D85" s="309"/>
      <c r="E85" s="65"/>
      <c r="F85" s="420"/>
      <c r="G85" s="421"/>
      <c r="H85" s="421"/>
      <c r="I85" s="421"/>
      <c r="J85" s="422"/>
      <c r="K85" s="423"/>
      <c r="L85" s="424"/>
      <c r="M85" s="424"/>
      <c r="N85" s="424"/>
      <c r="O85" s="424"/>
      <c r="P85" s="424"/>
      <c r="Q85" s="424"/>
      <c r="R85" s="424"/>
      <c r="S85" s="425"/>
      <c r="T85" s="426"/>
      <c r="U85" s="427"/>
      <c r="V85" s="428"/>
      <c r="W85" s="428"/>
      <c r="X85" s="429"/>
      <c r="Y85" s="429"/>
      <c r="Z85" s="429"/>
      <c r="AA85" s="429"/>
      <c r="AB85" s="429"/>
      <c r="AC85" s="429"/>
      <c r="AD85" s="430"/>
      <c r="AF85" s="50"/>
    </row>
    <row r="86" spans="1:32" ht="30" customHeight="1">
      <c r="A86" s="398">
        <f>A85+1</f>
        <v>2</v>
      </c>
      <c r="B86" s="399"/>
      <c r="C86" s="308"/>
      <c r="D86" s="308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ref="A87:A91" si="12">A86+1</f>
        <v>3</v>
      </c>
      <c r="B87" s="399"/>
      <c r="C87" s="308"/>
      <c r="D87" s="308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2"/>
        <v>4</v>
      </c>
      <c r="B88" s="399"/>
      <c r="C88" s="308"/>
      <c r="D88" s="308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0" customHeight="1">
      <c r="A89" s="398">
        <f t="shared" si="12"/>
        <v>5</v>
      </c>
      <c r="B89" s="399"/>
      <c r="C89" s="308"/>
      <c r="D89" s="308"/>
      <c r="E89" s="32"/>
      <c r="F89" s="399"/>
      <c r="G89" s="399"/>
      <c r="H89" s="399"/>
      <c r="I89" s="399"/>
      <c r="J89" s="399"/>
      <c r="K89" s="414"/>
      <c r="L89" s="415"/>
      <c r="M89" s="415"/>
      <c r="N89" s="415"/>
      <c r="O89" s="415"/>
      <c r="P89" s="415"/>
      <c r="Q89" s="415"/>
      <c r="R89" s="415"/>
      <c r="S89" s="416"/>
      <c r="T89" s="417"/>
      <c r="U89" s="417"/>
      <c r="V89" s="417"/>
      <c r="W89" s="417"/>
      <c r="X89" s="418"/>
      <c r="Y89" s="418"/>
      <c r="Z89" s="418"/>
      <c r="AA89" s="418"/>
      <c r="AB89" s="418"/>
      <c r="AC89" s="418"/>
      <c r="AD89" s="419"/>
      <c r="AF89" s="50"/>
    </row>
    <row r="90" spans="1:32" ht="30" customHeight="1">
      <c r="A90" s="398">
        <f t="shared" si="12"/>
        <v>6</v>
      </c>
      <c r="B90" s="399"/>
      <c r="C90" s="308"/>
      <c r="D90" s="308"/>
      <c r="E90" s="32"/>
      <c r="F90" s="399"/>
      <c r="G90" s="399"/>
      <c r="H90" s="399"/>
      <c r="I90" s="399"/>
      <c r="J90" s="399"/>
      <c r="K90" s="414"/>
      <c r="L90" s="415"/>
      <c r="M90" s="415"/>
      <c r="N90" s="415"/>
      <c r="O90" s="415"/>
      <c r="P90" s="415"/>
      <c r="Q90" s="415"/>
      <c r="R90" s="415"/>
      <c r="S90" s="416"/>
      <c r="T90" s="417"/>
      <c r="U90" s="417"/>
      <c r="V90" s="417"/>
      <c r="W90" s="417"/>
      <c r="X90" s="418"/>
      <c r="Y90" s="418"/>
      <c r="Z90" s="418"/>
      <c r="AA90" s="418"/>
      <c r="AB90" s="418"/>
      <c r="AC90" s="418"/>
      <c r="AD90" s="419"/>
      <c r="AF90" s="50"/>
    </row>
    <row r="91" spans="1:32" ht="30" customHeight="1">
      <c r="A91" s="398">
        <f t="shared" si="12"/>
        <v>7</v>
      </c>
      <c r="B91" s="399"/>
      <c r="C91" s="308"/>
      <c r="D91" s="308"/>
      <c r="E91" s="32"/>
      <c r="F91" s="399"/>
      <c r="G91" s="399"/>
      <c r="H91" s="399"/>
      <c r="I91" s="399"/>
      <c r="J91" s="399"/>
      <c r="K91" s="414"/>
      <c r="L91" s="415"/>
      <c r="M91" s="415"/>
      <c r="N91" s="415"/>
      <c r="O91" s="415"/>
      <c r="P91" s="415"/>
      <c r="Q91" s="415"/>
      <c r="R91" s="415"/>
      <c r="S91" s="416"/>
      <c r="T91" s="417"/>
      <c r="U91" s="417"/>
      <c r="V91" s="417"/>
      <c r="W91" s="417"/>
      <c r="X91" s="418"/>
      <c r="Y91" s="418"/>
      <c r="Z91" s="418"/>
      <c r="AA91" s="418"/>
      <c r="AB91" s="418"/>
      <c r="AC91" s="418"/>
      <c r="AD91" s="419"/>
      <c r="AF91" s="50"/>
    </row>
    <row r="92" spans="1:32" ht="36" thickBot="1">
      <c r="A92" s="411" t="s">
        <v>714</v>
      </c>
      <c r="B92" s="411"/>
      <c r="C92" s="411"/>
      <c r="D92" s="411"/>
      <c r="E92" s="411"/>
      <c r="F92" s="37"/>
      <c r="G92" s="37"/>
      <c r="H92" s="38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F92" s="50"/>
    </row>
    <row r="93" spans="1:32" ht="30.75" customHeight="1" thickBot="1">
      <c r="A93" s="412" t="s">
        <v>111</v>
      </c>
      <c r="B93" s="413"/>
      <c r="C93" s="403" t="s">
        <v>52</v>
      </c>
      <c r="D93" s="403"/>
      <c r="E93" s="403" t="s">
        <v>53</v>
      </c>
      <c r="F93" s="403"/>
      <c r="G93" s="403"/>
      <c r="H93" s="403"/>
      <c r="I93" s="403"/>
      <c r="J93" s="403"/>
      <c r="K93" s="403" t="s">
        <v>54</v>
      </c>
      <c r="L93" s="403"/>
      <c r="M93" s="403"/>
      <c r="N93" s="403"/>
      <c r="O93" s="403"/>
      <c r="P93" s="403"/>
      <c r="Q93" s="403"/>
      <c r="R93" s="403"/>
      <c r="S93" s="403"/>
      <c r="T93" s="403" t="s">
        <v>55</v>
      </c>
      <c r="U93" s="403"/>
      <c r="V93" s="403" t="s">
        <v>56</v>
      </c>
      <c r="W93" s="403"/>
      <c r="X93" s="403"/>
      <c r="Y93" s="403" t="s">
        <v>51</v>
      </c>
      <c r="Z93" s="403"/>
      <c r="AA93" s="403"/>
      <c r="AB93" s="403"/>
      <c r="AC93" s="403"/>
      <c r="AD93" s="404"/>
      <c r="AF93" s="50"/>
    </row>
    <row r="94" spans="1:32" ht="30.75" customHeight="1">
      <c r="A94" s="405">
        <v>1</v>
      </c>
      <c r="B94" s="406"/>
      <c r="C94" s="407"/>
      <c r="D94" s="407"/>
      <c r="E94" s="407"/>
      <c r="F94" s="407"/>
      <c r="G94" s="407"/>
      <c r="H94" s="407"/>
      <c r="I94" s="407"/>
      <c r="J94" s="407"/>
      <c r="K94" s="407"/>
      <c r="L94" s="407"/>
      <c r="M94" s="407"/>
      <c r="N94" s="407"/>
      <c r="O94" s="407"/>
      <c r="P94" s="407"/>
      <c r="Q94" s="407"/>
      <c r="R94" s="407"/>
      <c r="S94" s="407"/>
      <c r="T94" s="407"/>
      <c r="U94" s="407"/>
      <c r="V94" s="408"/>
      <c r="W94" s="408"/>
      <c r="X94" s="408"/>
      <c r="Y94" s="409"/>
      <c r="Z94" s="409"/>
      <c r="AA94" s="409"/>
      <c r="AB94" s="409"/>
      <c r="AC94" s="409"/>
      <c r="AD94" s="410"/>
      <c r="AF94" s="50"/>
    </row>
    <row r="95" spans="1:32" ht="30.75" customHeight="1">
      <c r="A95" s="398">
        <v>2</v>
      </c>
      <c r="B95" s="399"/>
      <c r="C95" s="400"/>
      <c r="D95" s="400"/>
      <c r="E95" s="400"/>
      <c r="F95" s="400"/>
      <c r="G95" s="400"/>
      <c r="H95" s="400"/>
      <c r="I95" s="400"/>
      <c r="J95" s="400"/>
      <c r="K95" s="400"/>
      <c r="L95" s="400"/>
      <c r="M95" s="400"/>
      <c r="N95" s="400"/>
      <c r="O95" s="400"/>
      <c r="P95" s="400"/>
      <c r="Q95" s="400"/>
      <c r="R95" s="400"/>
      <c r="S95" s="400"/>
      <c r="T95" s="401"/>
      <c r="U95" s="401"/>
      <c r="V95" s="402"/>
      <c r="W95" s="402"/>
      <c r="X95" s="402"/>
      <c r="Y95" s="390"/>
      <c r="Z95" s="390"/>
      <c r="AA95" s="390"/>
      <c r="AB95" s="390"/>
      <c r="AC95" s="390"/>
      <c r="AD95" s="391"/>
      <c r="AF95" s="50"/>
    </row>
    <row r="96" spans="1:32" ht="30.75" customHeight="1" thickBot="1">
      <c r="A96" s="392">
        <v>3</v>
      </c>
      <c r="B96" s="393"/>
      <c r="C96" s="394"/>
      <c r="D96" s="394"/>
      <c r="E96" s="394"/>
      <c r="F96" s="394"/>
      <c r="G96" s="394"/>
      <c r="H96" s="394"/>
      <c r="I96" s="394"/>
      <c r="J96" s="394"/>
      <c r="K96" s="394"/>
      <c r="L96" s="394"/>
      <c r="M96" s="394"/>
      <c r="N96" s="394"/>
      <c r="O96" s="394"/>
      <c r="P96" s="394"/>
      <c r="Q96" s="394"/>
      <c r="R96" s="394"/>
      <c r="S96" s="394"/>
      <c r="T96" s="394"/>
      <c r="U96" s="394"/>
      <c r="V96" s="395"/>
      <c r="W96" s="395"/>
      <c r="X96" s="395"/>
      <c r="Y96" s="396"/>
      <c r="Z96" s="396"/>
      <c r="AA96" s="396"/>
      <c r="AB96" s="396"/>
      <c r="AC96" s="396"/>
      <c r="AD96" s="397"/>
      <c r="AF96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1:H31"/>
    <mergeCell ref="A58:E58"/>
    <mergeCell ref="A59:M59"/>
    <mergeCell ref="N59:AD59"/>
    <mergeCell ref="A60:B60"/>
    <mergeCell ref="F60:M60"/>
    <mergeCell ref="P60:Q60"/>
    <mergeCell ref="R60:U60"/>
    <mergeCell ref="V60:AD60"/>
    <mergeCell ref="I4:O4"/>
    <mergeCell ref="P4:Q4"/>
    <mergeCell ref="R4:V4"/>
    <mergeCell ref="W4:AA4"/>
    <mergeCell ref="AB4:AB5"/>
    <mergeCell ref="AC4:AC5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R69:U69"/>
    <mergeCell ref="V69:AD69"/>
    <mergeCell ref="A70:B70"/>
    <mergeCell ref="F70:M70"/>
    <mergeCell ref="P70:Q70"/>
    <mergeCell ref="R70:U70"/>
    <mergeCell ref="V70:AD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71:E71"/>
    <mergeCell ref="A72:B72"/>
    <mergeCell ref="F72:J72"/>
    <mergeCell ref="K72:L72"/>
    <mergeCell ref="N72:O72"/>
    <mergeCell ref="P72:Q72"/>
    <mergeCell ref="A69:B69"/>
    <mergeCell ref="F69:M69"/>
    <mergeCell ref="P69:Q69"/>
    <mergeCell ref="R72:AA72"/>
    <mergeCell ref="AB72:AD72"/>
    <mergeCell ref="A73:B73"/>
    <mergeCell ref="F73:J73"/>
    <mergeCell ref="K73:L73"/>
    <mergeCell ref="N73:O73"/>
    <mergeCell ref="P73:Q73"/>
    <mergeCell ref="R73:AA73"/>
    <mergeCell ref="AB73:AD73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B81"/>
    <mergeCell ref="F81:J81"/>
    <mergeCell ref="K81:L81"/>
    <mergeCell ref="N81:O81"/>
    <mergeCell ref="P81:Q81"/>
    <mergeCell ref="R81:AA81"/>
    <mergeCell ref="AB81:AD81"/>
    <mergeCell ref="A80:B80"/>
    <mergeCell ref="F80:J80"/>
    <mergeCell ref="K80:L80"/>
    <mergeCell ref="N80:O80"/>
    <mergeCell ref="P80:Q80"/>
    <mergeCell ref="R80:AA80"/>
    <mergeCell ref="AB82:AD82"/>
    <mergeCell ref="A83:E83"/>
    <mergeCell ref="A84:B84"/>
    <mergeCell ref="F84:J84"/>
    <mergeCell ref="K84:S84"/>
    <mergeCell ref="T84:U84"/>
    <mergeCell ref="V84:W84"/>
    <mergeCell ref="X84:AD84"/>
    <mergeCell ref="A82:B82"/>
    <mergeCell ref="F82:J82"/>
    <mergeCell ref="K82:L82"/>
    <mergeCell ref="N82:O82"/>
    <mergeCell ref="P82:Q82"/>
    <mergeCell ref="R82:AA82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V91:W91"/>
    <mergeCell ref="X91:AD91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92:E92"/>
    <mergeCell ref="A93:B93"/>
    <mergeCell ref="C93:D93"/>
    <mergeCell ref="E93:J93"/>
    <mergeCell ref="K93:S93"/>
    <mergeCell ref="T93:U93"/>
    <mergeCell ref="A91:B91"/>
    <mergeCell ref="F91:J91"/>
    <mergeCell ref="K91:S91"/>
    <mergeCell ref="T91:U91"/>
    <mergeCell ref="V93:X93"/>
    <mergeCell ref="Y93:AD93"/>
    <mergeCell ref="A94:B94"/>
    <mergeCell ref="C94:D94"/>
    <mergeCell ref="E94:J94"/>
    <mergeCell ref="K94:S94"/>
    <mergeCell ref="T94:U94"/>
    <mergeCell ref="V94:X94"/>
    <mergeCell ref="Y94:AD94"/>
    <mergeCell ref="Y95:AD95"/>
    <mergeCell ref="A96:B96"/>
    <mergeCell ref="C96:D96"/>
    <mergeCell ref="E96:J96"/>
    <mergeCell ref="K96:S96"/>
    <mergeCell ref="T96:U96"/>
    <mergeCell ref="V96:X96"/>
    <mergeCell ref="Y96:AD96"/>
    <mergeCell ref="A95:B95"/>
    <mergeCell ref="C95:D95"/>
    <mergeCell ref="E95:J95"/>
    <mergeCell ref="K95:S95"/>
    <mergeCell ref="T95:U95"/>
    <mergeCell ref="V95:X9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6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DD94-75D6-4724-A82F-8B844A60C743}">
  <sheetPr codeName="Sheet20">
    <pageSetUpPr fitToPage="1"/>
  </sheetPr>
  <dimension ref="A1:AF95"/>
  <sheetViews>
    <sheetView view="pageBreakPreview" zoomScale="70" zoomScaleNormal="72" zoomScaleSheetLayoutView="70" workbookViewId="0">
      <selection activeCell="A92" sqref="A92:B9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715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321" t="s">
        <v>17</v>
      </c>
      <c r="L5" s="321" t="s">
        <v>18</v>
      </c>
      <c r="M5" s="321" t="s">
        <v>19</v>
      </c>
      <c r="N5" s="32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597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40000</v>
      </c>
      <c r="J6" s="14">
        <v>3000</v>
      </c>
      <c r="K6" s="15">
        <f>L6+10212+10998+10796+10946</f>
        <v>45952</v>
      </c>
      <c r="L6" s="15">
        <f>1500*2</f>
        <v>3000</v>
      </c>
      <c r="M6" s="15">
        <f t="shared" ref="M6:M29" si="0">L6-N6</f>
        <v>3000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3</v>
      </c>
      <c r="Q6" s="40">
        <f t="shared" ref="Q6:Q29" si="3">SUM(R6:AA6)</f>
        <v>21</v>
      </c>
      <c r="R6" s="7"/>
      <c r="S6" s="6"/>
      <c r="T6" s="16"/>
      <c r="U6" s="16"/>
      <c r="V6" s="17"/>
      <c r="W6" s="5">
        <v>21</v>
      </c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0.125</v>
      </c>
      <c r="AD6" s="10">
        <f>AC6*AB6*(1-O6)</f>
        <v>0.125</v>
      </c>
      <c r="AE6" s="36">
        <f t="shared" ref="AE6:AE29" si="6">$AD$30</f>
        <v>0.46180555555555552</v>
      </c>
      <c r="AF6" s="81">
        <f t="shared" ref="AF6:AF29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138</v>
      </c>
      <c r="E7" s="53" t="s">
        <v>663</v>
      </c>
      <c r="F7" s="30" t="s">
        <v>137</v>
      </c>
      <c r="G7" s="12">
        <v>2</v>
      </c>
      <c r="H7" s="13">
        <v>24</v>
      </c>
      <c r="I7" s="31">
        <v>20000</v>
      </c>
      <c r="J7" s="14">
        <v>10480</v>
      </c>
      <c r="K7" s="15">
        <f>L7+10816</f>
        <v>21296</v>
      </c>
      <c r="L7" s="15">
        <f>2668*2+2572*2</f>
        <v>10480</v>
      </c>
      <c r="M7" s="15">
        <f t="shared" si="0"/>
        <v>10480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9" si="8">AC7*AB7*(1-O7)</f>
        <v>1</v>
      </c>
      <c r="AE7" s="36">
        <f t="shared" si="6"/>
        <v>0.46180555555555552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126</v>
      </c>
      <c r="D8" s="52" t="s">
        <v>115</v>
      </c>
      <c r="E8" s="53" t="s">
        <v>679</v>
      </c>
      <c r="F8" s="30" t="s">
        <v>273</v>
      </c>
      <c r="G8" s="12">
        <v>2</v>
      </c>
      <c r="H8" s="13">
        <v>22</v>
      </c>
      <c r="I8" s="31">
        <v>30000</v>
      </c>
      <c r="J8" s="5">
        <v>10358</v>
      </c>
      <c r="K8" s="15">
        <f>L8+6714</f>
        <v>17072</v>
      </c>
      <c r="L8" s="15">
        <f>2394*2+2785*2</f>
        <v>10358</v>
      </c>
      <c r="M8" s="15">
        <f t="shared" si="0"/>
        <v>10358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8"/>
        <v>1</v>
      </c>
      <c r="AE8" s="36">
        <f t="shared" si="6"/>
        <v>0.46180555555555552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116</v>
      </c>
      <c r="D9" s="52" t="s">
        <v>716</v>
      </c>
      <c r="E9" s="53" t="s">
        <v>717</v>
      </c>
      <c r="F9" s="30" t="s">
        <v>205</v>
      </c>
      <c r="G9" s="12" t="s">
        <v>302</v>
      </c>
      <c r="H9" s="13">
        <v>24</v>
      </c>
      <c r="I9" s="7">
        <v>300</v>
      </c>
      <c r="J9" s="14">
        <v>300</v>
      </c>
      <c r="K9" s="15">
        <f>L9</f>
        <v>300</v>
      </c>
      <c r="L9" s="15">
        <v>300</v>
      </c>
      <c r="M9" s="15">
        <f t="shared" si="0"/>
        <v>300</v>
      </c>
      <c r="N9" s="15">
        <v>0</v>
      </c>
      <c r="O9" s="58">
        <f t="shared" si="1"/>
        <v>0</v>
      </c>
      <c r="P9" s="39">
        <f t="shared" si="2"/>
        <v>4</v>
      </c>
      <c r="Q9" s="40">
        <f t="shared" si="3"/>
        <v>20</v>
      </c>
      <c r="R9" s="7"/>
      <c r="S9" s="6"/>
      <c r="T9" s="16"/>
      <c r="U9" s="16"/>
      <c r="V9" s="17"/>
      <c r="W9" s="5"/>
      <c r="X9" s="16"/>
      <c r="Y9" s="16"/>
      <c r="Z9" s="16"/>
      <c r="AA9" s="18">
        <v>20</v>
      </c>
      <c r="AB9" s="8">
        <f t="shared" si="4"/>
        <v>1</v>
      </c>
      <c r="AC9" s="9">
        <f t="shared" si="5"/>
        <v>0.16666666666666666</v>
      </c>
      <c r="AD9" s="10">
        <f t="shared" si="8"/>
        <v>0.16666666666666666</v>
      </c>
      <c r="AE9" s="36">
        <f t="shared" si="6"/>
        <v>0.46180555555555552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5451</v>
      </c>
      <c r="K10" s="15">
        <f>L10+5338+5669+5744+4980+3619+1932+309+2790+5660+4715+1739+3127+5884+1203+3638+5732+5658+5217+2430+1897+5596+5715+3707+799+2709+2266+5086+3381+4392+5682+5705</f>
        <v>127770</v>
      </c>
      <c r="L10" s="15">
        <f>2686+2765</f>
        <v>5451</v>
      </c>
      <c r="M10" s="15">
        <f t="shared" si="0"/>
        <v>5451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0.46180555555555552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121</v>
      </c>
      <c r="E11" s="53" t="s">
        <v>303</v>
      </c>
      <c r="F11" s="30" t="s">
        <v>235</v>
      </c>
      <c r="G11" s="33">
        <v>2</v>
      </c>
      <c r="H11" s="35">
        <v>24</v>
      </c>
      <c r="I11" s="7">
        <v>60000</v>
      </c>
      <c r="J11" s="14">
        <v>10346</v>
      </c>
      <c r="K11" s="15">
        <f>L11+7651+9096+10744+10878</f>
        <v>48715</v>
      </c>
      <c r="L11" s="15">
        <f>2550*2+2623*2</f>
        <v>10346</v>
      </c>
      <c r="M11" s="15">
        <f t="shared" si="0"/>
        <v>10346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0.46180555555555552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565</v>
      </c>
      <c r="F12" s="30" t="s">
        <v>205</v>
      </c>
      <c r="G12" s="12">
        <v>1</v>
      </c>
      <c r="H12" s="13">
        <v>22</v>
      </c>
      <c r="I12" s="31">
        <v>20000</v>
      </c>
      <c r="J12" s="5">
        <v>4784</v>
      </c>
      <c r="K12" s="15">
        <f>L12+3245+4808+4930+5015+4784</f>
        <v>22782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24</v>
      </c>
      <c r="AB12" s="8">
        <f t="shared" si="4"/>
        <v>0</v>
      </c>
      <c r="AC12" s="9">
        <f t="shared" si="5"/>
        <v>0</v>
      </c>
      <c r="AD12" s="10">
        <f t="shared" si="8"/>
        <v>0</v>
      </c>
      <c r="AE12" s="36">
        <f t="shared" si="6"/>
        <v>0.46180555555555552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126</v>
      </c>
      <c r="D13" s="52" t="s">
        <v>680</v>
      </c>
      <c r="E13" s="53" t="s">
        <v>718</v>
      </c>
      <c r="F13" s="30" t="s">
        <v>122</v>
      </c>
      <c r="G13" s="33" t="s">
        <v>682</v>
      </c>
      <c r="H13" s="35">
        <v>22</v>
      </c>
      <c r="I13" s="7">
        <v>1000</v>
      </c>
      <c r="J13" s="14">
        <v>1124</v>
      </c>
      <c r="K13" s="15">
        <f>L13+1124</f>
        <v>1124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8"/>
        <v>0</v>
      </c>
      <c r="AE13" s="36">
        <f t="shared" si="6"/>
        <v>0.46180555555555552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115</v>
      </c>
      <c r="E14" s="53" t="s">
        <v>566</v>
      </c>
      <c r="F14" s="30" t="s">
        <v>139</v>
      </c>
      <c r="G14" s="33">
        <v>1</v>
      </c>
      <c r="H14" s="35">
        <v>50</v>
      </c>
      <c r="I14" s="7">
        <v>100</v>
      </c>
      <c r="J14" s="5">
        <v>100</v>
      </c>
      <c r="K14" s="15">
        <f>L14+100</f>
        <v>100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0.46180555555555552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138</v>
      </c>
      <c r="E15" s="53" t="s">
        <v>599</v>
      </c>
      <c r="F15" s="30" t="s">
        <v>139</v>
      </c>
      <c r="G15" s="12">
        <v>2</v>
      </c>
      <c r="H15" s="13">
        <v>24</v>
      </c>
      <c r="I15" s="31">
        <f>74000+25000</f>
        <v>99000</v>
      </c>
      <c r="J15" s="14">
        <v>11882</v>
      </c>
      <c r="K15" s="15">
        <f>L15+8206+11870+12258+12474</f>
        <v>56690</v>
      </c>
      <c r="L15" s="15">
        <f>3065*2+2876*2</f>
        <v>11882</v>
      </c>
      <c r="M15" s="15">
        <f t="shared" si="0"/>
        <v>11882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0.46180555555555552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234</v>
      </c>
      <c r="F16" s="30" t="s">
        <v>235</v>
      </c>
      <c r="G16" s="12">
        <v>2</v>
      </c>
      <c r="H16" s="13">
        <v>22</v>
      </c>
      <c r="I16" s="31">
        <v>72000</v>
      </c>
      <c r="J16" s="5">
        <v>6582</v>
      </c>
      <c r="K16" s="15">
        <f>L16+4453+8440+10782+9098+8530</f>
        <v>47885</v>
      </c>
      <c r="L16" s="15">
        <f>2243*2+1048*2</f>
        <v>6582</v>
      </c>
      <c r="M16" s="15">
        <f t="shared" si="0"/>
        <v>6582</v>
      </c>
      <c r="N16" s="15">
        <v>0</v>
      </c>
      <c r="O16" s="58">
        <f t="shared" si="1"/>
        <v>0</v>
      </c>
      <c r="P16" s="39">
        <f t="shared" si="2"/>
        <v>19</v>
      </c>
      <c r="Q16" s="40">
        <f t="shared" si="3"/>
        <v>5</v>
      </c>
      <c r="R16" s="7"/>
      <c r="S16" s="6">
        <v>5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0.79166666666666663</v>
      </c>
      <c r="AD16" s="10">
        <f t="shared" si="8"/>
        <v>0.79166666666666663</v>
      </c>
      <c r="AE16" s="36">
        <f t="shared" si="6"/>
        <v>0.46180555555555552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668</v>
      </c>
      <c r="D17" s="52"/>
      <c r="E17" s="53" t="s">
        <v>667</v>
      </c>
      <c r="F17" s="30" t="s">
        <v>683</v>
      </c>
      <c r="G17" s="12">
        <v>1</v>
      </c>
      <c r="H17" s="13">
        <v>24</v>
      </c>
      <c r="I17" s="7">
        <f>7000+19000</f>
        <v>26000</v>
      </c>
      <c r="J17" s="14">
        <v>5352</v>
      </c>
      <c r="K17" s="15">
        <f>L17+3864</f>
        <v>9216</v>
      </c>
      <c r="L17" s="15">
        <f>2597+2755</f>
        <v>5352</v>
      </c>
      <c r="M17" s="15">
        <f t="shared" si="0"/>
        <v>5352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0.46180555555555552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116</v>
      </c>
      <c r="D18" s="52" t="s">
        <v>127</v>
      </c>
      <c r="E18" s="53" t="s">
        <v>569</v>
      </c>
      <c r="F18" s="30" t="s">
        <v>153</v>
      </c>
      <c r="G18" s="12">
        <v>1</v>
      </c>
      <c r="H18" s="13">
        <v>22</v>
      </c>
      <c r="I18" s="31">
        <v>20000</v>
      </c>
      <c r="J18" s="5">
        <v>5295</v>
      </c>
      <c r="K18" s="15">
        <f>L18+2984+4988+2374+4173+4163</f>
        <v>23977</v>
      </c>
      <c r="L18" s="15">
        <f>2591+2704</f>
        <v>5295</v>
      </c>
      <c r="M18" s="15">
        <f t="shared" si="0"/>
        <v>5295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0.46180555555555552</v>
      </c>
      <c r="AF18" s="81">
        <f t="shared" si="7"/>
        <v>13</v>
      </c>
    </row>
    <row r="19" spans="1:32" ht="27" customHeight="1">
      <c r="A19" s="92">
        <v>14</v>
      </c>
      <c r="B19" s="11" t="s">
        <v>57</v>
      </c>
      <c r="C19" s="11" t="s">
        <v>116</v>
      </c>
      <c r="D19" s="52" t="s">
        <v>157</v>
      </c>
      <c r="E19" s="53" t="s">
        <v>587</v>
      </c>
      <c r="F19" s="30" t="s">
        <v>158</v>
      </c>
      <c r="G19" s="33">
        <v>1</v>
      </c>
      <c r="H19" s="35">
        <v>24</v>
      </c>
      <c r="I19" s="7">
        <v>20000</v>
      </c>
      <c r="J19" s="14">
        <v>5081</v>
      </c>
      <c r="K19" s="15">
        <f>L19+4287+5676</f>
        <v>15044</v>
      </c>
      <c r="L19" s="15">
        <f>2332+2749</f>
        <v>5081</v>
      </c>
      <c r="M19" s="15">
        <f t="shared" si="0"/>
        <v>5081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0.46180555555555552</v>
      </c>
      <c r="AF19" s="81">
        <f t="shared" si="7"/>
        <v>14</v>
      </c>
    </row>
    <row r="20" spans="1:32" ht="27" customHeight="1">
      <c r="A20" s="106">
        <v>15</v>
      </c>
      <c r="B20" s="11" t="s">
        <v>57</v>
      </c>
      <c r="C20" s="11" t="s">
        <v>112</v>
      </c>
      <c r="D20" s="52" t="s">
        <v>115</v>
      </c>
      <c r="E20" s="53" t="s">
        <v>143</v>
      </c>
      <c r="F20" s="30" t="s">
        <v>136</v>
      </c>
      <c r="G20" s="33">
        <v>2</v>
      </c>
      <c r="H20" s="35">
        <v>24</v>
      </c>
      <c r="I20" s="7">
        <v>70000</v>
      </c>
      <c r="J20" s="14">
        <v>10030</v>
      </c>
      <c r="K20" s="15">
        <f>L20+3150+7466+4534+7764+11032+11156+11220</f>
        <v>66352</v>
      </c>
      <c r="L20" s="15">
        <f>2301*2+2714*2</f>
        <v>10030</v>
      </c>
      <c r="M20" s="15">
        <f t="shared" si="0"/>
        <v>10030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0.46180555555555552</v>
      </c>
      <c r="AF20" s="81">
        <f t="shared" si="7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146</v>
      </c>
      <c r="F21" s="12" t="s">
        <v>114</v>
      </c>
      <c r="G21" s="12">
        <v>3</v>
      </c>
      <c r="H21" s="35">
        <v>20</v>
      </c>
      <c r="I21" s="7">
        <v>2000000</v>
      </c>
      <c r="J21" s="14">
        <v>59200</v>
      </c>
      <c r="K21" s="15">
        <f>L21+57172+63944+63948+58884+57396+63564+64736+63568</f>
        <v>552412</v>
      </c>
      <c r="L21" s="15">
        <f>6911*4+7889*4</f>
        <v>59200</v>
      </c>
      <c r="M21" s="15">
        <f t="shared" si="0"/>
        <v>59200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0.46180555555555552</v>
      </c>
      <c r="AF21" s="81">
        <f t="shared" si="7"/>
        <v>16</v>
      </c>
    </row>
    <row r="22" spans="1:32" ht="26.25" customHeight="1">
      <c r="A22" s="307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0.46180555555555552</v>
      </c>
      <c r="AF22" s="81">
        <f t="shared" si="7"/>
        <v>17</v>
      </c>
    </row>
    <row r="23" spans="1:32" ht="26.25" customHeight="1">
      <c r="A23" s="307">
        <v>18</v>
      </c>
      <c r="B23" s="11" t="s">
        <v>57</v>
      </c>
      <c r="C23" s="11" t="s">
        <v>116</v>
      </c>
      <c r="D23" s="52" t="s">
        <v>600</v>
      </c>
      <c r="E23" s="53" t="s">
        <v>601</v>
      </c>
      <c r="F23" s="12" t="s">
        <v>602</v>
      </c>
      <c r="G23" s="12">
        <v>4</v>
      </c>
      <c r="H23" s="35">
        <v>15</v>
      </c>
      <c r="I23" s="7">
        <v>6000</v>
      </c>
      <c r="J23" s="14"/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/>
      <c r="X23" s="16"/>
      <c r="Y23" s="16"/>
      <c r="Z23" s="16"/>
      <c r="AA23" s="18">
        <v>24</v>
      </c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0.46180555555555552</v>
      </c>
      <c r="AF23" s="81">
        <f t="shared" si="7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149</v>
      </c>
      <c r="F24" s="12" t="s">
        <v>136</v>
      </c>
      <c r="G24" s="12">
        <v>4</v>
      </c>
      <c r="H24" s="35">
        <v>20</v>
      </c>
      <c r="I24" s="7">
        <v>70000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0.46180555555555552</v>
      </c>
      <c r="AF24" s="81">
        <f t="shared" si="7"/>
        <v>31</v>
      </c>
    </row>
    <row r="25" spans="1:32" ht="21.75" customHeight="1">
      <c r="A25" s="92">
        <v>32</v>
      </c>
      <c r="B25" s="11" t="s">
        <v>57</v>
      </c>
      <c r="C25" s="11"/>
      <c r="D25" s="52"/>
      <c r="E25" s="53"/>
      <c r="F25" s="12"/>
      <c r="G25" s="12"/>
      <c r="H25" s="35">
        <v>20</v>
      </c>
      <c r="I25" s="7"/>
      <c r="J25" s="14">
        <v>0</v>
      </c>
      <c r="K25" s="15">
        <f t="shared" ref="K25" si="9">L25</f>
        <v>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 t="str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0.46180555555555552</v>
      </c>
      <c r="AF25" s="81">
        <f t="shared" si="7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142</v>
      </c>
      <c r="E26" s="53" t="s">
        <v>151</v>
      </c>
      <c r="F26" s="12" t="s">
        <v>123</v>
      </c>
      <c r="G26" s="12">
        <v>3</v>
      </c>
      <c r="H26" s="35">
        <v>20</v>
      </c>
      <c r="I26" s="7">
        <v>70000</v>
      </c>
      <c r="J26" s="14">
        <v>19983</v>
      </c>
      <c r="K26" s="15">
        <f>L26+22125+9744+18372+21786+19983</f>
        <v>92010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0</v>
      </c>
      <c r="R26" s="7"/>
      <c r="S26" s="6"/>
      <c r="T26" s="16"/>
      <c r="U26" s="16"/>
      <c r="V26" s="114"/>
      <c r="W26" s="5"/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0.46180555555555552</v>
      </c>
      <c r="AF26" s="81">
        <f t="shared" si="7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127</v>
      </c>
      <c r="E27" s="53" t="s">
        <v>148</v>
      </c>
      <c r="F27" s="12" t="s">
        <v>124</v>
      </c>
      <c r="G27" s="12">
        <v>3</v>
      </c>
      <c r="H27" s="35">
        <v>20</v>
      </c>
      <c r="I27" s="7">
        <v>70000</v>
      </c>
      <c r="J27" s="14">
        <v>18138</v>
      </c>
      <c r="K27" s="15">
        <f>L27+16448+27472+26896+18138</f>
        <v>88954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0.46180555555555552</v>
      </c>
      <c r="AF27" s="81">
        <f t="shared" si="7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125</v>
      </c>
      <c r="F28" s="12" t="s">
        <v>124</v>
      </c>
      <c r="G28" s="12">
        <v>4</v>
      </c>
      <c r="H28" s="35">
        <v>20</v>
      </c>
      <c r="I28" s="7">
        <v>50000</v>
      </c>
      <c r="J28" s="14">
        <v>26944</v>
      </c>
      <c r="K28" s="15">
        <f>L28+24592+26944+21716</f>
        <v>73252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0.46180555555555552</v>
      </c>
      <c r="AF28" s="81">
        <f t="shared" si="7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150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0.46180555555555552</v>
      </c>
      <c r="AF29" s="81">
        <f t="shared" si="7"/>
        <v>36</v>
      </c>
    </row>
    <row r="30" spans="1:32" ht="19.5" thickBot="1">
      <c r="A30" s="478" t="s">
        <v>34</v>
      </c>
      <c r="B30" s="479"/>
      <c r="C30" s="479"/>
      <c r="D30" s="479"/>
      <c r="E30" s="479"/>
      <c r="F30" s="479"/>
      <c r="G30" s="479"/>
      <c r="H30" s="480"/>
      <c r="I30" s="22">
        <f t="shared" ref="I30:N30" si="10">SUM(I6:I29)</f>
        <v>3859400</v>
      </c>
      <c r="J30" s="19">
        <f t="shared" si="10"/>
        <v>316058</v>
      </c>
      <c r="K30" s="20">
        <f t="shared" si="10"/>
        <v>2019447</v>
      </c>
      <c r="L30" s="21">
        <f t="shared" si="10"/>
        <v>143357</v>
      </c>
      <c r="M30" s="20">
        <f t="shared" si="10"/>
        <v>143357</v>
      </c>
      <c r="N30" s="21">
        <f t="shared" si="10"/>
        <v>0</v>
      </c>
      <c r="O30" s="41">
        <f t="shared" si="1"/>
        <v>0</v>
      </c>
      <c r="P30" s="42">
        <f t="shared" ref="P30:AA30" si="11">SUM(P6:P29)</f>
        <v>266</v>
      </c>
      <c r="Q30" s="43">
        <f t="shared" si="11"/>
        <v>262</v>
      </c>
      <c r="R30" s="23">
        <f t="shared" si="11"/>
        <v>0</v>
      </c>
      <c r="S30" s="24">
        <f t="shared" si="11"/>
        <v>29</v>
      </c>
      <c r="T30" s="24">
        <f t="shared" si="11"/>
        <v>0</v>
      </c>
      <c r="U30" s="24">
        <f t="shared" si="11"/>
        <v>0</v>
      </c>
      <c r="V30" s="25">
        <f t="shared" si="11"/>
        <v>48</v>
      </c>
      <c r="W30" s="26">
        <f t="shared" si="11"/>
        <v>93</v>
      </c>
      <c r="X30" s="27">
        <f t="shared" si="11"/>
        <v>0</v>
      </c>
      <c r="Y30" s="27">
        <f t="shared" si="11"/>
        <v>0</v>
      </c>
      <c r="Z30" s="27">
        <f t="shared" si="11"/>
        <v>0</v>
      </c>
      <c r="AA30" s="27">
        <f t="shared" si="11"/>
        <v>92</v>
      </c>
      <c r="AB30" s="28">
        <f>AVERAGE(AB6:AB29)</f>
        <v>0.61904761904761907</v>
      </c>
      <c r="AC30" s="4">
        <f>AVERAGE(AC6:AC29)</f>
        <v>0.46180555555555552</v>
      </c>
      <c r="AD30" s="4">
        <f>AVERAGE(AD6:AD29)</f>
        <v>0.46180555555555552</v>
      </c>
      <c r="AE30" s="29"/>
    </row>
    <row r="31" spans="1:32">
      <c r="T31" s="50" t="s">
        <v>128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 t="s">
        <v>129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27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29.25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1" t="s">
        <v>45</v>
      </c>
      <c r="B57" s="481"/>
      <c r="C57" s="481"/>
      <c r="D57" s="481"/>
      <c r="E57" s="481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82" t="s">
        <v>719</v>
      </c>
      <c r="B58" s="483"/>
      <c r="C58" s="483"/>
      <c r="D58" s="483"/>
      <c r="E58" s="483"/>
      <c r="F58" s="483"/>
      <c r="G58" s="483"/>
      <c r="H58" s="483"/>
      <c r="I58" s="483"/>
      <c r="J58" s="483"/>
      <c r="K58" s="483"/>
      <c r="L58" s="483"/>
      <c r="M58" s="484"/>
      <c r="N58" s="485" t="s">
        <v>724</v>
      </c>
      <c r="O58" s="486"/>
      <c r="P58" s="486"/>
      <c r="Q58" s="486"/>
      <c r="R58" s="486"/>
      <c r="S58" s="486"/>
      <c r="T58" s="486"/>
      <c r="U58" s="486"/>
      <c r="V58" s="486"/>
      <c r="W58" s="486"/>
      <c r="X58" s="486"/>
      <c r="Y58" s="486"/>
      <c r="Z58" s="486"/>
      <c r="AA58" s="486"/>
      <c r="AB58" s="486"/>
      <c r="AC58" s="486"/>
      <c r="AD58" s="487"/>
    </row>
    <row r="59" spans="1:32" ht="27" customHeight="1">
      <c r="A59" s="488" t="s">
        <v>2</v>
      </c>
      <c r="B59" s="489"/>
      <c r="C59" s="322" t="s">
        <v>46</v>
      </c>
      <c r="D59" s="322" t="s">
        <v>47</v>
      </c>
      <c r="E59" s="322" t="s">
        <v>107</v>
      </c>
      <c r="F59" s="490" t="s">
        <v>106</v>
      </c>
      <c r="G59" s="491"/>
      <c r="H59" s="491"/>
      <c r="I59" s="491"/>
      <c r="J59" s="491"/>
      <c r="K59" s="491"/>
      <c r="L59" s="491"/>
      <c r="M59" s="492"/>
      <c r="N59" s="67" t="s">
        <v>110</v>
      </c>
      <c r="O59" s="322" t="s">
        <v>46</v>
      </c>
      <c r="P59" s="490" t="s">
        <v>47</v>
      </c>
      <c r="Q59" s="493"/>
      <c r="R59" s="490" t="s">
        <v>38</v>
      </c>
      <c r="S59" s="491"/>
      <c r="T59" s="491"/>
      <c r="U59" s="493"/>
      <c r="V59" s="490" t="s">
        <v>48</v>
      </c>
      <c r="W59" s="491"/>
      <c r="X59" s="491"/>
      <c r="Y59" s="491"/>
      <c r="Z59" s="491"/>
      <c r="AA59" s="491"/>
      <c r="AB59" s="491"/>
      <c r="AC59" s="491"/>
      <c r="AD59" s="492"/>
    </row>
    <row r="60" spans="1:32" ht="27" customHeight="1">
      <c r="A60" s="455" t="s">
        <v>116</v>
      </c>
      <c r="B60" s="456"/>
      <c r="C60" s="323" t="s">
        <v>145</v>
      </c>
      <c r="D60" s="323" t="s">
        <v>720</v>
      </c>
      <c r="E60" s="325" t="s">
        <v>721</v>
      </c>
      <c r="F60" s="457" t="s">
        <v>623</v>
      </c>
      <c r="G60" s="458"/>
      <c r="H60" s="458"/>
      <c r="I60" s="458"/>
      <c r="J60" s="458"/>
      <c r="K60" s="458"/>
      <c r="L60" s="458"/>
      <c r="M60" s="459"/>
      <c r="N60" s="324" t="s">
        <v>126</v>
      </c>
      <c r="O60" s="330" t="s">
        <v>315</v>
      </c>
      <c r="P60" s="472"/>
      <c r="Q60" s="473"/>
      <c r="R60" s="472" t="s">
        <v>702</v>
      </c>
      <c r="S60" s="474"/>
      <c r="T60" s="474"/>
      <c r="U60" s="473"/>
      <c r="V60" s="461" t="s">
        <v>144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126</v>
      </c>
      <c r="B61" s="456"/>
      <c r="C61" s="334" t="s">
        <v>315</v>
      </c>
      <c r="D61" s="334" t="s">
        <v>688</v>
      </c>
      <c r="E61" s="335" t="s">
        <v>722</v>
      </c>
      <c r="F61" s="457" t="s">
        <v>723</v>
      </c>
      <c r="G61" s="458"/>
      <c r="H61" s="458"/>
      <c r="I61" s="458"/>
      <c r="J61" s="458"/>
      <c r="K61" s="458"/>
      <c r="L61" s="458"/>
      <c r="M61" s="459"/>
      <c r="N61" s="324" t="s">
        <v>704</v>
      </c>
      <c r="O61" s="330" t="s">
        <v>180</v>
      </c>
      <c r="P61" s="472" t="s">
        <v>115</v>
      </c>
      <c r="Q61" s="473"/>
      <c r="R61" s="472" t="s">
        <v>143</v>
      </c>
      <c r="S61" s="474"/>
      <c r="T61" s="474"/>
      <c r="U61" s="473"/>
      <c r="V61" s="461" t="s">
        <v>350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112</v>
      </c>
      <c r="B62" s="456"/>
      <c r="C62" s="334" t="s">
        <v>244</v>
      </c>
      <c r="D62" s="334" t="s">
        <v>159</v>
      </c>
      <c r="E62" s="335" t="s">
        <v>234</v>
      </c>
      <c r="F62" s="457" t="s">
        <v>144</v>
      </c>
      <c r="G62" s="458"/>
      <c r="H62" s="458"/>
      <c r="I62" s="458"/>
      <c r="J62" s="458"/>
      <c r="K62" s="458"/>
      <c r="L62" s="458"/>
      <c r="M62" s="459"/>
      <c r="N62" s="324" t="s">
        <v>728</v>
      </c>
      <c r="O62" s="330" t="s">
        <v>729</v>
      </c>
      <c r="P62" s="472" t="s">
        <v>730</v>
      </c>
      <c r="Q62" s="473"/>
      <c r="R62" s="472" t="s">
        <v>725</v>
      </c>
      <c r="S62" s="474"/>
      <c r="T62" s="474"/>
      <c r="U62" s="473"/>
      <c r="V62" s="461" t="s">
        <v>726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/>
      <c r="B63" s="456"/>
      <c r="C63" s="323"/>
      <c r="D63" s="323"/>
      <c r="E63" s="325"/>
      <c r="F63" s="457"/>
      <c r="G63" s="458"/>
      <c r="H63" s="458"/>
      <c r="I63" s="458"/>
      <c r="J63" s="458"/>
      <c r="K63" s="458"/>
      <c r="L63" s="458"/>
      <c r="M63" s="459"/>
      <c r="N63" s="324" t="s">
        <v>728</v>
      </c>
      <c r="O63" s="330" t="s">
        <v>729</v>
      </c>
      <c r="P63" s="472" t="s">
        <v>115</v>
      </c>
      <c r="Q63" s="473"/>
      <c r="R63" s="472" t="s">
        <v>727</v>
      </c>
      <c r="S63" s="474"/>
      <c r="T63" s="474"/>
      <c r="U63" s="473"/>
      <c r="V63" s="461" t="s">
        <v>726</v>
      </c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/>
      <c r="B64" s="456"/>
      <c r="C64" s="323"/>
      <c r="D64" s="323"/>
      <c r="E64" s="325"/>
      <c r="F64" s="457"/>
      <c r="G64" s="458"/>
      <c r="H64" s="458"/>
      <c r="I64" s="458"/>
      <c r="J64" s="458"/>
      <c r="K64" s="458"/>
      <c r="L64" s="458"/>
      <c r="M64" s="459"/>
      <c r="N64" s="324" t="s">
        <v>732</v>
      </c>
      <c r="O64" s="330" t="s">
        <v>733</v>
      </c>
      <c r="P64" s="472" t="s">
        <v>115</v>
      </c>
      <c r="Q64" s="473"/>
      <c r="R64" s="472" t="s">
        <v>731</v>
      </c>
      <c r="S64" s="474"/>
      <c r="T64" s="474"/>
      <c r="U64" s="473"/>
      <c r="V64" s="461" t="s">
        <v>726</v>
      </c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/>
      <c r="B65" s="456"/>
      <c r="C65" s="323"/>
      <c r="D65" s="323"/>
      <c r="E65" s="325"/>
      <c r="F65" s="457"/>
      <c r="G65" s="458"/>
      <c r="H65" s="458"/>
      <c r="I65" s="458"/>
      <c r="J65" s="458"/>
      <c r="K65" s="458"/>
      <c r="L65" s="458"/>
      <c r="M65" s="459"/>
      <c r="N65" s="324"/>
      <c r="O65" s="330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323"/>
      <c r="D66" s="323"/>
      <c r="E66" s="325"/>
      <c r="F66" s="457"/>
      <c r="G66" s="458"/>
      <c r="H66" s="458"/>
      <c r="I66" s="458"/>
      <c r="J66" s="458"/>
      <c r="K66" s="458"/>
      <c r="L66" s="458"/>
      <c r="M66" s="459"/>
      <c r="N66" s="324"/>
      <c r="O66" s="330"/>
      <c r="P66" s="472"/>
      <c r="Q66" s="473"/>
      <c r="R66" s="472"/>
      <c r="S66" s="474"/>
      <c r="T66" s="474"/>
      <c r="U66" s="473"/>
      <c r="V66" s="461"/>
      <c r="W66" s="462"/>
      <c r="X66" s="462"/>
      <c r="Y66" s="462"/>
      <c r="Z66" s="462"/>
      <c r="AA66" s="462"/>
      <c r="AB66" s="462"/>
      <c r="AC66" s="462"/>
      <c r="AD66" s="463"/>
    </row>
    <row r="67" spans="1:32" ht="27" customHeight="1">
      <c r="A67" s="455"/>
      <c r="B67" s="456"/>
      <c r="C67" s="323"/>
      <c r="D67" s="323"/>
      <c r="E67" s="325"/>
      <c r="F67" s="457"/>
      <c r="G67" s="458"/>
      <c r="H67" s="458"/>
      <c r="I67" s="458"/>
      <c r="J67" s="458"/>
      <c r="K67" s="458"/>
      <c r="L67" s="458"/>
      <c r="M67" s="459"/>
      <c r="N67" s="324"/>
      <c r="O67" s="330"/>
      <c r="P67" s="472"/>
      <c r="Q67" s="473"/>
      <c r="R67" s="472"/>
      <c r="S67" s="474"/>
      <c r="T67" s="474"/>
      <c r="U67" s="473"/>
      <c r="V67" s="461"/>
      <c r="W67" s="462"/>
      <c r="X67" s="462"/>
      <c r="Y67" s="462"/>
      <c r="Z67" s="462"/>
      <c r="AA67" s="462"/>
      <c r="AB67" s="462"/>
      <c r="AC67" s="462"/>
      <c r="AD67" s="463"/>
    </row>
    <row r="68" spans="1:32" ht="27" customHeight="1">
      <c r="A68" s="455"/>
      <c r="B68" s="456"/>
      <c r="C68" s="323"/>
      <c r="D68" s="323"/>
      <c r="E68" s="325"/>
      <c r="F68" s="457"/>
      <c r="G68" s="458"/>
      <c r="H68" s="458"/>
      <c r="I68" s="458"/>
      <c r="J68" s="458"/>
      <c r="K68" s="458"/>
      <c r="L68" s="458"/>
      <c r="M68" s="459"/>
      <c r="N68" s="324"/>
      <c r="O68" s="330"/>
      <c r="P68" s="460"/>
      <c r="Q68" s="460"/>
      <c r="R68" s="460"/>
      <c r="S68" s="460"/>
      <c r="T68" s="460"/>
      <c r="U68" s="460"/>
      <c r="V68" s="461"/>
      <c r="W68" s="462"/>
      <c r="X68" s="462"/>
      <c r="Y68" s="462"/>
      <c r="Z68" s="462"/>
      <c r="AA68" s="462"/>
      <c r="AB68" s="462"/>
      <c r="AC68" s="462"/>
      <c r="AD68" s="463"/>
      <c r="AF68" s="81">
        <f>8*3000</f>
        <v>24000</v>
      </c>
    </row>
    <row r="69" spans="1:32" ht="27" customHeight="1" thickBot="1">
      <c r="A69" s="464"/>
      <c r="B69" s="465"/>
      <c r="C69" s="326"/>
      <c r="D69" s="327"/>
      <c r="E69" s="326"/>
      <c r="F69" s="466"/>
      <c r="G69" s="467"/>
      <c r="H69" s="467"/>
      <c r="I69" s="467"/>
      <c r="J69" s="467"/>
      <c r="K69" s="467"/>
      <c r="L69" s="467"/>
      <c r="M69" s="468"/>
      <c r="N69" s="105"/>
      <c r="O69" s="97"/>
      <c r="P69" s="469"/>
      <c r="Q69" s="469"/>
      <c r="R69" s="469"/>
      <c r="S69" s="469"/>
      <c r="T69" s="469"/>
      <c r="U69" s="469"/>
      <c r="V69" s="470"/>
      <c r="W69" s="470"/>
      <c r="X69" s="470"/>
      <c r="Y69" s="470"/>
      <c r="Z69" s="470"/>
      <c r="AA69" s="470"/>
      <c r="AB69" s="470"/>
      <c r="AC69" s="470"/>
      <c r="AD69" s="471"/>
      <c r="AF69" s="81">
        <f>16*3000</f>
        <v>48000</v>
      </c>
    </row>
    <row r="70" spans="1:32" ht="27.75" thickBot="1">
      <c r="A70" s="453" t="s">
        <v>734</v>
      </c>
      <c r="B70" s="453"/>
      <c r="C70" s="453"/>
      <c r="D70" s="453"/>
      <c r="E70" s="453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54" t="s">
        <v>111</v>
      </c>
      <c r="B71" s="451"/>
      <c r="C71" s="328" t="s">
        <v>2</v>
      </c>
      <c r="D71" s="328" t="s">
        <v>37</v>
      </c>
      <c r="E71" s="328" t="s">
        <v>3</v>
      </c>
      <c r="F71" s="451" t="s">
        <v>109</v>
      </c>
      <c r="G71" s="451"/>
      <c r="H71" s="451"/>
      <c r="I71" s="451"/>
      <c r="J71" s="451"/>
      <c r="K71" s="451" t="s">
        <v>39</v>
      </c>
      <c r="L71" s="451"/>
      <c r="M71" s="328" t="s">
        <v>40</v>
      </c>
      <c r="N71" s="451" t="s">
        <v>41</v>
      </c>
      <c r="O71" s="451"/>
      <c r="P71" s="448" t="s">
        <v>42</v>
      </c>
      <c r="Q71" s="450"/>
      <c r="R71" s="448" t="s">
        <v>43</v>
      </c>
      <c r="S71" s="449"/>
      <c r="T71" s="449"/>
      <c r="U71" s="449"/>
      <c r="V71" s="449"/>
      <c r="W71" s="449"/>
      <c r="X71" s="449"/>
      <c r="Y71" s="449"/>
      <c r="Z71" s="449"/>
      <c r="AA71" s="450"/>
      <c r="AB71" s="451" t="s">
        <v>44</v>
      </c>
      <c r="AC71" s="451"/>
      <c r="AD71" s="452"/>
      <c r="AF71" s="81">
        <f>SUM(AF68:AF70)</f>
        <v>96000</v>
      </c>
    </row>
    <row r="72" spans="1:32" ht="25.5" customHeight="1">
      <c r="A72" s="439">
        <v>1</v>
      </c>
      <c r="B72" s="440"/>
      <c r="C72" s="98" t="s">
        <v>732</v>
      </c>
      <c r="D72" s="332"/>
      <c r="E72" s="329" t="s">
        <v>740</v>
      </c>
      <c r="F72" s="441" t="s">
        <v>735</v>
      </c>
      <c r="G72" s="431"/>
      <c r="H72" s="431"/>
      <c r="I72" s="431"/>
      <c r="J72" s="431"/>
      <c r="K72" s="431" t="s">
        <v>745</v>
      </c>
      <c r="L72" s="431"/>
      <c r="M72" s="51" t="s">
        <v>154</v>
      </c>
      <c r="N72" s="442" t="s">
        <v>145</v>
      </c>
      <c r="O72" s="442"/>
      <c r="P72" s="443">
        <v>100</v>
      </c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2</v>
      </c>
      <c r="B73" s="440"/>
      <c r="C73" s="98" t="s">
        <v>732</v>
      </c>
      <c r="D73" s="332"/>
      <c r="E73" s="329" t="s">
        <v>741</v>
      </c>
      <c r="F73" s="445" t="s">
        <v>736</v>
      </c>
      <c r="G73" s="446"/>
      <c r="H73" s="446"/>
      <c r="I73" s="446"/>
      <c r="J73" s="447"/>
      <c r="K73" s="431" t="s">
        <v>746</v>
      </c>
      <c r="L73" s="431"/>
      <c r="M73" s="51" t="s">
        <v>154</v>
      </c>
      <c r="N73" s="442" t="s">
        <v>145</v>
      </c>
      <c r="O73" s="442"/>
      <c r="P73" s="443">
        <v>100</v>
      </c>
      <c r="Q73" s="443"/>
      <c r="R73" s="444" t="s">
        <v>747</v>
      </c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3</v>
      </c>
      <c r="B74" s="440"/>
      <c r="C74" s="98" t="s">
        <v>732</v>
      </c>
      <c r="D74" s="332"/>
      <c r="E74" s="329" t="s">
        <v>742</v>
      </c>
      <c r="F74" s="441" t="s">
        <v>721</v>
      </c>
      <c r="G74" s="431"/>
      <c r="H74" s="431"/>
      <c r="I74" s="431"/>
      <c r="J74" s="431"/>
      <c r="K74" s="431" t="s">
        <v>748</v>
      </c>
      <c r="L74" s="431"/>
      <c r="M74" s="51" t="s">
        <v>154</v>
      </c>
      <c r="N74" s="442" t="s">
        <v>145</v>
      </c>
      <c r="O74" s="442"/>
      <c r="P74" s="443">
        <v>100</v>
      </c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4</v>
      </c>
      <c r="B75" s="440"/>
      <c r="C75" s="98" t="s">
        <v>739</v>
      </c>
      <c r="D75" s="332"/>
      <c r="E75" s="329" t="s">
        <v>743</v>
      </c>
      <c r="F75" s="445" t="s">
        <v>737</v>
      </c>
      <c r="G75" s="446"/>
      <c r="H75" s="446"/>
      <c r="I75" s="446"/>
      <c r="J75" s="447"/>
      <c r="K75" s="431" t="s">
        <v>746</v>
      </c>
      <c r="L75" s="431"/>
      <c r="M75" s="51" t="s">
        <v>749</v>
      </c>
      <c r="N75" s="442" t="s">
        <v>733</v>
      </c>
      <c r="O75" s="442"/>
      <c r="P75" s="443">
        <v>200</v>
      </c>
      <c r="Q75" s="443"/>
      <c r="R75" s="444" t="s">
        <v>750</v>
      </c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5</v>
      </c>
      <c r="B76" s="440"/>
      <c r="C76" s="98" t="s">
        <v>732</v>
      </c>
      <c r="D76" s="332"/>
      <c r="E76" s="329" t="s">
        <v>744</v>
      </c>
      <c r="F76" s="445" t="s">
        <v>738</v>
      </c>
      <c r="G76" s="446"/>
      <c r="H76" s="446"/>
      <c r="I76" s="446"/>
      <c r="J76" s="447"/>
      <c r="K76" s="431" t="s">
        <v>751</v>
      </c>
      <c r="L76" s="431"/>
      <c r="M76" s="51" t="s">
        <v>154</v>
      </c>
      <c r="N76" s="442" t="s">
        <v>733</v>
      </c>
      <c r="O76" s="442"/>
      <c r="P76" s="443">
        <v>100</v>
      </c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6</v>
      </c>
      <c r="B77" s="440"/>
      <c r="C77" s="98"/>
      <c r="D77" s="332"/>
      <c r="E77" s="329"/>
      <c r="F77" s="445"/>
      <c r="G77" s="446"/>
      <c r="H77" s="446"/>
      <c r="I77" s="446"/>
      <c r="J77" s="447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7</v>
      </c>
      <c r="B78" s="440"/>
      <c r="C78" s="98"/>
      <c r="D78" s="332"/>
      <c r="E78" s="329"/>
      <c r="F78" s="445"/>
      <c r="G78" s="446"/>
      <c r="H78" s="446"/>
      <c r="I78" s="446"/>
      <c r="J78" s="447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8</v>
      </c>
      <c r="B79" s="440"/>
      <c r="C79" s="98"/>
      <c r="D79" s="332"/>
      <c r="E79" s="329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5.5" customHeight="1">
      <c r="A80" s="439">
        <v>9</v>
      </c>
      <c r="B80" s="440"/>
      <c r="C80" s="98"/>
      <c r="D80" s="332"/>
      <c r="E80" s="329"/>
      <c r="F80" s="441"/>
      <c r="G80" s="431"/>
      <c r="H80" s="431"/>
      <c r="I80" s="431"/>
      <c r="J80" s="431"/>
      <c r="K80" s="431"/>
      <c r="L80" s="431"/>
      <c r="M80" s="51"/>
      <c r="N80" s="442"/>
      <c r="O80" s="442"/>
      <c r="P80" s="443"/>
      <c r="Q80" s="443"/>
      <c r="R80" s="444"/>
      <c r="S80" s="444"/>
      <c r="T80" s="444"/>
      <c r="U80" s="444"/>
      <c r="V80" s="444"/>
      <c r="W80" s="444"/>
      <c r="X80" s="444"/>
      <c r="Y80" s="444"/>
      <c r="Z80" s="444"/>
      <c r="AA80" s="444"/>
      <c r="AB80" s="431"/>
      <c r="AC80" s="431"/>
      <c r="AD80" s="432"/>
      <c r="AF80" s="50"/>
    </row>
    <row r="81" spans="1:32" ht="25.5" customHeight="1">
      <c r="A81" s="439">
        <v>10</v>
      </c>
      <c r="B81" s="440"/>
      <c r="C81" s="98"/>
      <c r="D81" s="332"/>
      <c r="E81" s="329"/>
      <c r="F81" s="441"/>
      <c r="G81" s="431"/>
      <c r="H81" s="431"/>
      <c r="I81" s="431"/>
      <c r="J81" s="431"/>
      <c r="K81" s="431"/>
      <c r="L81" s="431"/>
      <c r="M81" s="51"/>
      <c r="N81" s="442"/>
      <c r="O81" s="442"/>
      <c r="P81" s="443"/>
      <c r="Q81" s="443"/>
      <c r="R81" s="444"/>
      <c r="S81" s="444"/>
      <c r="T81" s="444"/>
      <c r="U81" s="444"/>
      <c r="V81" s="444"/>
      <c r="W81" s="444"/>
      <c r="X81" s="444"/>
      <c r="Y81" s="444"/>
      <c r="Z81" s="444"/>
      <c r="AA81" s="444"/>
      <c r="AB81" s="431"/>
      <c r="AC81" s="431"/>
      <c r="AD81" s="432"/>
      <c r="AF81" s="50"/>
    </row>
    <row r="82" spans="1:32" ht="26.25" customHeight="1" thickBot="1">
      <c r="A82" s="411" t="s">
        <v>752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33" t="s">
        <v>111</v>
      </c>
      <c r="B83" s="434"/>
      <c r="C83" s="331" t="s">
        <v>2</v>
      </c>
      <c r="D83" s="331" t="s">
        <v>37</v>
      </c>
      <c r="E83" s="331" t="s">
        <v>120</v>
      </c>
      <c r="F83" s="413" t="s">
        <v>38</v>
      </c>
      <c r="G83" s="413"/>
      <c r="H83" s="413"/>
      <c r="I83" s="413"/>
      <c r="J83" s="413"/>
      <c r="K83" s="435" t="s">
        <v>58</v>
      </c>
      <c r="L83" s="436"/>
      <c r="M83" s="436"/>
      <c r="N83" s="436"/>
      <c r="O83" s="436"/>
      <c r="P83" s="436"/>
      <c r="Q83" s="436"/>
      <c r="R83" s="436"/>
      <c r="S83" s="437"/>
      <c r="T83" s="413" t="s">
        <v>49</v>
      </c>
      <c r="U83" s="413"/>
      <c r="V83" s="435" t="s">
        <v>50</v>
      </c>
      <c r="W83" s="437"/>
      <c r="X83" s="436" t="s">
        <v>51</v>
      </c>
      <c r="Y83" s="436"/>
      <c r="Z83" s="436"/>
      <c r="AA83" s="436"/>
      <c r="AB83" s="436"/>
      <c r="AC83" s="436"/>
      <c r="AD83" s="438"/>
      <c r="AF83" s="50"/>
    </row>
    <row r="84" spans="1:32" ht="33.75" customHeight="1">
      <c r="A84" s="405">
        <v>1</v>
      </c>
      <c r="B84" s="406"/>
      <c r="C84" s="333"/>
      <c r="D84" s="333"/>
      <c r="E84" s="65"/>
      <c r="F84" s="420"/>
      <c r="G84" s="421"/>
      <c r="H84" s="421"/>
      <c r="I84" s="421"/>
      <c r="J84" s="422"/>
      <c r="K84" s="423"/>
      <c r="L84" s="424"/>
      <c r="M84" s="424"/>
      <c r="N84" s="424"/>
      <c r="O84" s="424"/>
      <c r="P84" s="424"/>
      <c r="Q84" s="424"/>
      <c r="R84" s="424"/>
      <c r="S84" s="425"/>
      <c r="T84" s="426"/>
      <c r="U84" s="427"/>
      <c r="V84" s="428"/>
      <c r="W84" s="428"/>
      <c r="X84" s="429"/>
      <c r="Y84" s="429"/>
      <c r="Z84" s="429"/>
      <c r="AA84" s="429"/>
      <c r="AB84" s="429"/>
      <c r="AC84" s="429"/>
      <c r="AD84" s="430"/>
      <c r="AF84" s="50"/>
    </row>
    <row r="85" spans="1:32" ht="30" customHeight="1">
      <c r="A85" s="398">
        <f>A84+1</f>
        <v>2</v>
      </c>
      <c r="B85" s="399"/>
      <c r="C85" s="332"/>
      <c r="D85" s="332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ref="A86:A90" si="12">A85+1</f>
        <v>3</v>
      </c>
      <c r="B86" s="399"/>
      <c r="C86" s="332"/>
      <c r="D86" s="332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12"/>
        <v>4</v>
      </c>
      <c r="B87" s="399"/>
      <c r="C87" s="332"/>
      <c r="D87" s="332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2"/>
        <v>5</v>
      </c>
      <c r="B88" s="399"/>
      <c r="C88" s="332"/>
      <c r="D88" s="332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0" customHeight="1">
      <c r="A89" s="398">
        <f t="shared" si="12"/>
        <v>6</v>
      </c>
      <c r="B89" s="399"/>
      <c r="C89" s="332"/>
      <c r="D89" s="332"/>
      <c r="E89" s="32"/>
      <c r="F89" s="399"/>
      <c r="G89" s="399"/>
      <c r="H89" s="399"/>
      <c r="I89" s="399"/>
      <c r="J89" s="399"/>
      <c r="K89" s="414"/>
      <c r="L89" s="415"/>
      <c r="M89" s="415"/>
      <c r="N89" s="415"/>
      <c r="O89" s="415"/>
      <c r="P89" s="415"/>
      <c r="Q89" s="415"/>
      <c r="R89" s="415"/>
      <c r="S89" s="416"/>
      <c r="T89" s="417"/>
      <c r="U89" s="417"/>
      <c r="V89" s="417"/>
      <c r="W89" s="417"/>
      <c r="X89" s="418"/>
      <c r="Y89" s="418"/>
      <c r="Z89" s="418"/>
      <c r="AA89" s="418"/>
      <c r="AB89" s="418"/>
      <c r="AC89" s="418"/>
      <c r="AD89" s="419"/>
      <c r="AF89" s="50"/>
    </row>
    <row r="90" spans="1:32" ht="30" customHeight="1">
      <c r="A90" s="398">
        <f t="shared" si="12"/>
        <v>7</v>
      </c>
      <c r="B90" s="399"/>
      <c r="C90" s="332"/>
      <c r="D90" s="332"/>
      <c r="E90" s="32"/>
      <c r="F90" s="399"/>
      <c r="G90" s="399"/>
      <c r="H90" s="399"/>
      <c r="I90" s="399"/>
      <c r="J90" s="399"/>
      <c r="K90" s="414"/>
      <c r="L90" s="415"/>
      <c r="M90" s="415"/>
      <c r="N90" s="415"/>
      <c r="O90" s="415"/>
      <c r="P90" s="415"/>
      <c r="Q90" s="415"/>
      <c r="R90" s="415"/>
      <c r="S90" s="416"/>
      <c r="T90" s="417"/>
      <c r="U90" s="417"/>
      <c r="V90" s="417"/>
      <c r="W90" s="417"/>
      <c r="X90" s="418"/>
      <c r="Y90" s="418"/>
      <c r="Z90" s="418"/>
      <c r="AA90" s="418"/>
      <c r="AB90" s="418"/>
      <c r="AC90" s="418"/>
      <c r="AD90" s="419"/>
      <c r="AF90" s="50"/>
    </row>
    <row r="91" spans="1:32" ht="36" thickBot="1">
      <c r="A91" s="411" t="s">
        <v>753</v>
      </c>
      <c r="B91" s="411"/>
      <c r="C91" s="411"/>
      <c r="D91" s="411"/>
      <c r="E91" s="411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412" t="s">
        <v>111</v>
      </c>
      <c r="B92" s="413"/>
      <c r="C92" s="403" t="s">
        <v>52</v>
      </c>
      <c r="D92" s="403"/>
      <c r="E92" s="403" t="s">
        <v>53</v>
      </c>
      <c r="F92" s="403"/>
      <c r="G92" s="403"/>
      <c r="H92" s="403"/>
      <c r="I92" s="403"/>
      <c r="J92" s="403"/>
      <c r="K92" s="403" t="s">
        <v>54</v>
      </c>
      <c r="L92" s="403"/>
      <c r="M92" s="403"/>
      <c r="N92" s="403"/>
      <c r="O92" s="403"/>
      <c r="P92" s="403"/>
      <c r="Q92" s="403"/>
      <c r="R92" s="403"/>
      <c r="S92" s="403"/>
      <c r="T92" s="403" t="s">
        <v>55</v>
      </c>
      <c r="U92" s="403"/>
      <c r="V92" s="403" t="s">
        <v>56</v>
      </c>
      <c r="W92" s="403"/>
      <c r="X92" s="403"/>
      <c r="Y92" s="403" t="s">
        <v>51</v>
      </c>
      <c r="Z92" s="403"/>
      <c r="AA92" s="403"/>
      <c r="AB92" s="403"/>
      <c r="AC92" s="403"/>
      <c r="AD92" s="404"/>
      <c r="AF92" s="50"/>
    </row>
    <row r="93" spans="1:32" ht="30.75" customHeight="1">
      <c r="A93" s="405">
        <v>1</v>
      </c>
      <c r="B93" s="406"/>
      <c r="C93" s="407"/>
      <c r="D93" s="407"/>
      <c r="E93" s="407"/>
      <c r="F93" s="407"/>
      <c r="G93" s="407"/>
      <c r="H93" s="407"/>
      <c r="I93" s="407"/>
      <c r="J93" s="407"/>
      <c r="K93" s="407"/>
      <c r="L93" s="407"/>
      <c r="M93" s="407"/>
      <c r="N93" s="407"/>
      <c r="O93" s="407"/>
      <c r="P93" s="407"/>
      <c r="Q93" s="407"/>
      <c r="R93" s="407"/>
      <c r="S93" s="407"/>
      <c r="T93" s="407"/>
      <c r="U93" s="407"/>
      <c r="V93" s="408"/>
      <c r="W93" s="408"/>
      <c r="X93" s="408"/>
      <c r="Y93" s="409"/>
      <c r="Z93" s="409"/>
      <c r="AA93" s="409"/>
      <c r="AB93" s="409"/>
      <c r="AC93" s="409"/>
      <c r="AD93" s="410"/>
      <c r="AF93" s="50"/>
    </row>
    <row r="94" spans="1:32" ht="30.75" customHeight="1">
      <c r="A94" s="398">
        <v>2</v>
      </c>
      <c r="B94" s="399"/>
      <c r="C94" s="400"/>
      <c r="D94" s="400"/>
      <c r="E94" s="400"/>
      <c r="F94" s="400"/>
      <c r="G94" s="400"/>
      <c r="H94" s="400"/>
      <c r="I94" s="400"/>
      <c r="J94" s="400"/>
      <c r="K94" s="400"/>
      <c r="L94" s="400"/>
      <c r="M94" s="400"/>
      <c r="N94" s="400"/>
      <c r="O94" s="400"/>
      <c r="P94" s="400"/>
      <c r="Q94" s="400"/>
      <c r="R94" s="400"/>
      <c r="S94" s="400"/>
      <c r="T94" s="401"/>
      <c r="U94" s="401"/>
      <c r="V94" s="402"/>
      <c r="W94" s="402"/>
      <c r="X94" s="402"/>
      <c r="Y94" s="390"/>
      <c r="Z94" s="390"/>
      <c r="AA94" s="390"/>
      <c r="AB94" s="390"/>
      <c r="AC94" s="390"/>
      <c r="AD94" s="391"/>
      <c r="AF94" s="50"/>
    </row>
    <row r="95" spans="1:32" ht="30.75" customHeight="1" thickBot="1">
      <c r="A95" s="392">
        <v>3</v>
      </c>
      <c r="B95" s="393"/>
      <c r="C95" s="394"/>
      <c r="D95" s="394"/>
      <c r="E95" s="394"/>
      <c r="F95" s="394"/>
      <c r="G95" s="394"/>
      <c r="H95" s="394"/>
      <c r="I95" s="394"/>
      <c r="J95" s="394"/>
      <c r="K95" s="394"/>
      <c r="L95" s="394"/>
      <c r="M95" s="394"/>
      <c r="N95" s="394"/>
      <c r="O95" s="394"/>
      <c r="P95" s="394"/>
      <c r="Q95" s="394"/>
      <c r="R95" s="394"/>
      <c r="S95" s="394"/>
      <c r="T95" s="394"/>
      <c r="U95" s="394"/>
      <c r="V95" s="395"/>
      <c r="W95" s="395"/>
      <c r="X95" s="395"/>
      <c r="Y95" s="396"/>
      <c r="Z95" s="396"/>
      <c r="AA95" s="396"/>
      <c r="AB95" s="396"/>
      <c r="AC95" s="396"/>
      <c r="AD95" s="397"/>
      <c r="AF95" s="50"/>
    </row>
  </sheetData>
  <mergeCells count="232"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5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712F-5EEF-4895-9713-9AF71098F34F}">
  <sheetPr codeName="Sheet21">
    <pageSetUpPr fitToPage="1"/>
  </sheetPr>
  <dimension ref="A1:AF97"/>
  <sheetViews>
    <sheetView view="pageBreakPreview" zoomScale="70" zoomScaleNormal="72" zoomScaleSheetLayoutView="70" workbookViewId="0">
      <selection activeCell="A94" sqref="A94:B9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754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336" t="s">
        <v>17</v>
      </c>
      <c r="L5" s="336" t="s">
        <v>18</v>
      </c>
      <c r="M5" s="336" t="s">
        <v>19</v>
      </c>
      <c r="N5" s="33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597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40000</v>
      </c>
      <c r="J6" s="14">
        <v>3000</v>
      </c>
      <c r="K6" s="15">
        <f>L6+10212+10998+10796+10946+3000</f>
        <v>45952</v>
      </c>
      <c r="L6" s="15"/>
      <c r="M6" s="15">
        <f t="shared" ref="M6:M31" si="0">L6-N6</f>
        <v>0</v>
      </c>
      <c r="N6" s="15">
        <v>0</v>
      </c>
      <c r="O6" s="58" t="str">
        <f t="shared" ref="O6:O32" si="1">IF(L6=0,"0",N6/L6)</f>
        <v>0</v>
      </c>
      <c r="P6" s="39" t="str">
        <f t="shared" ref="P6:P31" si="2">IF(L6=0,"0",(24-Q6))</f>
        <v>0</v>
      </c>
      <c r="Q6" s="40">
        <f t="shared" ref="Q6:Q3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31" si="4">IF(J6=0,"0",(L6/J6))</f>
        <v>0</v>
      </c>
      <c r="AC6" s="9">
        <f t="shared" ref="AC6:AC31" si="5">IF(P6=0,"0",(P6/24))</f>
        <v>0</v>
      </c>
      <c r="AD6" s="10">
        <f>AC6*AB6*(1-O6)</f>
        <v>0</v>
      </c>
      <c r="AE6" s="36">
        <f t="shared" ref="AE6:AE31" si="6">$AD$32</f>
        <v>0.36858974358974361</v>
      </c>
      <c r="AF6" s="81">
        <f t="shared" ref="AF6:AF31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138</v>
      </c>
      <c r="E7" s="53" t="s">
        <v>663</v>
      </c>
      <c r="F7" s="30" t="s">
        <v>137</v>
      </c>
      <c r="G7" s="12">
        <v>2</v>
      </c>
      <c r="H7" s="13">
        <v>24</v>
      </c>
      <c r="I7" s="31">
        <v>20000</v>
      </c>
      <c r="J7" s="14">
        <v>9962</v>
      </c>
      <c r="K7" s="15">
        <f>L7+10816+10480</f>
        <v>31258</v>
      </c>
      <c r="L7" s="15">
        <f>2648*2+2333*2</f>
        <v>9962</v>
      </c>
      <c r="M7" s="15">
        <f t="shared" si="0"/>
        <v>9962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31" si="8">AC7*AB7*(1-O7)</f>
        <v>1</v>
      </c>
      <c r="AE7" s="36">
        <f t="shared" si="6"/>
        <v>0.36858974358974361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126</v>
      </c>
      <c r="D8" s="52" t="s">
        <v>115</v>
      </c>
      <c r="E8" s="53" t="s">
        <v>664</v>
      </c>
      <c r="F8" s="30" t="s">
        <v>273</v>
      </c>
      <c r="G8" s="12">
        <v>2</v>
      </c>
      <c r="H8" s="13">
        <v>22</v>
      </c>
      <c r="I8" s="31">
        <v>30000</v>
      </c>
      <c r="J8" s="5">
        <v>10358</v>
      </c>
      <c r="K8" s="15">
        <f>L8+6714+10358</f>
        <v>17072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8"/>
        <v>0</v>
      </c>
      <c r="AE8" s="36">
        <f t="shared" si="6"/>
        <v>0.36858974358974361</v>
      </c>
      <c r="AF8" s="81">
        <f t="shared" si="7"/>
        <v>3</v>
      </c>
    </row>
    <row r="9" spans="1:32" ht="27" customHeight="1">
      <c r="A9" s="92">
        <v>4</v>
      </c>
      <c r="B9" s="11" t="s">
        <v>597</v>
      </c>
      <c r="C9" s="34" t="s">
        <v>116</v>
      </c>
      <c r="D9" s="52" t="s">
        <v>755</v>
      </c>
      <c r="E9" s="53" t="s">
        <v>756</v>
      </c>
      <c r="F9" s="30" t="s">
        <v>235</v>
      </c>
      <c r="G9" s="12">
        <v>1</v>
      </c>
      <c r="H9" s="13">
        <v>24</v>
      </c>
      <c r="I9" s="7">
        <v>400</v>
      </c>
      <c r="J9" s="14">
        <v>400</v>
      </c>
      <c r="K9" s="15">
        <f>L9</f>
        <v>400</v>
      </c>
      <c r="L9" s="15">
        <v>400</v>
      </c>
      <c r="M9" s="15">
        <f t="shared" si="0"/>
        <v>400</v>
      </c>
      <c r="N9" s="15">
        <v>0</v>
      </c>
      <c r="O9" s="58">
        <f t="shared" si="1"/>
        <v>0</v>
      </c>
      <c r="P9" s="39">
        <f t="shared" si="2"/>
        <v>5</v>
      </c>
      <c r="Q9" s="40">
        <f t="shared" si="3"/>
        <v>19</v>
      </c>
      <c r="R9" s="7"/>
      <c r="S9" s="6"/>
      <c r="T9" s="16"/>
      <c r="U9" s="16"/>
      <c r="V9" s="17"/>
      <c r="W9" s="5">
        <v>19</v>
      </c>
      <c r="X9" s="16"/>
      <c r="Y9" s="16"/>
      <c r="Z9" s="16"/>
      <c r="AA9" s="18"/>
      <c r="AB9" s="8">
        <f t="shared" si="4"/>
        <v>1</v>
      </c>
      <c r="AC9" s="9">
        <f t="shared" si="5"/>
        <v>0.20833333333333334</v>
      </c>
      <c r="AD9" s="10">
        <f t="shared" si="8"/>
        <v>0.20833333333333334</v>
      </c>
      <c r="AE9" s="36">
        <f t="shared" si="6"/>
        <v>0.36858974358974361</v>
      </c>
      <c r="AF9" s="81">
        <f t="shared" si="7"/>
        <v>4</v>
      </c>
    </row>
    <row r="10" spans="1:32" ht="27" customHeight="1">
      <c r="A10" s="92">
        <v>4</v>
      </c>
      <c r="B10" s="11" t="s">
        <v>597</v>
      </c>
      <c r="C10" s="34" t="s">
        <v>116</v>
      </c>
      <c r="D10" s="52" t="s">
        <v>142</v>
      </c>
      <c r="E10" s="53" t="s">
        <v>545</v>
      </c>
      <c r="F10" s="30" t="s">
        <v>122</v>
      </c>
      <c r="G10" s="12">
        <v>1</v>
      </c>
      <c r="H10" s="13">
        <v>24</v>
      </c>
      <c r="I10" s="7">
        <v>200</v>
      </c>
      <c r="J10" s="14">
        <v>200</v>
      </c>
      <c r="K10" s="15">
        <f>L10</f>
        <v>200</v>
      </c>
      <c r="L10" s="15">
        <v>200</v>
      </c>
      <c r="M10" s="15">
        <f t="shared" ref="M10" si="9">L10-N10</f>
        <v>200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5</v>
      </c>
      <c r="Q10" s="40">
        <f t="shared" ref="Q10" si="12">SUM(R10:AA10)</f>
        <v>19</v>
      </c>
      <c r="R10" s="7"/>
      <c r="S10" s="6"/>
      <c r="T10" s="16"/>
      <c r="U10" s="16"/>
      <c r="V10" s="17"/>
      <c r="W10" s="5">
        <v>19</v>
      </c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0.20833333333333334</v>
      </c>
      <c r="AD10" s="10">
        <f t="shared" ref="AD10" si="15">AC10*AB10*(1-O10)</f>
        <v>0.20833333333333334</v>
      </c>
      <c r="AE10" s="36">
        <f t="shared" si="6"/>
        <v>0.36858974358974361</v>
      </c>
      <c r="AF10" s="81">
        <f t="shared" ref="AF10" si="16">A10</f>
        <v>4</v>
      </c>
    </row>
    <row r="11" spans="1:32" ht="27" customHeight="1">
      <c r="A11" s="92">
        <v>5</v>
      </c>
      <c r="B11" s="11" t="s">
        <v>57</v>
      </c>
      <c r="C11" s="11" t="s">
        <v>112</v>
      </c>
      <c r="D11" s="52" t="s">
        <v>121</v>
      </c>
      <c r="E11" s="53" t="s">
        <v>152</v>
      </c>
      <c r="F11" s="30" t="s">
        <v>123</v>
      </c>
      <c r="G11" s="33">
        <v>1</v>
      </c>
      <c r="H11" s="35">
        <v>24</v>
      </c>
      <c r="I11" s="7">
        <v>115000</v>
      </c>
      <c r="J11" s="14">
        <v>2998</v>
      </c>
      <c r="K11" s="15">
        <f>L11+5338+5669+5744+4980+3619+1932+309+2790+5660+4715+1739+3127+5884+1203+3638+5732+5658+5217+2430+1897+5596+5715+3707+799+2709+2266+5086+3381+4392+5682+5705+5451</f>
        <v>130768</v>
      </c>
      <c r="L11" s="15">
        <f>1865+1133</f>
        <v>2998</v>
      </c>
      <c r="M11" s="15">
        <f t="shared" si="0"/>
        <v>2998</v>
      </c>
      <c r="N11" s="15">
        <v>0</v>
      </c>
      <c r="O11" s="58">
        <f t="shared" si="1"/>
        <v>0</v>
      </c>
      <c r="P11" s="39">
        <f t="shared" si="2"/>
        <v>15</v>
      </c>
      <c r="Q11" s="40">
        <f t="shared" si="3"/>
        <v>9</v>
      </c>
      <c r="R11" s="7"/>
      <c r="S11" s="6">
        <v>9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0.625</v>
      </c>
      <c r="AD11" s="10">
        <f t="shared" si="8"/>
        <v>0.625</v>
      </c>
      <c r="AE11" s="36">
        <f t="shared" si="6"/>
        <v>0.36858974358974361</v>
      </c>
      <c r="AF11" s="81">
        <f t="shared" si="7"/>
        <v>5</v>
      </c>
    </row>
    <row r="12" spans="1:32" ht="27" customHeight="1">
      <c r="A12" s="92">
        <v>6</v>
      </c>
      <c r="B12" s="11" t="s">
        <v>57</v>
      </c>
      <c r="C12" s="11" t="s">
        <v>112</v>
      </c>
      <c r="D12" s="52" t="s">
        <v>121</v>
      </c>
      <c r="E12" s="53" t="s">
        <v>303</v>
      </c>
      <c r="F12" s="30" t="s">
        <v>235</v>
      </c>
      <c r="G12" s="33">
        <v>2</v>
      </c>
      <c r="H12" s="35">
        <v>24</v>
      </c>
      <c r="I12" s="7">
        <v>60000</v>
      </c>
      <c r="J12" s="14">
        <v>10082</v>
      </c>
      <c r="K12" s="15">
        <f>L12+7651+9096+10744+10878+10346</f>
        <v>58797</v>
      </c>
      <c r="L12" s="15">
        <f>2378*2+2663*2</f>
        <v>10082</v>
      </c>
      <c r="M12" s="15">
        <f t="shared" si="0"/>
        <v>10082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0.36858974358974361</v>
      </c>
      <c r="AF12" s="81">
        <f t="shared" si="7"/>
        <v>6</v>
      </c>
    </row>
    <row r="13" spans="1:32" ht="27" customHeight="1">
      <c r="A13" s="92">
        <v>7</v>
      </c>
      <c r="B13" s="11" t="s">
        <v>57</v>
      </c>
      <c r="C13" s="34" t="s">
        <v>116</v>
      </c>
      <c r="D13" s="52" t="s">
        <v>115</v>
      </c>
      <c r="E13" s="53" t="s">
        <v>222</v>
      </c>
      <c r="F13" s="30" t="s">
        <v>205</v>
      </c>
      <c r="G13" s="12">
        <v>1</v>
      </c>
      <c r="H13" s="13">
        <v>22</v>
      </c>
      <c r="I13" s="31">
        <v>40000</v>
      </c>
      <c r="J13" s="5">
        <v>2299</v>
      </c>
      <c r="K13" s="15">
        <f>L13</f>
        <v>2299</v>
      </c>
      <c r="L13" s="15">
        <f>2299</f>
        <v>2299</v>
      </c>
      <c r="M13" s="15">
        <f t="shared" si="0"/>
        <v>2299</v>
      </c>
      <c r="N13" s="15">
        <v>0</v>
      </c>
      <c r="O13" s="58">
        <f t="shared" si="1"/>
        <v>0</v>
      </c>
      <c r="P13" s="39">
        <f t="shared" si="2"/>
        <v>11</v>
      </c>
      <c r="Q13" s="40">
        <f t="shared" si="3"/>
        <v>13</v>
      </c>
      <c r="R13" s="7"/>
      <c r="S13" s="6">
        <v>13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0.45833333333333331</v>
      </c>
      <c r="AD13" s="10">
        <f t="shared" si="8"/>
        <v>0.45833333333333331</v>
      </c>
      <c r="AE13" s="36">
        <f t="shared" si="6"/>
        <v>0.36858974358974361</v>
      </c>
      <c r="AF13" s="81">
        <f t="shared" si="7"/>
        <v>7</v>
      </c>
    </row>
    <row r="14" spans="1:32" ht="27" customHeight="1">
      <c r="A14" s="92">
        <v>8</v>
      </c>
      <c r="B14" s="11" t="s">
        <v>57</v>
      </c>
      <c r="C14" s="11" t="s">
        <v>126</v>
      </c>
      <c r="D14" s="52" t="s">
        <v>301</v>
      </c>
      <c r="E14" s="53" t="s">
        <v>757</v>
      </c>
      <c r="F14" s="30" t="s">
        <v>267</v>
      </c>
      <c r="G14" s="33" t="s">
        <v>302</v>
      </c>
      <c r="H14" s="35">
        <v>22</v>
      </c>
      <c r="I14" s="7">
        <v>1800</v>
      </c>
      <c r="J14" s="14">
        <v>2563</v>
      </c>
      <c r="K14" s="15">
        <f>L14</f>
        <v>2563</v>
      </c>
      <c r="L14" s="15">
        <f>1091+1472</f>
        <v>2563</v>
      </c>
      <c r="M14" s="15">
        <f t="shared" si="0"/>
        <v>2563</v>
      </c>
      <c r="N14" s="15">
        <v>0</v>
      </c>
      <c r="O14" s="58">
        <f t="shared" si="1"/>
        <v>0</v>
      </c>
      <c r="P14" s="39">
        <f t="shared" si="2"/>
        <v>15</v>
      </c>
      <c r="Q14" s="40">
        <f t="shared" si="3"/>
        <v>9</v>
      </c>
      <c r="R14" s="7"/>
      <c r="S14" s="6">
        <v>9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0.625</v>
      </c>
      <c r="AD14" s="10">
        <f t="shared" si="8"/>
        <v>0.625</v>
      </c>
      <c r="AE14" s="36">
        <f t="shared" si="6"/>
        <v>0.36858974358974361</v>
      </c>
      <c r="AF14" s="81">
        <f t="shared" si="7"/>
        <v>8</v>
      </c>
    </row>
    <row r="15" spans="1:32" ht="27" customHeight="1">
      <c r="A15" s="99">
        <v>9</v>
      </c>
      <c r="B15" s="11" t="s">
        <v>57</v>
      </c>
      <c r="C15" s="34" t="s">
        <v>163</v>
      </c>
      <c r="D15" s="52" t="s">
        <v>115</v>
      </c>
      <c r="E15" s="53" t="s">
        <v>727</v>
      </c>
      <c r="F15" s="30" t="s">
        <v>158</v>
      </c>
      <c r="G15" s="33">
        <v>1</v>
      </c>
      <c r="H15" s="35">
        <v>50</v>
      </c>
      <c r="I15" s="7">
        <v>100</v>
      </c>
      <c r="J15" s="5">
        <v>150</v>
      </c>
      <c r="K15" s="15">
        <f>L15</f>
        <v>150</v>
      </c>
      <c r="L15" s="15">
        <v>150</v>
      </c>
      <c r="M15" s="15">
        <f t="shared" ref="M15" si="17">L15-N15</f>
        <v>150</v>
      </c>
      <c r="N15" s="15">
        <v>0</v>
      </c>
      <c r="O15" s="58">
        <f t="shared" ref="O15" si="18">IF(L15=0,"0",N15/L15)</f>
        <v>0</v>
      </c>
      <c r="P15" s="39">
        <f t="shared" ref="P15" si="19">IF(L15=0,"0",(24-Q15))</f>
        <v>4</v>
      </c>
      <c r="Q15" s="40">
        <f t="shared" ref="Q15" si="20">SUM(R15:AA15)</f>
        <v>20</v>
      </c>
      <c r="R15" s="7"/>
      <c r="S15" s="6"/>
      <c r="T15" s="16"/>
      <c r="U15" s="16"/>
      <c r="V15" s="17"/>
      <c r="W15" s="5">
        <v>20</v>
      </c>
      <c r="X15" s="16"/>
      <c r="Y15" s="16"/>
      <c r="Z15" s="16"/>
      <c r="AA15" s="18"/>
      <c r="AB15" s="8">
        <f t="shared" ref="AB15" si="21">IF(J15=0,"0",(L15/J15))</f>
        <v>1</v>
      </c>
      <c r="AC15" s="9">
        <f t="shared" ref="AC15" si="22">IF(P15=0,"0",(P15/24))</f>
        <v>0.16666666666666666</v>
      </c>
      <c r="AD15" s="10">
        <f t="shared" ref="AD15" si="23">AC15*AB15*(1-O15)</f>
        <v>0.16666666666666666</v>
      </c>
      <c r="AE15" s="36">
        <f t="shared" si="6"/>
        <v>0.36858974358974361</v>
      </c>
      <c r="AF15" s="81">
        <f t="shared" ref="AF15" si="24">A15</f>
        <v>9</v>
      </c>
    </row>
    <row r="16" spans="1:32" ht="27" customHeight="1">
      <c r="A16" s="99">
        <v>9</v>
      </c>
      <c r="B16" s="11" t="s">
        <v>57</v>
      </c>
      <c r="C16" s="34" t="s">
        <v>163</v>
      </c>
      <c r="D16" s="52" t="s">
        <v>758</v>
      </c>
      <c r="E16" s="53" t="s">
        <v>725</v>
      </c>
      <c r="F16" s="30" t="s">
        <v>158</v>
      </c>
      <c r="G16" s="33">
        <v>1</v>
      </c>
      <c r="H16" s="35">
        <v>50</v>
      </c>
      <c r="I16" s="7">
        <v>100</v>
      </c>
      <c r="J16" s="5">
        <v>158</v>
      </c>
      <c r="K16" s="15">
        <f>L16</f>
        <v>158</v>
      </c>
      <c r="L16" s="15">
        <v>158</v>
      </c>
      <c r="M16" s="15">
        <f t="shared" si="0"/>
        <v>158</v>
      </c>
      <c r="N16" s="15">
        <v>0</v>
      </c>
      <c r="O16" s="58">
        <f t="shared" si="1"/>
        <v>0</v>
      </c>
      <c r="P16" s="39">
        <f t="shared" si="2"/>
        <v>3</v>
      </c>
      <c r="Q16" s="40">
        <f t="shared" si="3"/>
        <v>21</v>
      </c>
      <c r="R16" s="7"/>
      <c r="S16" s="6"/>
      <c r="T16" s="16"/>
      <c r="U16" s="16"/>
      <c r="V16" s="17"/>
      <c r="W16" s="5">
        <v>21</v>
      </c>
      <c r="X16" s="16"/>
      <c r="Y16" s="16"/>
      <c r="Z16" s="16"/>
      <c r="AA16" s="18"/>
      <c r="AB16" s="8">
        <f t="shared" si="4"/>
        <v>1</v>
      </c>
      <c r="AC16" s="9">
        <f t="shared" si="5"/>
        <v>0.125</v>
      </c>
      <c r="AD16" s="10">
        <f t="shared" si="8"/>
        <v>0.125</v>
      </c>
      <c r="AE16" s="36">
        <f t="shared" si="6"/>
        <v>0.36858974358974361</v>
      </c>
      <c r="AF16" s="81">
        <f t="shared" si="7"/>
        <v>9</v>
      </c>
    </row>
    <row r="17" spans="1:32" ht="27" customHeight="1">
      <c r="A17" s="106">
        <v>10</v>
      </c>
      <c r="B17" s="11" t="s">
        <v>57</v>
      </c>
      <c r="C17" s="34" t="s">
        <v>112</v>
      </c>
      <c r="D17" s="52" t="s">
        <v>138</v>
      </c>
      <c r="E17" s="53" t="s">
        <v>599</v>
      </c>
      <c r="F17" s="30" t="s">
        <v>139</v>
      </c>
      <c r="G17" s="12">
        <v>2</v>
      </c>
      <c r="H17" s="13">
        <v>24</v>
      </c>
      <c r="I17" s="31">
        <f>74000+25000</f>
        <v>99000</v>
      </c>
      <c r="J17" s="14">
        <v>10946</v>
      </c>
      <c r="K17" s="15">
        <f>L17+8206+11870+12258+12474+11882</f>
        <v>67636</v>
      </c>
      <c r="L17" s="15">
        <f>2974*2+2499*2</f>
        <v>10946</v>
      </c>
      <c r="M17" s="15">
        <f t="shared" si="0"/>
        <v>10946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0.36858974358974361</v>
      </c>
      <c r="AF17" s="81">
        <f t="shared" si="7"/>
        <v>10</v>
      </c>
    </row>
    <row r="18" spans="1:32" ht="27" customHeight="1">
      <c r="A18" s="92">
        <v>11</v>
      </c>
      <c r="B18" s="11" t="s">
        <v>57</v>
      </c>
      <c r="C18" s="34" t="s">
        <v>112</v>
      </c>
      <c r="D18" s="52" t="s">
        <v>159</v>
      </c>
      <c r="E18" s="53" t="s">
        <v>234</v>
      </c>
      <c r="F18" s="30" t="s">
        <v>235</v>
      </c>
      <c r="G18" s="12">
        <v>2</v>
      </c>
      <c r="H18" s="13">
        <v>22</v>
      </c>
      <c r="I18" s="31">
        <v>72000</v>
      </c>
      <c r="J18" s="5">
        <v>6076</v>
      </c>
      <c r="K18" s="15">
        <f>L18+4453+8440+10782+9098+8530+6582</f>
        <v>53961</v>
      </c>
      <c r="L18" s="15">
        <f>2452*2+586*2</f>
        <v>6076</v>
      </c>
      <c r="M18" s="15">
        <f t="shared" si="0"/>
        <v>6076</v>
      </c>
      <c r="N18" s="15">
        <v>0</v>
      </c>
      <c r="O18" s="58">
        <f t="shared" si="1"/>
        <v>0</v>
      </c>
      <c r="P18" s="39">
        <f t="shared" si="2"/>
        <v>15</v>
      </c>
      <c r="Q18" s="40">
        <f t="shared" si="3"/>
        <v>9</v>
      </c>
      <c r="R18" s="7"/>
      <c r="S18" s="6">
        <v>9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0.625</v>
      </c>
      <c r="AD18" s="10">
        <f t="shared" si="8"/>
        <v>0.625</v>
      </c>
      <c r="AE18" s="36">
        <f t="shared" si="6"/>
        <v>0.36858974358974361</v>
      </c>
      <c r="AF18" s="81">
        <f t="shared" si="7"/>
        <v>11</v>
      </c>
    </row>
    <row r="19" spans="1:32" ht="27" customHeight="1">
      <c r="A19" s="106">
        <v>12</v>
      </c>
      <c r="B19" s="11" t="s">
        <v>57</v>
      </c>
      <c r="C19" s="34" t="s">
        <v>668</v>
      </c>
      <c r="D19" s="52"/>
      <c r="E19" s="53" t="s">
        <v>667</v>
      </c>
      <c r="F19" s="30" t="s">
        <v>683</v>
      </c>
      <c r="G19" s="12">
        <v>1</v>
      </c>
      <c r="H19" s="13">
        <v>24</v>
      </c>
      <c r="I19" s="7">
        <f>7000+19000</f>
        <v>26000</v>
      </c>
      <c r="J19" s="14">
        <v>5158</v>
      </c>
      <c r="K19" s="15">
        <f>L19+3864+5352</f>
        <v>14374</v>
      </c>
      <c r="L19" s="15">
        <f>2797+2361</f>
        <v>5158</v>
      </c>
      <c r="M19" s="15">
        <f t="shared" si="0"/>
        <v>5158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0.36858974358974361</v>
      </c>
      <c r="AF19" s="81">
        <f t="shared" si="7"/>
        <v>12</v>
      </c>
    </row>
    <row r="20" spans="1:32" ht="27" customHeight="1">
      <c r="A20" s="92">
        <v>13</v>
      </c>
      <c r="B20" s="11" t="s">
        <v>57</v>
      </c>
      <c r="C20" s="34" t="s">
        <v>116</v>
      </c>
      <c r="D20" s="52" t="s">
        <v>127</v>
      </c>
      <c r="E20" s="53" t="s">
        <v>569</v>
      </c>
      <c r="F20" s="30" t="s">
        <v>153</v>
      </c>
      <c r="G20" s="12">
        <v>1</v>
      </c>
      <c r="H20" s="13">
        <v>22</v>
      </c>
      <c r="I20" s="31">
        <v>20000</v>
      </c>
      <c r="J20" s="5">
        <v>4805</v>
      </c>
      <c r="K20" s="15">
        <f>L20+2984+4988+2374+4173+4163+5295</f>
        <v>28782</v>
      </c>
      <c r="L20" s="15">
        <f>2473+2332</f>
        <v>4805</v>
      </c>
      <c r="M20" s="15">
        <f t="shared" si="0"/>
        <v>4805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0.36858974358974361</v>
      </c>
      <c r="AF20" s="81">
        <f t="shared" si="7"/>
        <v>13</v>
      </c>
    </row>
    <row r="21" spans="1:32" ht="27" customHeight="1">
      <c r="A21" s="92">
        <v>14</v>
      </c>
      <c r="B21" s="11" t="s">
        <v>57</v>
      </c>
      <c r="C21" s="11" t="s">
        <v>116</v>
      </c>
      <c r="D21" s="52" t="s">
        <v>157</v>
      </c>
      <c r="E21" s="53" t="s">
        <v>587</v>
      </c>
      <c r="F21" s="30" t="s">
        <v>158</v>
      </c>
      <c r="G21" s="33">
        <v>1</v>
      </c>
      <c r="H21" s="35">
        <v>24</v>
      </c>
      <c r="I21" s="7">
        <v>20000</v>
      </c>
      <c r="J21" s="14">
        <v>5081</v>
      </c>
      <c r="K21" s="15">
        <f>L21+4287+5676+5081</f>
        <v>15044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0.36858974358974361</v>
      </c>
      <c r="AF21" s="81">
        <f t="shared" si="7"/>
        <v>14</v>
      </c>
    </row>
    <row r="22" spans="1:32" ht="27" customHeight="1">
      <c r="A22" s="106">
        <v>15</v>
      </c>
      <c r="B22" s="11" t="s">
        <v>57</v>
      </c>
      <c r="C22" s="11" t="s">
        <v>112</v>
      </c>
      <c r="D22" s="52" t="s">
        <v>115</v>
      </c>
      <c r="E22" s="53" t="s">
        <v>143</v>
      </c>
      <c r="F22" s="30" t="s">
        <v>136</v>
      </c>
      <c r="G22" s="33">
        <v>2</v>
      </c>
      <c r="H22" s="35">
        <v>24</v>
      </c>
      <c r="I22" s="7">
        <v>70000</v>
      </c>
      <c r="J22" s="14">
        <v>4886</v>
      </c>
      <c r="K22" s="15">
        <f>L22+3150+7466+4534+7764+11032+11156+11220+10030</f>
        <v>71238</v>
      </c>
      <c r="L22" s="15">
        <f>2443*2</f>
        <v>4886</v>
      </c>
      <c r="M22" s="15">
        <f t="shared" si="0"/>
        <v>4886</v>
      </c>
      <c r="N22" s="15">
        <v>0</v>
      </c>
      <c r="O22" s="58">
        <f t="shared" si="1"/>
        <v>0</v>
      </c>
      <c r="P22" s="39">
        <f t="shared" si="2"/>
        <v>13</v>
      </c>
      <c r="Q22" s="40">
        <f t="shared" si="3"/>
        <v>11</v>
      </c>
      <c r="R22" s="7"/>
      <c r="S22" s="6">
        <v>11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0.54166666666666663</v>
      </c>
      <c r="AD22" s="10">
        <f t="shared" si="8"/>
        <v>0.54166666666666663</v>
      </c>
      <c r="AE22" s="36">
        <f t="shared" si="6"/>
        <v>0.36858974358974361</v>
      </c>
      <c r="AF22" s="81">
        <f t="shared" si="7"/>
        <v>15</v>
      </c>
    </row>
    <row r="23" spans="1:32" ht="26.25" customHeight="1">
      <c r="A23" s="92">
        <v>16</v>
      </c>
      <c r="B23" s="11" t="s">
        <v>57</v>
      </c>
      <c r="C23" s="11" t="s">
        <v>113</v>
      </c>
      <c r="D23" s="52"/>
      <c r="E23" s="53" t="s">
        <v>146</v>
      </c>
      <c r="F23" s="12" t="s">
        <v>114</v>
      </c>
      <c r="G23" s="12">
        <v>3</v>
      </c>
      <c r="H23" s="35">
        <v>20</v>
      </c>
      <c r="I23" s="7">
        <v>2000000</v>
      </c>
      <c r="J23" s="14">
        <v>55380</v>
      </c>
      <c r="K23" s="15">
        <f>L23+57172+63944+63948+58884+57396+63564+64736+63568+59200</f>
        <v>607792</v>
      </c>
      <c r="L23" s="15">
        <f>7977*4+5868*4</f>
        <v>55380</v>
      </c>
      <c r="M23" s="15">
        <f t="shared" si="0"/>
        <v>55380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8"/>
        <v>1</v>
      </c>
      <c r="AE23" s="36">
        <f t="shared" si="6"/>
        <v>0.36858974358974361</v>
      </c>
      <c r="AF23" s="81">
        <f t="shared" si="7"/>
        <v>16</v>
      </c>
    </row>
    <row r="24" spans="1:32" ht="26.25" customHeight="1">
      <c r="A24" s="307">
        <v>17</v>
      </c>
      <c r="B24" s="11" t="s">
        <v>57</v>
      </c>
      <c r="C24" s="11"/>
      <c r="D24" s="52"/>
      <c r="E24" s="53"/>
      <c r="F24" s="12"/>
      <c r="G24" s="12"/>
      <c r="H24" s="35"/>
      <c r="I24" s="7">
        <v>0</v>
      </c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0.36858974358974361</v>
      </c>
      <c r="AF24" s="81">
        <f t="shared" si="7"/>
        <v>17</v>
      </c>
    </row>
    <row r="25" spans="1:32" ht="26.25" customHeight="1">
      <c r="A25" s="307">
        <v>18</v>
      </c>
      <c r="B25" s="11" t="s">
        <v>57</v>
      </c>
      <c r="C25" s="11" t="s">
        <v>116</v>
      </c>
      <c r="D25" s="52" t="s">
        <v>600</v>
      </c>
      <c r="E25" s="53" t="s">
        <v>601</v>
      </c>
      <c r="F25" s="12" t="s">
        <v>602</v>
      </c>
      <c r="G25" s="12">
        <v>4</v>
      </c>
      <c r="H25" s="35">
        <v>15</v>
      </c>
      <c r="I25" s="7">
        <v>6000</v>
      </c>
      <c r="J25" s="14"/>
      <c r="K25" s="15">
        <f>L25</f>
        <v>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/>
      <c r="X25" s="16"/>
      <c r="Y25" s="16"/>
      <c r="Z25" s="16"/>
      <c r="AA25" s="18">
        <v>24</v>
      </c>
      <c r="AB25" s="8" t="str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0.36858974358974361</v>
      </c>
      <c r="AF25" s="81">
        <f t="shared" si="7"/>
        <v>18</v>
      </c>
    </row>
    <row r="26" spans="1:32" ht="21.75" customHeight="1">
      <c r="A26" s="92">
        <v>31</v>
      </c>
      <c r="B26" s="11" t="s">
        <v>57</v>
      </c>
      <c r="C26" s="11" t="s">
        <v>116</v>
      </c>
      <c r="D26" s="52" t="s">
        <v>115</v>
      </c>
      <c r="E26" s="53" t="s">
        <v>149</v>
      </c>
      <c r="F26" s="12" t="s">
        <v>136</v>
      </c>
      <c r="G26" s="12">
        <v>4</v>
      </c>
      <c r="H26" s="35">
        <v>20</v>
      </c>
      <c r="I26" s="7">
        <v>70000</v>
      </c>
      <c r="J26" s="14">
        <v>22300</v>
      </c>
      <c r="K26" s="15">
        <f>L26+22300</f>
        <v>22300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7">
        <v>24</v>
      </c>
      <c r="W26" s="5"/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0.36858974358974361</v>
      </c>
      <c r="AF26" s="81">
        <f t="shared" si="7"/>
        <v>31</v>
      </c>
    </row>
    <row r="27" spans="1:32" ht="21.75" customHeight="1">
      <c r="A27" s="92">
        <v>32</v>
      </c>
      <c r="B27" s="11" t="s">
        <v>57</v>
      </c>
      <c r="C27" s="11"/>
      <c r="D27" s="52"/>
      <c r="E27" s="53"/>
      <c r="F27" s="12"/>
      <c r="G27" s="12"/>
      <c r="H27" s="35">
        <v>20</v>
      </c>
      <c r="I27" s="7"/>
      <c r="J27" s="14">
        <v>0</v>
      </c>
      <c r="K27" s="15">
        <f t="shared" ref="K27" si="25">L27</f>
        <v>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7"/>
      <c r="W27" s="5">
        <v>24</v>
      </c>
      <c r="X27" s="16"/>
      <c r="Y27" s="16"/>
      <c r="Z27" s="16"/>
      <c r="AA27" s="18"/>
      <c r="AB27" s="8" t="str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0.36858974358974361</v>
      </c>
      <c r="AF27" s="81">
        <f t="shared" si="7"/>
        <v>32</v>
      </c>
    </row>
    <row r="28" spans="1:32" ht="21.75" customHeight="1">
      <c r="A28" s="92">
        <v>33</v>
      </c>
      <c r="B28" s="11" t="s">
        <v>57</v>
      </c>
      <c r="C28" s="11" t="s">
        <v>116</v>
      </c>
      <c r="D28" s="52" t="s">
        <v>142</v>
      </c>
      <c r="E28" s="53" t="s">
        <v>151</v>
      </c>
      <c r="F28" s="12" t="s">
        <v>123</v>
      </c>
      <c r="G28" s="12">
        <v>3</v>
      </c>
      <c r="H28" s="35">
        <v>20</v>
      </c>
      <c r="I28" s="7">
        <v>70000</v>
      </c>
      <c r="J28" s="14">
        <v>19983</v>
      </c>
      <c r="K28" s="15">
        <f>L28+22125+9744+18372+21786+19983</f>
        <v>92010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0.36858974358974361</v>
      </c>
      <c r="AF28" s="81">
        <f t="shared" si="7"/>
        <v>33</v>
      </c>
    </row>
    <row r="29" spans="1:32" ht="21.75" customHeight="1">
      <c r="A29" s="92">
        <v>34</v>
      </c>
      <c r="B29" s="11" t="s">
        <v>57</v>
      </c>
      <c r="C29" s="11" t="s">
        <v>116</v>
      </c>
      <c r="D29" s="52" t="s">
        <v>127</v>
      </c>
      <c r="E29" s="53" t="s">
        <v>148</v>
      </c>
      <c r="F29" s="12" t="s">
        <v>124</v>
      </c>
      <c r="G29" s="12">
        <v>3</v>
      </c>
      <c r="H29" s="35">
        <v>20</v>
      </c>
      <c r="I29" s="7">
        <v>70000</v>
      </c>
      <c r="J29" s="14">
        <v>18138</v>
      </c>
      <c r="K29" s="15">
        <f>L29+16448+27472+26896+18138</f>
        <v>88954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0</v>
      </c>
      <c r="R29" s="7"/>
      <c r="S29" s="6"/>
      <c r="T29" s="16"/>
      <c r="U29" s="16"/>
      <c r="V29" s="114"/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0.36858974358974361</v>
      </c>
      <c r="AF29" s="81">
        <f t="shared" si="7"/>
        <v>34</v>
      </c>
    </row>
    <row r="30" spans="1:32" ht="21.75" customHeight="1">
      <c r="A30" s="92">
        <v>35</v>
      </c>
      <c r="B30" s="11" t="s">
        <v>57</v>
      </c>
      <c r="C30" s="11" t="s">
        <v>116</v>
      </c>
      <c r="D30" s="52" t="s">
        <v>121</v>
      </c>
      <c r="E30" s="53" t="s">
        <v>125</v>
      </c>
      <c r="F30" s="12" t="s">
        <v>124</v>
      </c>
      <c r="G30" s="12">
        <v>4</v>
      </c>
      <c r="H30" s="35">
        <v>20</v>
      </c>
      <c r="I30" s="7">
        <v>50000</v>
      </c>
      <c r="J30" s="14">
        <v>26944</v>
      </c>
      <c r="K30" s="15">
        <f>L30+24592+26944+21716</f>
        <v>73252</v>
      </c>
      <c r="L30" s="15"/>
      <c r="M30" s="15">
        <f t="shared" si="0"/>
        <v>0</v>
      </c>
      <c r="N30" s="15">
        <v>0</v>
      </c>
      <c r="O30" s="58" t="str">
        <f t="shared" si="1"/>
        <v>0</v>
      </c>
      <c r="P30" s="39" t="str">
        <f t="shared" si="2"/>
        <v>0</v>
      </c>
      <c r="Q30" s="40">
        <f t="shared" si="3"/>
        <v>24</v>
      </c>
      <c r="R30" s="7"/>
      <c r="S30" s="6"/>
      <c r="T30" s="16"/>
      <c r="U30" s="16"/>
      <c r="V30" s="114"/>
      <c r="W30" s="5">
        <v>24</v>
      </c>
      <c r="X30" s="16"/>
      <c r="Y30" s="16"/>
      <c r="Z30" s="16"/>
      <c r="AA30" s="18"/>
      <c r="AB30" s="8">
        <f t="shared" si="4"/>
        <v>0</v>
      </c>
      <c r="AC30" s="9">
        <f t="shared" si="5"/>
        <v>0</v>
      </c>
      <c r="AD30" s="10">
        <f t="shared" si="8"/>
        <v>0</v>
      </c>
      <c r="AE30" s="36">
        <f t="shared" si="6"/>
        <v>0.36858974358974361</v>
      </c>
      <c r="AF30" s="81">
        <f t="shared" si="7"/>
        <v>35</v>
      </c>
    </row>
    <row r="31" spans="1:32" ht="21.75" customHeight="1" thickBot="1">
      <c r="A31" s="92">
        <v>36</v>
      </c>
      <c r="B31" s="11" t="s">
        <v>57</v>
      </c>
      <c r="C31" s="11" t="s">
        <v>113</v>
      </c>
      <c r="D31" s="52"/>
      <c r="E31" s="53" t="s">
        <v>150</v>
      </c>
      <c r="F31" s="12" t="s">
        <v>114</v>
      </c>
      <c r="G31" s="12">
        <v>4</v>
      </c>
      <c r="H31" s="35">
        <v>20</v>
      </c>
      <c r="I31" s="7">
        <v>1000000</v>
      </c>
      <c r="J31" s="14">
        <v>79328</v>
      </c>
      <c r="K31" s="15">
        <f>L31+28388+70816+76368+81764+83428+47688+53180+83092+82192+79328</f>
        <v>686244</v>
      </c>
      <c r="L31" s="15"/>
      <c r="M31" s="15">
        <f t="shared" si="0"/>
        <v>0</v>
      </c>
      <c r="N31" s="15">
        <v>0</v>
      </c>
      <c r="O31" s="58" t="str">
        <f t="shared" si="1"/>
        <v>0</v>
      </c>
      <c r="P31" s="39" t="str">
        <f t="shared" si="2"/>
        <v>0</v>
      </c>
      <c r="Q31" s="40">
        <f t="shared" si="3"/>
        <v>24</v>
      </c>
      <c r="R31" s="7"/>
      <c r="S31" s="6"/>
      <c r="T31" s="16"/>
      <c r="U31" s="16"/>
      <c r="V31" s="114">
        <v>24</v>
      </c>
      <c r="W31" s="5"/>
      <c r="X31" s="16"/>
      <c r="Y31" s="16"/>
      <c r="Z31" s="16"/>
      <c r="AA31" s="18"/>
      <c r="AB31" s="8">
        <f t="shared" si="4"/>
        <v>0</v>
      </c>
      <c r="AC31" s="9">
        <f t="shared" si="5"/>
        <v>0</v>
      </c>
      <c r="AD31" s="10">
        <f t="shared" si="8"/>
        <v>0</v>
      </c>
      <c r="AE31" s="36">
        <f t="shared" si="6"/>
        <v>0.36858974358974361</v>
      </c>
      <c r="AF31" s="81">
        <f t="shared" si="7"/>
        <v>36</v>
      </c>
    </row>
    <row r="32" spans="1:32" ht="19.5" thickBot="1">
      <c r="A32" s="478" t="s">
        <v>34</v>
      </c>
      <c r="B32" s="479"/>
      <c r="C32" s="479"/>
      <c r="D32" s="479"/>
      <c r="E32" s="479"/>
      <c r="F32" s="479"/>
      <c r="G32" s="479"/>
      <c r="H32" s="480"/>
      <c r="I32" s="22">
        <f t="shared" ref="I32:N32" si="26">SUM(I6:I31)</f>
        <v>3880600</v>
      </c>
      <c r="J32" s="19">
        <f t="shared" si="26"/>
        <v>301195</v>
      </c>
      <c r="K32" s="20">
        <f t="shared" si="26"/>
        <v>2111204</v>
      </c>
      <c r="L32" s="21">
        <f t="shared" si="26"/>
        <v>116063</v>
      </c>
      <c r="M32" s="20">
        <f t="shared" si="26"/>
        <v>116063</v>
      </c>
      <c r="N32" s="21">
        <f t="shared" si="26"/>
        <v>0</v>
      </c>
      <c r="O32" s="41">
        <f t="shared" si="1"/>
        <v>0</v>
      </c>
      <c r="P32" s="42">
        <f t="shared" ref="P32:AA32" si="27">SUM(P6:P31)</f>
        <v>230</v>
      </c>
      <c r="Q32" s="43">
        <f t="shared" si="27"/>
        <v>346</v>
      </c>
      <c r="R32" s="23">
        <f t="shared" si="27"/>
        <v>0</v>
      </c>
      <c r="S32" s="24">
        <f t="shared" si="27"/>
        <v>99</v>
      </c>
      <c r="T32" s="24">
        <f t="shared" si="27"/>
        <v>0</v>
      </c>
      <c r="U32" s="24">
        <f t="shared" si="27"/>
        <v>0</v>
      </c>
      <c r="V32" s="25">
        <f t="shared" si="27"/>
        <v>48</v>
      </c>
      <c r="W32" s="26">
        <f t="shared" si="27"/>
        <v>151</v>
      </c>
      <c r="X32" s="27">
        <f t="shared" si="27"/>
        <v>0</v>
      </c>
      <c r="Y32" s="27">
        <f t="shared" si="27"/>
        <v>0</v>
      </c>
      <c r="Z32" s="27">
        <f t="shared" si="27"/>
        <v>0</v>
      </c>
      <c r="AA32" s="27">
        <f t="shared" si="27"/>
        <v>48</v>
      </c>
      <c r="AB32" s="28">
        <f>AVERAGE(AB6:AB31)</f>
        <v>0.65217391304347827</v>
      </c>
      <c r="AC32" s="4">
        <f>AVERAGE(AC6:AC31)</f>
        <v>0.36858974358974361</v>
      </c>
      <c r="AD32" s="4">
        <f>AVERAGE(AD6:AD31)</f>
        <v>0.36858974358974361</v>
      </c>
      <c r="AE32" s="29"/>
    </row>
    <row r="33" spans="1:32">
      <c r="T33" s="50" t="s">
        <v>128</v>
      </c>
    </row>
    <row r="34" spans="1:32" ht="18.75">
      <c r="A34" s="2"/>
      <c r="B34" s="2" t="s">
        <v>35</v>
      </c>
      <c r="C34" s="2"/>
      <c r="D34" s="2"/>
      <c r="E34" s="2"/>
      <c r="F34" s="2"/>
      <c r="G34" s="2"/>
      <c r="H34" s="3"/>
      <c r="I34" s="3"/>
      <c r="J34" s="2"/>
      <c r="K34" s="2"/>
      <c r="L34" s="2"/>
      <c r="M34" s="2"/>
      <c r="N34" s="2" t="s">
        <v>36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1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 t="s">
        <v>129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spans="1:3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82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7">
      <c r="A49" s="59"/>
      <c r="B49" s="59"/>
      <c r="C49" s="59"/>
      <c r="D49" s="59"/>
      <c r="E49" s="59"/>
      <c r="F49" s="37"/>
      <c r="G49" s="37"/>
      <c r="H49" s="38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F49" s="50"/>
    </row>
    <row r="50" spans="1:32" ht="29.25" customHeight="1">
      <c r="A50" s="60"/>
      <c r="B50" s="60"/>
      <c r="C50" s="61"/>
      <c r="D50" s="61"/>
      <c r="E50" s="61"/>
      <c r="F50" s="60"/>
      <c r="G50" s="60"/>
      <c r="H50" s="60"/>
      <c r="I50" s="60"/>
      <c r="J50" s="60"/>
      <c r="K50" s="60"/>
      <c r="L50" s="60"/>
      <c r="M50" s="61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29.25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29.25" customHeight="1">
      <c r="A57" s="60"/>
      <c r="B57" s="60"/>
      <c r="C57" s="62"/>
      <c r="D57" s="61"/>
      <c r="E57" s="61"/>
      <c r="F57" s="60"/>
      <c r="G57" s="60"/>
      <c r="H57" s="60"/>
      <c r="I57" s="60"/>
      <c r="J57" s="60"/>
      <c r="K57" s="60"/>
      <c r="L57" s="60"/>
      <c r="M57" s="62"/>
      <c r="N57" s="60"/>
      <c r="O57" s="60"/>
      <c r="P57" s="63"/>
      <c r="Q57" s="63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0"/>
      <c r="AC57" s="60"/>
      <c r="AD57" s="60"/>
      <c r="AF57" s="50"/>
    </row>
    <row r="58" spans="1:32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F58" s="50"/>
    </row>
    <row r="59" spans="1:32" ht="36" thickBot="1">
      <c r="A59" s="481" t="s">
        <v>45</v>
      </c>
      <c r="B59" s="481"/>
      <c r="C59" s="481"/>
      <c r="D59" s="481"/>
      <c r="E59" s="481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F59" s="50"/>
    </row>
    <row r="60" spans="1:32" ht="26.25" thickBot="1">
      <c r="A60" s="482" t="s">
        <v>759</v>
      </c>
      <c r="B60" s="483"/>
      <c r="C60" s="483"/>
      <c r="D60" s="483"/>
      <c r="E60" s="483"/>
      <c r="F60" s="483"/>
      <c r="G60" s="483"/>
      <c r="H60" s="483"/>
      <c r="I60" s="483"/>
      <c r="J60" s="483"/>
      <c r="K60" s="483"/>
      <c r="L60" s="483"/>
      <c r="M60" s="484"/>
      <c r="N60" s="485" t="s">
        <v>764</v>
      </c>
      <c r="O60" s="486"/>
      <c r="P60" s="486"/>
      <c r="Q60" s="486"/>
      <c r="R60" s="486"/>
      <c r="S60" s="486"/>
      <c r="T60" s="486"/>
      <c r="U60" s="486"/>
      <c r="V60" s="486"/>
      <c r="W60" s="486"/>
      <c r="X60" s="486"/>
      <c r="Y60" s="486"/>
      <c r="Z60" s="486"/>
      <c r="AA60" s="486"/>
      <c r="AB60" s="486"/>
      <c r="AC60" s="486"/>
      <c r="AD60" s="487"/>
    </row>
    <row r="61" spans="1:32" ht="27" customHeight="1">
      <c r="A61" s="488" t="s">
        <v>2</v>
      </c>
      <c r="B61" s="489"/>
      <c r="C61" s="337" t="s">
        <v>46</v>
      </c>
      <c r="D61" s="337" t="s">
        <v>47</v>
      </c>
      <c r="E61" s="337" t="s">
        <v>107</v>
      </c>
      <c r="F61" s="490" t="s">
        <v>106</v>
      </c>
      <c r="G61" s="491"/>
      <c r="H61" s="491"/>
      <c r="I61" s="491"/>
      <c r="J61" s="491"/>
      <c r="K61" s="491"/>
      <c r="L61" s="491"/>
      <c r="M61" s="492"/>
      <c r="N61" s="67" t="s">
        <v>110</v>
      </c>
      <c r="O61" s="337" t="s">
        <v>46</v>
      </c>
      <c r="P61" s="490" t="s">
        <v>47</v>
      </c>
      <c r="Q61" s="493"/>
      <c r="R61" s="490" t="s">
        <v>38</v>
      </c>
      <c r="S61" s="491"/>
      <c r="T61" s="491"/>
      <c r="U61" s="493"/>
      <c r="V61" s="490" t="s">
        <v>48</v>
      </c>
      <c r="W61" s="491"/>
      <c r="X61" s="491"/>
      <c r="Y61" s="491"/>
      <c r="Z61" s="491"/>
      <c r="AA61" s="491"/>
      <c r="AB61" s="491"/>
      <c r="AC61" s="491"/>
      <c r="AD61" s="492"/>
    </row>
    <row r="62" spans="1:32" ht="27" customHeight="1">
      <c r="A62" s="455" t="s">
        <v>126</v>
      </c>
      <c r="B62" s="456"/>
      <c r="C62" s="338" t="s">
        <v>155</v>
      </c>
      <c r="D62" s="338" t="s">
        <v>115</v>
      </c>
      <c r="E62" s="340" t="s">
        <v>664</v>
      </c>
      <c r="F62" s="457" t="s">
        <v>760</v>
      </c>
      <c r="G62" s="458"/>
      <c r="H62" s="458"/>
      <c r="I62" s="458"/>
      <c r="J62" s="458"/>
      <c r="K62" s="458"/>
      <c r="L62" s="458"/>
      <c r="M62" s="459"/>
      <c r="N62" s="339" t="s">
        <v>126</v>
      </c>
      <c r="O62" s="345" t="s">
        <v>315</v>
      </c>
      <c r="P62" s="472"/>
      <c r="Q62" s="473"/>
      <c r="R62" s="472" t="s">
        <v>702</v>
      </c>
      <c r="S62" s="474"/>
      <c r="T62" s="474"/>
      <c r="U62" s="473"/>
      <c r="V62" s="461" t="s">
        <v>144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116</v>
      </c>
      <c r="B63" s="456"/>
      <c r="C63" s="338" t="s">
        <v>145</v>
      </c>
      <c r="D63" s="338" t="s">
        <v>755</v>
      </c>
      <c r="E63" s="340" t="s">
        <v>756</v>
      </c>
      <c r="F63" s="457" t="s">
        <v>623</v>
      </c>
      <c r="G63" s="458"/>
      <c r="H63" s="458"/>
      <c r="I63" s="458"/>
      <c r="J63" s="458"/>
      <c r="K63" s="458"/>
      <c r="L63" s="458"/>
      <c r="M63" s="459"/>
      <c r="N63" s="339" t="s">
        <v>163</v>
      </c>
      <c r="O63" s="345" t="s">
        <v>207</v>
      </c>
      <c r="P63" s="472" t="s">
        <v>115</v>
      </c>
      <c r="Q63" s="473"/>
      <c r="R63" s="472" t="s">
        <v>196</v>
      </c>
      <c r="S63" s="474"/>
      <c r="T63" s="474"/>
      <c r="U63" s="473"/>
      <c r="V63" s="461" t="s">
        <v>187</v>
      </c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112</v>
      </c>
      <c r="B64" s="456"/>
      <c r="C64" s="338" t="s">
        <v>244</v>
      </c>
      <c r="D64" s="338" t="s">
        <v>159</v>
      </c>
      <c r="E64" s="340" t="s">
        <v>234</v>
      </c>
      <c r="F64" s="457" t="s">
        <v>693</v>
      </c>
      <c r="G64" s="458"/>
      <c r="H64" s="458"/>
      <c r="I64" s="458"/>
      <c r="J64" s="458"/>
      <c r="K64" s="458"/>
      <c r="L64" s="458"/>
      <c r="M64" s="459"/>
      <c r="N64" s="339" t="s">
        <v>112</v>
      </c>
      <c r="O64" s="345" t="s">
        <v>155</v>
      </c>
      <c r="P64" s="472" t="s">
        <v>159</v>
      </c>
      <c r="Q64" s="473"/>
      <c r="R64" s="472" t="s">
        <v>765</v>
      </c>
      <c r="S64" s="474"/>
      <c r="T64" s="474"/>
      <c r="U64" s="473"/>
      <c r="V64" s="461" t="s">
        <v>187</v>
      </c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 t="s">
        <v>116</v>
      </c>
      <c r="B65" s="456"/>
      <c r="C65" s="338" t="s">
        <v>145</v>
      </c>
      <c r="D65" s="338" t="s">
        <v>255</v>
      </c>
      <c r="E65" s="340" t="s">
        <v>545</v>
      </c>
      <c r="F65" s="457" t="s">
        <v>623</v>
      </c>
      <c r="G65" s="458"/>
      <c r="H65" s="458"/>
      <c r="I65" s="458"/>
      <c r="J65" s="458"/>
      <c r="K65" s="458"/>
      <c r="L65" s="458"/>
      <c r="M65" s="459"/>
      <c r="N65" s="339" t="s">
        <v>112</v>
      </c>
      <c r="O65" s="345" t="s">
        <v>155</v>
      </c>
      <c r="P65" s="472" t="s">
        <v>115</v>
      </c>
      <c r="Q65" s="473"/>
      <c r="R65" s="472" t="s">
        <v>421</v>
      </c>
      <c r="S65" s="474"/>
      <c r="T65" s="474"/>
      <c r="U65" s="473"/>
      <c r="V65" s="461" t="s">
        <v>187</v>
      </c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 t="s">
        <v>112</v>
      </c>
      <c r="B66" s="456"/>
      <c r="C66" s="338" t="s">
        <v>286</v>
      </c>
      <c r="D66" s="338" t="s">
        <v>121</v>
      </c>
      <c r="E66" s="340" t="s">
        <v>152</v>
      </c>
      <c r="F66" s="457" t="s">
        <v>761</v>
      </c>
      <c r="G66" s="458"/>
      <c r="H66" s="458"/>
      <c r="I66" s="458"/>
      <c r="J66" s="458"/>
      <c r="K66" s="458"/>
      <c r="L66" s="458"/>
      <c r="M66" s="459"/>
      <c r="N66" s="339" t="s">
        <v>126</v>
      </c>
      <c r="O66" s="345" t="s">
        <v>145</v>
      </c>
      <c r="P66" s="472" t="s">
        <v>157</v>
      </c>
      <c r="Q66" s="473"/>
      <c r="R66" s="472" t="s">
        <v>766</v>
      </c>
      <c r="S66" s="474"/>
      <c r="T66" s="474"/>
      <c r="U66" s="473"/>
      <c r="V66" s="461" t="s">
        <v>187</v>
      </c>
      <c r="W66" s="462"/>
      <c r="X66" s="462"/>
      <c r="Y66" s="462"/>
      <c r="Z66" s="462"/>
      <c r="AA66" s="462"/>
      <c r="AB66" s="462"/>
      <c r="AC66" s="462"/>
      <c r="AD66" s="463"/>
    </row>
    <row r="67" spans="1:32" ht="27" customHeight="1">
      <c r="A67" s="455" t="s">
        <v>116</v>
      </c>
      <c r="B67" s="456"/>
      <c r="C67" s="338" t="s">
        <v>223</v>
      </c>
      <c r="D67" s="338" t="s">
        <v>115</v>
      </c>
      <c r="E67" s="340" t="s">
        <v>731</v>
      </c>
      <c r="F67" s="457" t="s">
        <v>761</v>
      </c>
      <c r="G67" s="458"/>
      <c r="H67" s="458"/>
      <c r="I67" s="458"/>
      <c r="J67" s="458"/>
      <c r="K67" s="458"/>
      <c r="L67" s="458"/>
      <c r="M67" s="459"/>
      <c r="N67" s="339" t="s">
        <v>112</v>
      </c>
      <c r="O67" s="345" t="s">
        <v>315</v>
      </c>
      <c r="P67" s="472" t="s">
        <v>157</v>
      </c>
      <c r="Q67" s="473"/>
      <c r="R67" s="472" t="s">
        <v>767</v>
      </c>
      <c r="S67" s="474"/>
      <c r="T67" s="474"/>
      <c r="U67" s="473"/>
      <c r="V67" s="461" t="s">
        <v>187</v>
      </c>
      <c r="W67" s="462"/>
      <c r="X67" s="462"/>
      <c r="Y67" s="462"/>
      <c r="Z67" s="462"/>
      <c r="AA67" s="462"/>
      <c r="AB67" s="462"/>
      <c r="AC67" s="462"/>
      <c r="AD67" s="463"/>
    </row>
    <row r="68" spans="1:32" ht="27" customHeight="1">
      <c r="A68" s="455" t="s">
        <v>126</v>
      </c>
      <c r="B68" s="456"/>
      <c r="C68" s="338" t="s">
        <v>315</v>
      </c>
      <c r="D68" s="338" t="s">
        <v>301</v>
      </c>
      <c r="E68" s="340" t="s">
        <v>285</v>
      </c>
      <c r="F68" s="457" t="s">
        <v>187</v>
      </c>
      <c r="G68" s="458"/>
      <c r="H68" s="458"/>
      <c r="I68" s="458"/>
      <c r="J68" s="458"/>
      <c r="K68" s="458"/>
      <c r="L68" s="458"/>
      <c r="M68" s="459"/>
      <c r="N68" s="339" t="s">
        <v>112</v>
      </c>
      <c r="O68" s="345" t="s">
        <v>164</v>
      </c>
      <c r="P68" s="472" t="s">
        <v>115</v>
      </c>
      <c r="Q68" s="473"/>
      <c r="R68" s="472" t="s">
        <v>768</v>
      </c>
      <c r="S68" s="474"/>
      <c r="T68" s="474"/>
      <c r="U68" s="473"/>
      <c r="V68" s="461" t="s">
        <v>187</v>
      </c>
      <c r="W68" s="462"/>
      <c r="X68" s="462"/>
      <c r="Y68" s="462"/>
      <c r="Z68" s="462"/>
      <c r="AA68" s="462"/>
      <c r="AB68" s="462"/>
      <c r="AC68" s="462"/>
      <c r="AD68" s="463"/>
    </row>
    <row r="69" spans="1:32" ht="27" customHeight="1">
      <c r="A69" s="455" t="s">
        <v>116</v>
      </c>
      <c r="B69" s="456"/>
      <c r="C69" s="338" t="s">
        <v>225</v>
      </c>
      <c r="D69" s="338" t="s">
        <v>157</v>
      </c>
      <c r="E69" s="340" t="s">
        <v>587</v>
      </c>
      <c r="F69" s="457" t="s">
        <v>762</v>
      </c>
      <c r="G69" s="458"/>
      <c r="H69" s="458"/>
      <c r="I69" s="458"/>
      <c r="J69" s="458"/>
      <c r="K69" s="458"/>
      <c r="L69" s="458"/>
      <c r="M69" s="459"/>
      <c r="N69" s="339" t="s">
        <v>116</v>
      </c>
      <c r="O69" s="345" t="s">
        <v>225</v>
      </c>
      <c r="P69" s="472" t="s">
        <v>157</v>
      </c>
      <c r="Q69" s="473"/>
      <c r="R69" s="472" t="s">
        <v>587</v>
      </c>
      <c r="S69" s="474"/>
      <c r="T69" s="474"/>
      <c r="U69" s="473"/>
      <c r="V69" s="461" t="s">
        <v>144</v>
      </c>
      <c r="W69" s="462"/>
      <c r="X69" s="462"/>
      <c r="Y69" s="462"/>
      <c r="Z69" s="462"/>
      <c r="AA69" s="462"/>
      <c r="AB69" s="462"/>
      <c r="AC69" s="462"/>
      <c r="AD69" s="463"/>
    </row>
    <row r="70" spans="1:32" ht="27" customHeight="1">
      <c r="A70" s="455" t="s">
        <v>112</v>
      </c>
      <c r="B70" s="456"/>
      <c r="C70" s="338" t="s">
        <v>180</v>
      </c>
      <c r="D70" s="338" t="s">
        <v>115</v>
      </c>
      <c r="E70" s="340" t="s">
        <v>143</v>
      </c>
      <c r="F70" s="457" t="s">
        <v>763</v>
      </c>
      <c r="G70" s="458"/>
      <c r="H70" s="458"/>
      <c r="I70" s="458"/>
      <c r="J70" s="458"/>
      <c r="K70" s="458"/>
      <c r="L70" s="458"/>
      <c r="M70" s="459"/>
      <c r="N70" s="339"/>
      <c r="O70" s="345"/>
      <c r="P70" s="460"/>
      <c r="Q70" s="460"/>
      <c r="R70" s="460"/>
      <c r="S70" s="460"/>
      <c r="T70" s="460"/>
      <c r="U70" s="460"/>
      <c r="V70" s="461"/>
      <c r="W70" s="462"/>
      <c r="X70" s="462"/>
      <c r="Y70" s="462"/>
      <c r="Z70" s="462"/>
      <c r="AA70" s="462"/>
      <c r="AB70" s="462"/>
      <c r="AC70" s="462"/>
      <c r="AD70" s="463"/>
      <c r="AF70" s="81">
        <f>8*3000</f>
        <v>24000</v>
      </c>
    </row>
    <row r="71" spans="1:32" ht="27" customHeight="1" thickBot="1">
      <c r="A71" s="464"/>
      <c r="B71" s="465"/>
      <c r="C71" s="341"/>
      <c r="D71" s="342"/>
      <c r="E71" s="341"/>
      <c r="F71" s="466"/>
      <c r="G71" s="467"/>
      <c r="H71" s="467"/>
      <c r="I71" s="467"/>
      <c r="J71" s="467"/>
      <c r="K71" s="467"/>
      <c r="L71" s="467"/>
      <c r="M71" s="468"/>
      <c r="N71" s="105"/>
      <c r="O71" s="97"/>
      <c r="P71" s="469"/>
      <c r="Q71" s="469"/>
      <c r="R71" s="469"/>
      <c r="S71" s="469"/>
      <c r="T71" s="469"/>
      <c r="U71" s="469"/>
      <c r="V71" s="470"/>
      <c r="W71" s="470"/>
      <c r="X71" s="470"/>
      <c r="Y71" s="470"/>
      <c r="Z71" s="470"/>
      <c r="AA71" s="470"/>
      <c r="AB71" s="470"/>
      <c r="AC71" s="470"/>
      <c r="AD71" s="471"/>
      <c r="AF71" s="81">
        <f>16*3000</f>
        <v>48000</v>
      </c>
    </row>
    <row r="72" spans="1:32" ht="27.75" thickBot="1">
      <c r="A72" s="453" t="s">
        <v>769</v>
      </c>
      <c r="B72" s="453"/>
      <c r="C72" s="453"/>
      <c r="D72" s="453"/>
      <c r="E72" s="453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81">
        <v>24000</v>
      </c>
    </row>
    <row r="73" spans="1:32" ht="29.25" customHeight="1" thickBot="1">
      <c r="A73" s="454" t="s">
        <v>111</v>
      </c>
      <c r="B73" s="451"/>
      <c r="C73" s="343" t="s">
        <v>2</v>
      </c>
      <c r="D73" s="343" t="s">
        <v>37</v>
      </c>
      <c r="E73" s="343" t="s">
        <v>3</v>
      </c>
      <c r="F73" s="451" t="s">
        <v>109</v>
      </c>
      <c r="G73" s="451"/>
      <c r="H73" s="451"/>
      <c r="I73" s="451"/>
      <c r="J73" s="451"/>
      <c r="K73" s="451" t="s">
        <v>39</v>
      </c>
      <c r="L73" s="451"/>
      <c r="M73" s="343" t="s">
        <v>40</v>
      </c>
      <c r="N73" s="451" t="s">
        <v>41</v>
      </c>
      <c r="O73" s="451"/>
      <c r="P73" s="448" t="s">
        <v>42</v>
      </c>
      <c r="Q73" s="450"/>
      <c r="R73" s="448" t="s">
        <v>43</v>
      </c>
      <c r="S73" s="449"/>
      <c r="T73" s="449"/>
      <c r="U73" s="449"/>
      <c r="V73" s="449"/>
      <c r="W73" s="449"/>
      <c r="X73" s="449"/>
      <c r="Y73" s="449"/>
      <c r="Z73" s="449"/>
      <c r="AA73" s="450"/>
      <c r="AB73" s="451" t="s">
        <v>44</v>
      </c>
      <c r="AC73" s="451"/>
      <c r="AD73" s="452"/>
      <c r="AF73" s="81">
        <f>SUM(AF70:AF72)</f>
        <v>96000</v>
      </c>
    </row>
    <row r="74" spans="1:32" ht="25.5" customHeight="1">
      <c r="A74" s="439">
        <v>1</v>
      </c>
      <c r="B74" s="440"/>
      <c r="C74" s="98" t="s">
        <v>116</v>
      </c>
      <c r="D74" s="347"/>
      <c r="E74" s="344" t="s">
        <v>138</v>
      </c>
      <c r="F74" s="441" t="s">
        <v>465</v>
      </c>
      <c r="G74" s="431"/>
      <c r="H74" s="431"/>
      <c r="I74" s="431"/>
      <c r="J74" s="431"/>
      <c r="K74" s="431" t="s">
        <v>204</v>
      </c>
      <c r="L74" s="431"/>
      <c r="M74" s="51" t="s">
        <v>154</v>
      </c>
      <c r="N74" s="442" t="s">
        <v>140</v>
      </c>
      <c r="O74" s="442"/>
      <c r="P74" s="443">
        <v>50</v>
      </c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2</v>
      </c>
      <c r="B75" s="440"/>
      <c r="C75" s="98" t="s">
        <v>112</v>
      </c>
      <c r="D75" s="347"/>
      <c r="E75" s="344" t="s">
        <v>138</v>
      </c>
      <c r="F75" s="445" t="s">
        <v>770</v>
      </c>
      <c r="G75" s="446"/>
      <c r="H75" s="446"/>
      <c r="I75" s="446"/>
      <c r="J75" s="447"/>
      <c r="K75" s="431" t="s">
        <v>772</v>
      </c>
      <c r="L75" s="431"/>
      <c r="M75" s="51" t="s">
        <v>154</v>
      </c>
      <c r="N75" s="442" t="s">
        <v>140</v>
      </c>
      <c r="O75" s="442"/>
      <c r="P75" s="443">
        <v>200</v>
      </c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3</v>
      </c>
      <c r="B76" s="440"/>
      <c r="C76" s="98" t="s">
        <v>112</v>
      </c>
      <c r="D76" s="347"/>
      <c r="E76" s="344" t="s">
        <v>320</v>
      </c>
      <c r="F76" s="441" t="s">
        <v>771</v>
      </c>
      <c r="G76" s="431"/>
      <c r="H76" s="431"/>
      <c r="I76" s="431"/>
      <c r="J76" s="431"/>
      <c r="K76" s="431" t="s">
        <v>773</v>
      </c>
      <c r="L76" s="431"/>
      <c r="M76" s="51" t="s">
        <v>154</v>
      </c>
      <c r="N76" s="442" t="s">
        <v>145</v>
      </c>
      <c r="O76" s="442"/>
      <c r="P76" s="443">
        <v>50</v>
      </c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4</v>
      </c>
      <c r="B77" s="440"/>
      <c r="C77" s="98" t="s">
        <v>116</v>
      </c>
      <c r="D77" s="347"/>
      <c r="E77" s="344" t="s">
        <v>255</v>
      </c>
      <c r="F77" s="445" t="s">
        <v>545</v>
      </c>
      <c r="G77" s="446"/>
      <c r="H77" s="446"/>
      <c r="I77" s="446"/>
      <c r="J77" s="447"/>
      <c r="K77" s="431" t="s">
        <v>122</v>
      </c>
      <c r="L77" s="431"/>
      <c r="M77" s="51" t="s">
        <v>154</v>
      </c>
      <c r="N77" s="442" t="s">
        <v>145</v>
      </c>
      <c r="O77" s="442"/>
      <c r="P77" s="443">
        <v>50</v>
      </c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5</v>
      </c>
      <c r="B78" s="440"/>
      <c r="C78" s="98" t="s">
        <v>116</v>
      </c>
      <c r="D78" s="347"/>
      <c r="E78" s="344" t="s">
        <v>755</v>
      </c>
      <c r="F78" s="445" t="s">
        <v>756</v>
      </c>
      <c r="G78" s="446"/>
      <c r="H78" s="446"/>
      <c r="I78" s="446"/>
      <c r="J78" s="447"/>
      <c r="K78" s="431" t="s">
        <v>235</v>
      </c>
      <c r="L78" s="431"/>
      <c r="M78" s="51" t="s">
        <v>154</v>
      </c>
      <c r="N78" s="442" t="s">
        <v>145</v>
      </c>
      <c r="O78" s="442"/>
      <c r="P78" s="443">
        <v>50</v>
      </c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6</v>
      </c>
      <c r="B79" s="440"/>
      <c r="C79" s="98" t="s">
        <v>112</v>
      </c>
      <c r="D79" s="347"/>
      <c r="E79" s="344" t="s">
        <v>468</v>
      </c>
      <c r="F79" s="445" t="s">
        <v>461</v>
      </c>
      <c r="G79" s="446"/>
      <c r="H79" s="446"/>
      <c r="I79" s="446"/>
      <c r="J79" s="447"/>
      <c r="K79" s="431" t="s">
        <v>774</v>
      </c>
      <c r="L79" s="431"/>
      <c r="M79" s="51" t="s">
        <v>154</v>
      </c>
      <c r="N79" s="442" t="s">
        <v>264</v>
      </c>
      <c r="O79" s="442"/>
      <c r="P79" s="443">
        <v>50</v>
      </c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5.5" customHeight="1">
      <c r="A80" s="439">
        <v>7</v>
      </c>
      <c r="B80" s="440"/>
      <c r="C80" s="98" t="s">
        <v>112</v>
      </c>
      <c r="D80" s="347"/>
      <c r="E80" s="344" t="s">
        <v>121</v>
      </c>
      <c r="F80" s="445" t="s">
        <v>462</v>
      </c>
      <c r="G80" s="446"/>
      <c r="H80" s="446"/>
      <c r="I80" s="446"/>
      <c r="J80" s="447"/>
      <c r="K80" s="431" t="s">
        <v>774</v>
      </c>
      <c r="L80" s="431"/>
      <c r="M80" s="51" t="s">
        <v>154</v>
      </c>
      <c r="N80" s="442" t="s">
        <v>264</v>
      </c>
      <c r="O80" s="442"/>
      <c r="P80" s="443">
        <v>50</v>
      </c>
      <c r="Q80" s="443"/>
      <c r="R80" s="444"/>
      <c r="S80" s="444"/>
      <c r="T80" s="444"/>
      <c r="U80" s="444"/>
      <c r="V80" s="444"/>
      <c r="W80" s="444"/>
      <c r="X80" s="444"/>
      <c r="Y80" s="444"/>
      <c r="Z80" s="444"/>
      <c r="AA80" s="444"/>
      <c r="AB80" s="431"/>
      <c r="AC80" s="431"/>
      <c r="AD80" s="432"/>
      <c r="AF80" s="50"/>
    </row>
    <row r="81" spans="1:32" ht="25.5" customHeight="1">
      <c r="A81" s="439">
        <v>8</v>
      </c>
      <c r="B81" s="440"/>
      <c r="C81" s="98"/>
      <c r="D81" s="347"/>
      <c r="E81" s="344"/>
      <c r="F81" s="441"/>
      <c r="G81" s="431"/>
      <c r="H81" s="431"/>
      <c r="I81" s="431"/>
      <c r="J81" s="431"/>
      <c r="K81" s="431"/>
      <c r="L81" s="431"/>
      <c r="M81" s="51"/>
      <c r="N81" s="442"/>
      <c r="O81" s="442"/>
      <c r="P81" s="443"/>
      <c r="Q81" s="443"/>
      <c r="R81" s="444"/>
      <c r="S81" s="444"/>
      <c r="T81" s="444"/>
      <c r="U81" s="444"/>
      <c r="V81" s="444"/>
      <c r="W81" s="444"/>
      <c r="X81" s="444"/>
      <c r="Y81" s="444"/>
      <c r="Z81" s="444"/>
      <c r="AA81" s="444"/>
      <c r="AB81" s="431"/>
      <c r="AC81" s="431"/>
      <c r="AD81" s="432"/>
      <c r="AF81" s="50"/>
    </row>
    <row r="82" spans="1:32" ht="25.5" customHeight="1">
      <c r="A82" s="439">
        <v>9</v>
      </c>
      <c r="B82" s="440"/>
      <c r="C82" s="98"/>
      <c r="D82" s="347"/>
      <c r="E82" s="344"/>
      <c r="F82" s="441"/>
      <c r="G82" s="431"/>
      <c r="H82" s="431"/>
      <c r="I82" s="431"/>
      <c r="J82" s="431"/>
      <c r="K82" s="431"/>
      <c r="L82" s="431"/>
      <c r="M82" s="51"/>
      <c r="N82" s="442"/>
      <c r="O82" s="442"/>
      <c r="P82" s="443"/>
      <c r="Q82" s="443"/>
      <c r="R82" s="444"/>
      <c r="S82" s="444"/>
      <c r="T82" s="444"/>
      <c r="U82" s="444"/>
      <c r="V82" s="444"/>
      <c r="W82" s="444"/>
      <c r="X82" s="444"/>
      <c r="Y82" s="444"/>
      <c r="Z82" s="444"/>
      <c r="AA82" s="444"/>
      <c r="AB82" s="431"/>
      <c r="AC82" s="431"/>
      <c r="AD82" s="432"/>
      <c r="AF82" s="50"/>
    </row>
    <row r="83" spans="1:32" ht="25.5" customHeight="1">
      <c r="A83" s="439">
        <v>10</v>
      </c>
      <c r="B83" s="440"/>
      <c r="C83" s="98"/>
      <c r="D83" s="347"/>
      <c r="E83" s="344"/>
      <c r="F83" s="441"/>
      <c r="G83" s="431"/>
      <c r="H83" s="431"/>
      <c r="I83" s="431"/>
      <c r="J83" s="431"/>
      <c r="K83" s="431"/>
      <c r="L83" s="431"/>
      <c r="M83" s="51"/>
      <c r="N83" s="442"/>
      <c r="O83" s="442"/>
      <c r="P83" s="443"/>
      <c r="Q83" s="443"/>
      <c r="R83" s="444"/>
      <c r="S83" s="444"/>
      <c r="T83" s="444"/>
      <c r="U83" s="444"/>
      <c r="V83" s="444"/>
      <c r="W83" s="444"/>
      <c r="X83" s="444"/>
      <c r="Y83" s="444"/>
      <c r="Z83" s="444"/>
      <c r="AA83" s="444"/>
      <c r="AB83" s="431"/>
      <c r="AC83" s="431"/>
      <c r="AD83" s="432"/>
      <c r="AF83" s="50"/>
    </row>
    <row r="84" spans="1:32" ht="26.25" customHeight="1" thickBot="1">
      <c r="A84" s="411" t="s">
        <v>775</v>
      </c>
      <c r="B84" s="411"/>
      <c r="C84" s="411"/>
      <c r="D84" s="411"/>
      <c r="E84" s="411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23.25" thickBot="1">
      <c r="A85" s="433" t="s">
        <v>111</v>
      </c>
      <c r="B85" s="434"/>
      <c r="C85" s="346" t="s">
        <v>2</v>
      </c>
      <c r="D85" s="346" t="s">
        <v>37</v>
      </c>
      <c r="E85" s="346" t="s">
        <v>120</v>
      </c>
      <c r="F85" s="413" t="s">
        <v>38</v>
      </c>
      <c r="G85" s="413"/>
      <c r="H85" s="413"/>
      <c r="I85" s="413"/>
      <c r="J85" s="413"/>
      <c r="K85" s="435" t="s">
        <v>58</v>
      </c>
      <c r="L85" s="436"/>
      <c r="M85" s="436"/>
      <c r="N85" s="436"/>
      <c r="O85" s="436"/>
      <c r="P85" s="436"/>
      <c r="Q85" s="436"/>
      <c r="R85" s="436"/>
      <c r="S85" s="437"/>
      <c r="T85" s="413" t="s">
        <v>49</v>
      </c>
      <c r="U85" s="413"/>
      <c r="V85" s="435" t="s">
        <v>50</v>
      </c>
      <c r="W85" s="437"/>
      <c r="X85" s="436" t="s">
        <v>51</v>
      </c>
      <c r="Y85" s="436"/>
      <c r="Z85" s="436"/>
      <c r="AA85" s="436"/>
      <c r="AB85" s="436"/>
      <c r="AC85" s="436"/>
      <c r="AD85" s="438"/>
      <c r="AF85" s="50"/>
    </row>
    <row r="86" spans="1:32" ht="33.75" customHeight="1">
      <c r="A86" s="405">
        <v>1</v>
      </c>
      <c r="B86" s="406"/>
      <c r="C86" s="348"/>
      <c r="D86" s="348"/>
      <c r="E86" s="65"/>
      <c r="F86" s="420"/>
      <c r="G86" s="421"/>
      <c r="H86" s="421"/>
      <c r="I86" s="421"/>
      <c r="J86" s="422"/>
      <c r="K86" s="423"/>
      <c r="L86" s="424"/>
      <c r="M86" s="424"/>
      <c r="N86" s="424"/>
      <c r="O86" s="424"/>
      <c r="P86" s="424"/>
      <c r="Q86" s="424"/>
      <c r="R86" s="424"/>
      <c r="S86" s="425"/>
      <c r="T86" s="426"/>
      <c r="U86" s="427"/>
      <c r="V86" s="428"/>
      <c r="W86" s="428"/>
      <c r="X86" s="429"/>
      <c r="Y86" s="429"/>
      <c r="Z86" s="429"/>
      <c r="AA86" s="429"/>
      <c r="AB86" s="429"/>
      <c r="AC86" s="429"/>
      <c r="AD86" s="430"/>
      <c r="AF86" s="50"/>
    </row>
    <row r="87" spans="1:32" ht="30" customHeight="1">
      <c r="A87" s="398">
        <f>A86+1</f>
        <v>2</v>
      </c>
      <c r="B87" s="399"/>
      <c r="C87" s="347"/>
      <c r="D87" s="347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ref="A88:A92" si="28">A87+1</f>
        <v>3</v>
      </c>
      <c r="B88" s="399"/>
      <c r="C88" s="347"/>
      <c r="D88" s="347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0" customHeight="1">
      <c r="A89" s="398">
        <f t="shared" si="28"/>
        <v>4</v>
      </c>
      <c r="B89" s="399"/>
      <c r="C89" s="347"/>
      <c r="D89" s="347"/>
      <c r="E89" s="32"/>
      <c r="F89" s="399"/>
      <c r="G89" s="399"/>
      <c r="H89" s="399"/>
      <c r="I89" s="399"/>
      <c r="J89" s="399"/>
      <c r="K89" s="414"/>
      <c r="L89" s="415"/>
      <c r="M89" s="415"/>
      <c r="N89" s="415"/>
      <c r="O89" s="415"/>
      <c r="P89" s="415"/>
      <c r="Q89" s="415"/>
      <c r="R89" s="415"/>
      <c r="S89" s="416"/>
      <c r="T89" s="417"/>
      <c r="U89" s="417"/>
      <c r="V89" s="417"/>
      <c r="W89" s="417"/>
      <c r="X89" s="418"/>
      <c r="Y89" s="418"/>
      <c r="Z89" s="418"/>
      <c r="AA89" s="418"/>
      <c r="AB89" s="418"/>
      <c r="AC89" s="418"/>
      <c r="AD89" s="419"/>
      <c r="AF89" s="50"/>
    </row>
    <row r="90" spans="1:32" ht="30" customHeight="1">
      <c r="A90" s="398">
        <f t="shared" si="28"/>
        <v>5</v>
      </c>
      <c r="B90" s="399"/>
      <c r="C90" s="347"/>
      <c r="D90" s="347"/>
      <c r="E90" s="32"/>
      <c r="F90" s="399"/>
      <c r="G90" s="399"/>
      <c r="H90" s="399"/>
      <c r="I90" s="399"/>
      <c r="J90" s="399"/>
      <c r="K90" s="414"/>
      <c r="L90" s="415"/>
      <c r="M90" s="415"/>
      <c r="N90" s="415"/>
      <c r="O90" s="415"/>
      <c r="P90" s="415"/>
      <c r="Q90" s="415"/>
      <c r="R90" s="415"/>
      <c r="S90" s="416"/>
      <c r="T90" s="417"/>
      <c r="U90" s="417"/>
      <c r="V90" s="417"/>
      <c r="W90" s="417"/>
      <c r="X90" s="418"/>
      <c r="Y90" s="418"/>
      <c r="Z90" s="418"/>
      <c r="AA90" s="418"/>
      <c r="AB90" s="418"/>
      <c r="AC90" s="418"/>
      <c r="AD90" s="419"/>
      <c r="AF90" s="50"/>
    </row>
    <row r="91" spans="1:32" ht="30" customHeight="1">
      <c r="A91" s="398">
        <f t="shared" si="28"/>
        <v>6</v>
      </c>
      <c r="B91" s="399"/>
      <c r="C91" s="347"/>
      <c r="D91" s="347"/>
      <c r="E91" s="32"/>
      <c r="F91" s="399"/>
      <c r="G91" s="399"/>
      <c r="H91" s="399"/>
      <c r="I91" s="399"/>
      <c r="J91" s="399"/>
      <c r="K91" s="414"/>
      <c r="L91" s="415"/>
      <c r="M91" s="415"/>
      <c r="N91" s="415"/>
      <c r="O91" s="415"/>
      <c r="P91" s="415"/>
      <c r="Q91" s="415"/>
      <c r="R91" s="415"/>
      <c r="S91" s="416"/>
      <c r="T91" s="417"/>
      <c r="U91" s="417"/>
      <c r="V91" s="417"/>
      <c r="W91" s="417"/>
      <c r="X91" s="418"/>
      <c r="Y91" s="418"/>
      <c r="Z91" s="418"/>
      <c r="AA91" s="418"/>
      <c r="AB91" s="418"/>
      <c r="AC91" s="418"/>
      <c r="AD91" s="419"/>
      <c r="AF91" s="50"/>
    </row>
    <row r="92" spans="1:32" ht="30" customHeight="1">
      <c r="A92" s="398">
        <f t="shared" si="28"/>
        <v>7</v>
      </c>
      <c r="B92" s="399"/>
      <c r="C92" s="347"/>
      <c r="D92" s="347"/>
      <c r="E92" s="32"/>
      <c r="F92" s="399"/>
      <c r="G92" s="399"/>
      <c r="H92" s="399"/>
      <c r="I92" s="399"/>
      <c r="J92" s="399"/>
      <c r="K92" s="414"/>
      <c r="L92" s="415"/>
      <c r="M92" s="415"/>
      <c r="N92" s="415"/>
      <c r="O92" s="415"/>
      <c r="P92" s="415"/>
      <c r="Q92" s="415"/>
      <c r="R92" s="415"/>
      <c r="S92" s="416"/>
      <c r="T92" s="417"/>
      <c r="U92" s="417"/>
      <c r="V92" s="417"/>
      <c r="W92" s="417"/>
      <c r="X92" s="418"/>
      <c r="Y92" s="418"/>
      <c r="Z92" s="418"/>
      <c r="AA92" s="418"/>
      <c r="AB92" s="418"/>
      <c r="AC92" s="418"/>
      <c r="AD92" s="419"/>
      <c r="AF92" s="50"/>
    </row>
    <row r="93" spans="1:32" ht="36" thickBot="1">
      <c r="A93" s="411" t="s">
        <v>776</v>
      </c>
      <c r="B93" s="411"/>
      <c r="C93" s="411"/>
      <c r="D93" s="411"/>
      <c r="E93" s="411"/>
      <c r="F93" s="37"/>
      <c r="G93" s="37"/>
      <c r="H93" s="38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F93" s="50"/>
    </row>
    <row r="94" spans="1:32" ht="30.75" customHeight="1" thickBot="1">
      <c r="A94" s="412" t="s">
        <v>111</v>
      </c>
      <c r="B94" s="413"/>
      <c r="C94" s="403" t="s">
        <v>52</v>
      </c>
      <c r="D94" s="403"/>
      <c r="E94" s="403" t="s">
        <v>53</v>
      </c>
      <c r="F94" s="403"/>
      <c r="G94" s="403"/>
      <c r="H94" s="403"/>
      <c r="I94" s="403"/>
      <c r="J94" s="403"/>
      <c r="K94" s="403" t="s">
        <v>54</v>
      </c>
      <c r="L94" s="403"/>
      <c r="M94" s="403"/>
      <c r="N94" s="403"/>
      <c r="O94" s="403"/>
      <c r="P94" s="403"/>
      <c r="Q94" s="403"/>
      <c r="R94" s="403"/>
      <c r="S94" s="403"/>
      <c r="T94" s="403" t="s">
        <v>55</v>
      </c>
      <c r="U94" s="403"/>
      <c r="V94" s="403" t="s">
        <v>56</v>
      </c>
      <c r="W94" s="403"/>
      <c r="X94" s="403"/>
      <c r="Y94" s="403" t="s">
        <v>51</v>
      </c>
      <c r="Z94" s="403"/>
      <c r="AA94" s="403"/>
      <c r="AB94" s="403"/>
      <c r="AC94" s="403"/>
      <c r="AD94" s="404"/>
      <c r="AF94" s="50"/>
    </row>
    <row r="95" spans="1:32" ht="30.75" customHeight="1">
      <c r="A95" s="405">
        <v>1</v>
      </c>
      <c r="B95" s="406"/>
      <c r="C95" s="407"/>
      <c r="D95" s="407"/>
      <c r="E95" s="407"/>
      <c r="F95" s="407"/>
      <c r="G95" s="407"/>
      <c r="H95" s="407"/>
      <c r="I95" s="407"/>
      <c r="J95" s="407"/>
      <c r="K95" s="407"/>
      <c r="L95" s="407"/>
      <c r="M95" s="407"/>
      <c r="N95" s="407"/>
      <c r="O95" s="407"/>
      <c r="P95" s="407"/>
      <c r="Q95" s="407"/>
      <c r="R95" s="407"/>
      <c r="S95" s="407"/>
      <c r="T95" s="407"/>
      <c r="U95" s="407"/>
      <c r="V95" s="408"/>
      <c r="W95" s="408"/>
      <c r="X95" s="408"/>
      <c r="Y95" s="409"/>
      <c r="Z95" s="409"/>
      <c r="AA95" s="409"/>
      <c r="AB95" s="409"/>
      <c r="AC95" s="409"/>
      <c r="AD95" s="410"/>
      <c r="AF95" s="50"/>
    </row>
    <row r="96" spans="1:32" ht="30.75" customHeight="1">
      <c r="A96" s="398">
        <v>2</v>
      </c>
      <c r="B96" s="399"/>
      <c r="C96" s="400"/>
      <c r="D96" s="400"/>
      <c r="E96" s="400"/>
      <c r="F96" s="400"/>
      <c r="G96" s="400"/>
      <c r="H96" s="400"/>
      <c r="I96" s="400"/>
      <c r="J96" s="400"/>
      <c r="K96" s="400"/>
      <c r="L96" s="400"/>
      <c r="M96" s="400"/>
      <c r="N96" s="400"/>
      <c r="O96" s="400"/>
      <c r="P96" s="400"/>
      <c r="Q96" s="400"/>
      <c r="R96" s="400"/>
      <c r="S96" s="400"/>
      <c r="T96" s="401"/>
      <c r="U96" s="401"/>
      <c r="V96" s="402"/>
      <c r="W96" s="402"/>
      <c r="X96" s="402"/>
      <c r="Y96" s="390"/>
      <c r="Z96" s="390"/>
      <c r="AA96" s="390"/>
      <c r="AB96" s="390"/>
      <c r="AC96" s="390"/>
      <c r="AD96" s="391"/>
      <c r="AF96" s="50"/>
    </row>
    <row r="97" spans="1:32" ht="30.75" customHeight="1" thickBot="1">
      <c r="A97" s="392">
        <v>3</v>
      </c>
      <c r="B97" s="393"/>
      <c r="C97" s="394"/>
      <c r="D97" s="394"/>
      <c r="E97" s="394"/>
      <c r="F97" s="394"/>
      <c r="G97" s="394"/>
      <c r="H97" s="394"/>
      <c r="I97" s="394"/>
      <c r="J97" s="394"/>
      <c r="K97" s="394"/>
      <c r="L97" s="394"/>
      <c r="M97" s="394"/>
      <c r="N97" s="394"/>
      <c r="O97" s="394"/>
      <c r="P97" s="394"/>
      <c r="Q97" s="394"/>
      <c r="R97" s="394"/>
      <c r="S97" s="394"/>
      <c r="T97" s="394"/>
      <c r="U97" s="394"/>
      <c r="V97" s="395"/>
      <c r="W97" s="395"/>
      <c r="X97" s="395"/>
      <c r="Y97" s="396"/>
      <c r="Z97" s="396"/>
      <c r="AA97" s="396"/>
      <c r="AB97" s="396"/>
      <c r="AC97" s="396"/>
      <c r="AD97" s="397"/>
      <c r="AF97" s="50"/>
    </row>
  </sheetData>
  <mergeCells count="232">
    <mergeCell ref="Y96:AD96"/>
    <mergeCell ref="A97:B97"/>
    <mergeCell ref="C97:D97"/>
    <mergeCell ref="E97:J97"/>
    <mergeCell ref="K97:S97"/>
    <mergeCell ref="T97:U97"/>
    <mergeCell ref="V97:X97"/>
    <mergeCell ref="Y97:AD97"/>
    <mergeCell ref="A96:B96"/>
    <mergeCell ref="C96:D96"/>
    <mergeCell ref="E96:J96"/>
    <mergeCell ref="K96:S96"/>
    <mergeCell ref="T96:U96"/>
    <mergeCell ref="V96:X96"/>
    <mergeCell ref="V94:X94"/>
    <mergeCell ref="Y94:AD94"/>
    <mergeCell ref="A95:B95"/>
    <mergeCell ref="C95:D95"/>
    <mergeCell ref="E95:J95"/>
    <mergeCell ref="K95:S95"/>
    <mergeCell ref="T95:U95"/>
    <mergeCell ref="V95:X95"/>
    <mergeCell ref="Y95:AD95"/>
    <mergeCell ref="A93:E93"/>
    <mergeCell ref="A94:B94"/>
    <mergeCell ref="C94:D94"/>
    <mergeCell ref="E94:J94"/>
    <mergeCell ref="K94:S94"/>
    <mergeCell ref="T94:U94"/>
    <mergeCell ref="A92:B92"/>
    <mergeCell ref="F92:J92"/>
    <mergeCell ref="K92:S92"/>
    <mergeCell ref="T92:U92"/>
    <mergeCell ref="V92:W92"/>
    <mergeCell ref="X92:AD92"/>
    <mergeCell ref="A91:B91"/>
    <mergeCell ref="F91:J91"/>
    <mergeCell ref="K91:S91"/>
    <mergeCell ref="T91:U91"/>
    <mergeCell ref="V91:W91"/>
    <mergeCell ref="X91:AD91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B83:AD83"/>
    <mergeCell ref="A84:E84"/>
    <mergeCell ref="A85:B85"/>
    <mergeCell ref="F85:J85"/>
    <mergeCell ref="K85:S85"/>
    <mergeCell ref="T85:U85"/>
    <mergeCell ref="V85:W85"/>
    <mergeCell ref="X85:AD85"/>
    <mergeCell ref="A83:B83"/>
    <mergeCell ref="F83:J83"/>
    <mergeCell ref="K83:L83"/>
    <mergeCell ref="N83:O83"/>
    <mergeCell ref="P83:Q83"/>
    <mergeCell ref="R83:AA83"/>
    <mergeCell ref="AB81:AD81"/>
    <mergeCell ref="A82:B82"/>
    <mergeCell ref="F82:J82"/>
    <mergeCell ref="K82:L82"/>
    <mergeCell ref="N82:O82"/>
    <mergeCell ref="P82:Q82"/>
    <mergeCell ref="R82:AA82"/>
    <mergeCell ref="AB82:AD82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R73:AA73"/>
    <mergeCell ref="AB73:AD73"/>
    <mergeCell ref="A74:B74"/>
    <mergeCell ref="F74:J74"/>
    <mergeCell ref="K74:L74"/>
    <mergeCell ref="N74:O74"/>
    <mergeCell ref="P74:Q74"/>
    <mergeCell ref="R74:AA74"/>
    <mergeCell ref="AB74:AD74"/>
    <mergeCell ref="A72:E72"/>
    <mergeCell ref="A73:B73"/>
    <mergeCell ref="F73:J73"/>
    <mergeCell ref="K73:L73"/>
    <mergeCell ref="N73:O73"/>
    <mergeCell ref="P73:Q73"/>
    <mergeCell ref="A70:B70"/>
    <mergeCell ref="F70:M70"/>
    <mergeCell ref="P70:Q70"/>
    <mergeCell ref="R70:U70"/>
    <mergeCell ref="V70:AD70"/>
    <mergeCell ref="A71:B71"/>
    <mergeCell ref="F71:M71"/>
    <mergeCell ref="P71:Q71"/>
    <mergeCell ref="R71:U71"/>
    <mergeCell ref="V71:AD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D4:AD5"/>
    <mergeCell ref="A32:H32"/>
    <mergeCell ref="A59:E59"/>
    <mergeCell ref="A60:M60"/>
    <mergeCell ref="N60:AD60"/>
    <mergeCell ref="A61:B61"/>
    <mergeCell ref="F61:M61"/>
    <mergeCell ref="P61:Q61"/>
    <mergeCell ref="R61:U61"/>
    <mergeCell ref="V61:AD6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8" fitToHeight="2" orientation="landscape" r:id="rId1"/>
  <rowBreaks count="1" manualBreakCount="1">
    <brk id="57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CC1A-7945-4AC5-9E9D-AE9AFD254E1C}">
  <sheetPr codeName="Sheet22">
    <pageSetUpPr fitToPage="1"/>
  </sheetPr>
  <dimension ref="A1:AF96"/>
  <sheetViews>
    <sheetView view="pageBreakPreview" zoomScale="70" zoomScaleNormal="72" zoomScaleSheetLayoutView="70" workbookViewId="0">
      <selection activeCell="A93" sqref="A93:B9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777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336" t="s">
        <v>17</v>
      </c>
      <c r="L5" s="336" t="s">
        <v>18</v>
      </c>
      <c r="M5" s="336" t="s">
        <v>19</v>
      </c>
      <c r="N5" s="33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597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40000</v>
      </c>
      <c r="J6" s="14">
        <v>3000</v>
      </c>
      <c r="K6" s="15">
        <f>L6+10212+10998+10796+10946+3000</f>
        <v>45952</v>
      </c>
      <c r="L6" s="15"/>
      <c r="M6" s="15">
        <f t="shared" ref="M6:M30" si="0">L6-N6</f>
        <v>0</v>
      </c>
      <c r="N6" s="15">
        <v>0</v>
      </c>
      <c r="O6" s="58" t="str">
        <f t="shared" ref="O6:O31" si="1">IF(L6=0,"0",N6/L6)</f>
        <v>0</v>
      </c>
      <c r="P6" s="39" t="str">
        <f t="shared" ref="P6:P30" si="2">IF(L6=0,"0",(24-Q6))</f>
        <v>0</v>
      </c>
      <c r="Q6" s="40">
        <f t="shared" ref="Q6:Q30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30" si="4">IF(J6=0,"0",(L6/J6))</f>
        <v>0</v>
      </c>
      <c r="AC6" s="9">
        <f t="shared" ref="AC6:AC30" si="5">IF(P6=0,"0",(P6/24))</f>
        <v>0</v>
      </c>
      <c r="AD6" s="10">
        <f>AC6*AB6*(1-O6)</f>
        <v>0</v>
      </c>
      <c r="AE6" s="36">
        <f t="shared" ref="AE6:AE30" si="6">$AD$31</f>
        <v>0.33833333333333337</v>
      </c>
      <c r="AF6" s="81">
        <f t="shared" ref="AF6:AF30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138</v>
      </c>
      <c r="E7" s="53" t="s">
        <v>663</v>
      </c>
      <c r="F7" s="30" t="s">
        <v>137</v>
      </c>
      <c r="G7" s="12">
        <v>2</v>
      </c>
      <c r="H7" s="13">
        <v>24</v>
      </c>
      <c r="I7" s="31">
        <v>20000</v>
      </c>
      <c r="J7" s="14">
        <v>9962</v>
      </c>
      <c r="K7" s="15">
        <f>L7+10816+10480+9962</f>
        <v>31258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30" si="8">AC7*AB7*(1-O7)</f>
        <v>0</v>
      </c>
      <c r="AE7" s="36">
        <f t="shared" si="6"/>
        <v>0.33833333333333337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159</v>
      </c>
      <c r="E8" s="53" t="s">
        <v>765</v>
      </c>
      <c r="F8" s="30" t="s">
        <v>123</v>
      </c>
      <c r="G8" s="12">
        <v>1</v>
      </c>
      <c r="H8" s="13">
        <v>22</v>
      </c>
      <c r="I8" s="31">
        <v>250</v>
      </c>
      <c r="J8" s="5">
        <v>550</v>
      </c>
      <c r="K8" s="15">
        <f>L8</f>
        <v>550</v>
      </c>
      <c r="L8" s="15">
        <f>550</f>
        <v>550</v>
      </c>
      <c r="M8" s="15">
        <f t="shared" si="0"/>
        <v>550</v>
      </c>
      <c r="N8" s="15">
        <v>0</v>
      </c>
      <c r="O8" s="58">
        <f t="shared" si="1"/>
        <v>0</v>
      </c>
      <c r="P8" s="39">
        <f t="shared" si="2"/>
        <v>4</v>
      </c>
      <c r="Q8" s="40">
        <f t="shared" si="3"/>
        <v>20</v>
      </c>
      <c r="R8" s="7"/>
      <c r="S8" s="6"/>
      <c r="T8" s="16"/>
      <c r="U8" s="16"/>
      <c r="V8" s="17"/>
      <c r="W8" s="5"/>
      <c r="X8" s="16"/>
      <c r="Y8" s="16"/>
      <c r="Z8" s="16"/>
      <c r="AA8" s="18">
        <v>20</v>
      </c>
      <c r="AB8" s="8">
        <f t="shared" si="4"/>
        <v>1</v>
      </c>
      <c r="AC8" s="9">
        <f t="shared" si="5"/>
        <v>0.16666666666666666</v>
      </c>
      <c r="AD8" s="10">
        <f t="shared" si="8"/>
        <v>0.16666666666666666</v>
      </c>
      <c r="AE8" s="36">
        <f t="shared" si="6"/>
        <v>0.33833333333333337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126</v>
      </c>
      <c r="D9" s="52" t="s">
        <v>157</v>
      </c>
      <c r="E9" s="53" t="s">
        <v>766</v>
      </c>
      <c r="F9" s="30" t="s">
        <v>267</v>
      </c>
      <c r="G9" s="12">
        <v>2</v>
      </c>
      <c r="H9" s="13">
        <v>24</v>
      </c>
      <c r="I9" s="7">
        <v>30000</v>
      </c>
      <c r="J9" s="14">
        <v>10848</v>
      </c>
      <c r="K9" s="15">
        <f>L9</f>
        <v>10848</v>
      </c>
      <c r="L9" s="15">
        <f>2546*2+2878*2</f>
        <v>10848</v>
      </c>
      <c r="M9" s="15">
        <f t="shared" si="0"/>
        <v>10848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0.33833333333333337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2865</v>
      </c>
      <c r="K10" s="15">
        <f>L10+5338+5669+5744+4980+3619+1932+309+2790+5660+4715+1739+3127+5884+1203+3638+5732+5658+5217+2430+1897+5596+5715+3707+799+2709+2266+5086+3381+4392+5682+5705+5451+2998</f>
        <v>133633</v>
      </c>
      <c r="L10" s="15">
        <f>2116+749</f>
        <v>2865</v>
      </c>
      <c r="M10" s="15">
        <f t="shared" si="0"/>
        <v>2865</v>
      </c>
      <c r="N10" s="15">
        <v>0</v>
      </c>
      <c r="O10" s="58">
        <f t="shared" si="1"/>
        <v>0</v>
      </c>
      <c r="P10" s="39">
        <f t="shared" si="2"/>
        <v>14</v>
      </c>
      <c r="Q10" s="40">
        <f t="shared" si="3"/>
        <v>10</v>
      </c>
      <c r="R10" s="7"/>
      <c r="S10" s="6">
        <v>10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0.58333333333333337</v>
      </c>
      <c r="AD10" s="10">
        <f t="shared" si="8"/>
        <v>0.58333333333333337</v>
      </c>
      <c r="AE10" s="36">
        <f t="shared" si="6"/>
        <v>0.33833333333333337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121</v>
      </c>
      <c r="E11" s="53" t="s">
        <v>303</v>
      </c>
      <c r="F11" s="30" t="s">
        <v>235</v>
      </c>
      <c r="G11" s="33">
        <v>2</v>
      </c>
      <c r="H11" s="35">
        <v>24</v>
      </c>
      <c r="I11" s="7">
        <v>60000</v>
      </c>
      <c r="J11" s="14">
        <v>10778</v>
      </c>
      <c r="K11" s="15">
        <f>L11+7651+9096+10744+10878+10346+10082</f>
        <v>69575</v>
      </c>
      <c r="L11" s="15">
        <f>2675*2+2714*2</f>
        <v>10778</v>
      </c>
      <c r="M11" s="15">
        <f t="shared" si="0"/>
        <v>10778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0.33833333333333337</v>
      </c>
      <c r="AF11" s="81">
        <f t="shared" si="7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222</v>
      </c>
      <c r="F12" s="30" t="s">
        <v>205</v>
      </c>
      <c r="G12" s="12">
        <v>1</v>
      </c>
      <c r="H12" s="13">
        <v>22</v>
      </c>
      <c r="I12" s="31">
        <v>40000</v>
      </c>
      <c r="J12" s="5">
        <v>960</v>
      </c>
      <c r="K12" s="15">
        <f>L12+2299</f>
        <v>3259</v>
      </c>
      <c r="L12" s="15">
        <f>960</f>
        <v>960</v>
      </c>
      <c r="M12" s="15">
        <f t="shared" si="0"/>
        <v>960</v>
      </c>
      <c r="N12" s="15">
        <v>0</v>
      </c>
      <c r="O12" s="58">
        <f t="shared" si="1"/>
        <v>0</v>
      </c>
      <c r="P12" s="39">
        <f t="shared" si="2"/>
        <v>5</v>
      </c>
      <c r="Q12" s="40">
        <f t="shared" si="3"/>
        <v>19</v>
      </c>
      <c r="R12" s="7"/>
      <c r="S12" s="6">
        <v>19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0.20833333333333334</v>
      </c>
      <c r="AD12" s="10">
        <f t="shared" si="8"/>
        <v>0.20833333333333334</v>
      </c>
      <c r="AE12" s="36">
        <f t="shared" si="6"/>
        <v>0.33833333333333337</v>
      </c>
      <c r="AF12" s="81">
        <f t="shared" si="7"/>
        <v>7</v>
      </c>
    </row>
    <row r="13" spans="1:32" ht="27" customHeight="1">
      <c r="A13" s="92">
        <v>8</v>
      </c>
      <c r="B13" s="11" t="s">
        <v>57</v>
      </c>
      <c r="C13" s="11" t="s">
        <v>112</v>
      </c>
      <c r="D13" s="52" t="s">
        <v>157</v>
      </c>
      <c r="E13" s="53" t="s">
        <v>767</v>
      </c>
      <c r="F13" s="30" t="s">
        <v>122</v>
      </c>
      <c r="G13" s="33">
        <v>1</v>
      </c>
      <c r="H13" s="35">
        <v>22</v>
      </c>
      <c r="I13" s="7">
        <v>250</v>
      </c>
      <c r="J13" s="14">
        <v>447</v>
      </c>
      <c r="K13" s="15">
        <f>L13</f>
        <v>447</v>
      </c>
      <c r="L13" s="15">
        <v>447</v>
      </c>
      <c r="M13" s="15">
        <f t="shared" si="0"/>
        <v>447</v>
      </c>
      <c r="N13" s="15">
        <v>0</v>
      </c>
      <c r="O13" s="58">
        <f t="shared" si="1"/>
        <v>0</v>
      </c>
      <c r="P13" s="39">
        <f t="shared" si="2"/>
        <v>4</v>
      </c>
      <c r="Q13" s="40">
        <f t="shared" si="3"/>
        <v>20</v>
      </c>
      <c r="R13" s="7"/>
      <c r="S13" s="6">
        <v>20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0.16666666666666666</v>
      </c>
      <c r="AD13" s="10">
        <f t="shared" si="8"/>
        <v>0.16666666666666666</v>
      </c>
      <c r="AE13" s="36">
        <f t="shared" si="6"/>
        <v>0.33833333333333337</v>
      </c>
      <c r="AF13" s="81">
        <f t="shared" si="7"/>
        <v>8</v>
      </c>
    </row>
    <row r="14" spans="1:32" ht="27" customHeight="1">
      <c r="A14" s="99">
        <v>9</v>
      </c>
      <c r="B14" s="11" t="s">
        <v>57</v>
      </c>
      <c r="C14" s="34" t="s">
        <v>163</v>
      </c>
      <c r="D14" s="52" t="s">
        <v>115</v>
      </c>
      <c r="E14" s="53" t="s">
        <v>727</v>
      </c>
      <c r="F14" s="30" t="s">
        <v>158</v>
      </c>
      <c r="G14" s="33">
        <v>1</v>
      </c>
      <c r="H14" s="35">
        <v>50</v>
      </c>
      <c r="I14" s="7">
        <v>100</v>
      </c>
      <c r="J14" s="5">
        <v>150</v>
      </c>
      <c r="K14" s="15">
        <f>L14+150</f>
        <v>150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20</v>
      </c>
      <c r="R14" s="7"/>
      <c r="S14" s="6"/>
      <c r="T14" s="16"/>
      <c r="U14" s="16"/>
      <c r="V14" s="17"/>
      <c r="W14" s="5">
        <v>20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0.33833333333333337</v>
      </c>
      <c r="AF14" s="81">
        <f t="shared" si="7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138</v>
      </c>
      <c r="E15" s="53" t="s">
        <v>599</v>
      </c>
      <c r="F15" s="30" t="s">
        <v>139</v>
      </c>
      <c r="G15" s="12">
        <v>2</v>
      </c>
      <c r="H15" s="13">
        <v>24</v>
      </c>
      <c r="I15" s="31">
        <f>74000+25000</f>
        <v>99000</v>
      </c>
      <c r="J15" s="14">
        <v>12064</v>
      </c>
      <c r="K15" s="15">
        <f>L15+8206+11870+12258+12474+11882+10946</f>
        <v>79700</v>
      </c>
      <c r="L15" s="15">
        <f>2982*2+3050*2</f>
        <v>12064</v>
      </c>
      <c r="M15" s="15">
        <f t="shared" si="0"/>
        <v>12064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0.33833333333333337</v>
      </c>
      <c r="AF15" s="81">
        <f t="shared" si="7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234</v>
      </c>
      <c r="F16" s="30" t="s">
        <v>235</v>
      </c>
      <c r="G16" s="12">
        <v>2</v>
      </c>
      <c r="H16" s="13">
        <v>22</v>
      </c>
      <c r="I16" s="31">
        <v>72000</v>
      </c>
      <c r="J16" s="5">
        <v>10824</v>
      </c>
      <c r="K16" s="15">
        <f>L16+4453+8440+10782+9098+8530+6582+6076</f>
        <v>64785</v>
      </c>
      <c r="L16" s="15">
        <f>2680*2+2732*2</f>
        <v>10824</v>
      </c>
      <c r="M16" s="15">
        <f t="shared" si="0"/>
        <v>10824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0.33833333333333337</v>
      </c>
      <c r="AF16" s="81">
        <f t="shared" si="7"/>
        <v>11</v>
      </c>
    </row>
    <row r="17" spans="1:32" ht="27" customHeight="1">
      <c r="A17" s="106">
        <v>12</v>
      </c>
      <c r="B17" s="11" t="s">
        <v>57</v>
      </c>
      <c r="C17" s="34" t="s">
        <v>668</v>
      </c>
      <c r="D17" s="52"/>
      <c r="E17" s="53" t="s">
        <v>667</v>
      </c>
      <c r="F17" s="30" t="s">
        <v>683</v>
      </c>
      <c r="G17" s="12">
        <v>1</v>
      </c>
      <c r="H17" s="13">
        <v>24</v>
      </c>
      <c r="I17" s="7">
        <f>7000+19000</f>
        <v>26000</v>
      </c>
      <c r="J17" s="14">
        <v>5637</v>
      </c>
      <c r="K17" s="15">
        <f>L17+3864+5352+5158</f>
        <v>20011</v>
      </c>
      <c r="L17" s="15">
        <f>2800+2837</f>
        <v>5637</v>
      </c>
      <c r="M17" s="15">
        <f t="shared" si="0"/>
        <v>5637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0.33833333333333337</v>
      </c>
      <c r="AF17" s="81">
        <f t="shared" si="7"/>
        <v>12</v>
      </c>
    </row>
    <row r="18" spans="1:32" ht="27" customHeight="1">
      <c r="A18" s="92">
        <v>13</v>
      </c>
      <c r="B18" s="11" t="s">
        <v>57</v>
      </c>
      <c r="C18" s="34" t="s">
        <v>112</v>
      </c>
      <c r="D18" s="52" t="s">
        <v>115</v>
      </c>
      <c r="E18" s="53" t="s">
        <v>768</v>
      </c>
      <c r="F18" s="30" t="s">
        <v>122</v>
      </c>
      <c r="G18" s="12">
        <v>1</v>
      </c>
      <c r="H18" s="13">
        <v>22</v>
      </c>
      <c r="I18" s="31">
        <v>250</v>
      </c>
      <c r="J18" s="5">
        <v>406</v>
      </c>
      <c r="K18" s="15">
        <f>L18</f>
        <v>406</v>
      </c>
      <c r="L18" s="15">
        <v>406</v>
      </c>
      <c r="M18" s="15">
        <f t="shared" ref="M18" si="9">L18-N18</f>
        <v>406</v>
      </c>
      <c r="N18" s="15">
        <v>0</v>
      </c>
      <c r="O18" s="58">
        <f t="shared" ref="O18" si="10">IF(L18=0,"0",N18/L18)</f>
        <v>0</v>
      </c>
      <c r="P18" s="39">
        <f t="shared" ref="P18" si="11">IF(L18=0,"0",(24-Q18))</f>
        <v>4</v>
      </c>
      <c r="Q18" s="40">
        <f t="shared" ref="Q18" si="12">SUM(R18:AA18)</f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ref="AB18" si="13">IF(J18=0,"0",(L18/J18))</f>
        <v>1</v>
      </c>
      <c r="AC18" s="9">
        <f t="shared" ref="AC18" si="14">IF(P18=0,"0",(P18/24))</f>
        <v>0.16666666666666666</v>
      </c>
      <c r="AD18" s="10">
        <f t="shared" ref="AD18" si="15">AC18*AB18*(1-O18)</f>
        <v>0.16666666666666666</v>
      </c>
      <c r="AE18" s="36">
        <f t="shared" si="6"/>
        <v>0.33833333333333337</v>
      </c>
      <c r="AF18" s="81">
        <f t="shared" ref="AF18" si="16">A18</f>
        <v>13</v>
      </c>
    </row>
    <row r="19" spans="1:32" ht="27" customHeight="1">
      <c r="A19" s="92">
        <v>13</v>
      </c>
      <c r="B19" s="11" t="s">
        <v>57</v>
      </c>
      <c r="C19" s="34" t="s">
        <v>116</v>
      </c>
      <c r="D19" s="52" t="s">
        <v>115</v>
      </c>
      <c r="E19" s="53" t="s">
        <v>505</v>
      </c>
      <c r="F19" s="30" t="s">
        <v>158</v>
      </c>
      <c r="G19" s="12">
        <v>1</v>
      </c>
      <c r="H19" s="13">
        <v>22</v>
      </c>
      <c r="I19" s="31">
        <v>200</v>
      </c>
      <c r="J19" s="5">
        <v>200</v>
      </c>
      <c r="K19" s="15">
        <f>L19</f>
        <v>200</v>
      </c>
      <c r="L19" s="15">
        <f>200</f>
        <v>200</v>
      </c>
      <c r="M19" s="15">
        <f t="shared" si="0"/>
        <v>200</v>
      </c>
      <c r="N19" s="15">
        <v>0</v>
      </c>
      <c r="O19" s="58">
        <f t="shared" si="1"/>
        <v>0</v>
      </c>
      <c r="P19" s="39">
        <f t="shared" si="2"/>
        <v>3</v>
      </c>
      <c r="Q19" s="40">
        <f t="shared" si="3"/>
        <v>21</v>
      </c>
      <c r="R19" s="7"/>
      <c r="S19" s="6"/>
      <c r="T19" s="16"/>
      <c r="U19" s="16"/>
      <c r="V19" s="17"/>
      <c r="W19" s="5">
        <v>21</v>
      </c>
      <c r="X19" s="16"/>
      <c r="Y19" s="16"/>
      <c r="Z19" s="16"/>
      <c r="AA19" s="18"/>
      <c r="AB19" s="8">
        <f t="shared" si="4"/>
        <v>1</v>
      </c>
      <c r="AC19" s="9">
        <f t="shared" si="5"/>
        <v>0.125</v>
      </c>
      <c r="AD19" s="10">
        <f t="shared" si="8"/>
        <v>0.125</v>
      </c>
      <c r="AE19" s="36">
        <f t="shared" si="6"/>
        <v>0.33833333333333337</v>
      </c>
      <c r="AF19" s="81">
        <f t="shared" si="7"/>
        <v>13</v>
      </c>
    </row>
    <row r="20" spans="1:32" ht="27" customHeight="1">
      <c r="A20" s="92">
        <v>14</v>
      </c>
      <c r="B20" s="11" t="s">
        <v>57</v>
      </c>
      <c r="C20" s="11" t="s">
        <v>116</v>
      </c>
      <c r="D20" s="52" t="s">
        <v>157</v>
      </c>
      <c r="E20" s="53" t="s">
        <v>587</v>
      </c>
      <c r="F20" s="30" t="s">
        <v>158</v>
      </c>
      <c r="G20" s="33">
        <v>1</v>
      </c>
      <c r="H20" s="35">
        <v>24</v>
      </c>
      <c r="I20" s="7">
        <v>20000</v>
      </c>
      <c r="J20" s="14">
        <v>5081</v>
      </c>
      <c r="K20" s="15">
        <f>L20+4287+5676+5081</f>
        <v>15044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8"/>
        <v>0</v>
      </c>
      <c r="AE20" s="36">
        <f t="shared" si="6"/>
        <v>0.33833333333333337</v>
      </c>
      <c r="AF20" s="81">
        <f t="shared" si="7"/>
        <v>14</v>
      </c>
    </row>
    <row r="21" spans="1:32" ht="27" customHeight="1">
      <c r="A21" s="106">
        <v>15</v>
      </c>
      <c r="B21" s="11" t="s">
        <v>57</v>
      </c>
      <c r="C21" s="11" t="s">
        <v>112</v>
      </c>
      <c r="D21" s="52" t="s">
        <v>115</v>
      </c>
      <c r="E21" s="53" t="s">
        <v>143</v>
      </c>
      <c r="F21" s="30" t="s">
        <v>136</v>
      </c>
      <c r="G21" s="33">
        <v>1</v>
      </c>
      <c r="H21" s="35">
        <v>24</v>
      </c>
      <c r="I21" s="7">
        <v>70000</v>
      </c>
      <c r="J21" s="14">
        <v>5156</v>
      </c>
      <c r="K21" s="15">
        <f>L21+3150+7466+4534+7764+11032+11156+11220+10030+4886</f>
        <v>76394</v>
      </c>
      <c r="L21" s="15">
        <f>2737+915*2+589</f>
        <v>5156</v>
      </c>
      <c r="M21" s="15">
        <f t="shared" si="0"/>
        <v>5156</v>
      </c>
      <c r="N21" s="15">
        <v>0</v>
      </c>
      <c r="O21" s="58">
        <f t="shared" si="1"/>
        <v>0</v>
      </c>
      <c r="P21" s="39">
        <f t="shared" si="2"/>
        <v>19</v>
      </c>
      <c r="Q21" s="40">
        <f t="shared" si="3"/>
        <v>5</v>
      </c>
      <c r="R21" s="7"/>
      <c r="S21" s="6">
        <v>5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0.79166666666666663</v>
      </c>
      <c r="AD21" s="10">
        <f t="shared" si="8"/>
        <v>0.79166666666666663</v>
      </c>
      <c r="AE21" s="36">
        <f t="shared" si="6"/>
        <v>0.33833333333333337</v>
      </c>
      <c r="AF21" s="81">
        <f t="shared" si="7"/>
        <v>15</v>
      </c>
    </row>
    <row r="22" spans="1:32" ht="26.25" customHeight="1">
      <c r="A22" s="92">
        <v>16</v>
      </c>
      <c r="B22" s="11" t="s">
        <v>57</v>
      </c>
      <c r="C22" s="11" t="s">
        <v>113</v>
      </c>
      <c r="D22" s="52"/>
      <c r="E22" s="53" t="s">
        <v>146</v>
      </c>
      <c r="F22" s="12" t="s">
        <v>114</v>
      </c>
      <c r="G22" s="12">
        <v>3</v>
      </c>
      <c r="H22" s="35">
        <v>20</v>
      </c>
      <c r="I22" s="7">
        <v>2000000</v>
      </c>
      <c r="J22" s="14">
        <v>64440</v>
      </c>
      <c r="K22" s="15">
        <f>L22+57172+63944+63948+58884+57396+63564+64736+63568+59200+55380</f>
        <v>672232</v>
      </c>
      <c r="L22" s="15">
        <f>7983*4+8127*4</f>
        <v>64440</v>
      </c>
      <c r="M22" s="15">
        <f t="shared" si="0"/>
        <v>64440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8"/>
        <v>1</v>
      </c>
      <c r="AE22" s="36">
        <f t="shared" si="6"/>
        <v>0.33833333333333337</v>
      </c>
      <c r="AF22" s="81">
        <f t="shared" si="7"/>
        <v>16</v>
      </c>
    </row>
    <row r="23" spans="1:32" ht="26.25" customHeight="1">
      <c r="A23" s="307">
        <v>17</v>
      </c>
      <c r="B23" s="11" t="s">
        <v>57</v>
      </c>
      <c r="C23" s="11"/>
      <c r="D23" s="52"/>
      <c r="E23" s="53"/>
      <c r="F23" s="12"/>
      <c r="G23" s="12"/>
      <c r="H23" s="35"/>
      <c r="I23" s="7">
        <v>0</v>
      </c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0.33833333333333337</v>
      </c>
      <c r="AF23" s="81">
        <f t="shared" si="7"/>
        <v>17</v>
      </c>
    </row>
    <row r="24" spans="1:32" ht="26.25" customHeight="1">
      <c r="A24" s="307">
        <v>18</v>
      </c>
      <c r="B24" s="11" t="s">
        <v>57</v>
      </c>
      <c r="C24" s="11" t="s">
        <v>116</v>
      </c>
      <c r="D24" s="52" t="s">
        <v>600</v>
      </c>
      <c r="E24" s="53" t="s">
        <v>601</v>
      </c>
      <c r="F24" s="12" t="s">
        <v>602</v>
      </c>
      <c r="G24" s="12">
        <v>4</v>
      </c>
      <c r="H24" s="35">
        <v>15</v>
      </c>
      <c r="I24" s="7">
        <v>6000</v>
      </c>
      <c r="J24" s="14">
        <v>2732</v>
      </c>
      <c r="K24" s="15">
        <f>L24</f>
        <v>2732</v>
      </c>
      <c r="L24" s="15">
        <f>1366*2</f>
        <v>2732</v>
      </c>
      <c r="M24" s="15">
        <f t="shared" si="0"/>
        <v>2732</v>
      </c>
      <c r="N24" s="15">
        <v>0</v>
      </c>
      <c r="O24" s="58">
        <f t="shared" si="1"/>
        <v>0</v>
      </c>
      <c r="P24" s="39">
        <f t="shared" si="2"/>
        <v>6</v>
      </c>
      <c r="Q24" s="40">
        <f t="shared" si="3"/>
        <v>18</v>
      </c>
      <c r="R24" s="7"/>
      <c r="S24" s="6">
        <v>18</v>
      </c>
      <c r="T24" s="16"/>
      <c r="U24" s="16"/>
      <c r="V24" s="17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0.25</v>
      </c>
      <c r="AD24" s="10">
        <f t="shared" si="8"/>
        <v>0.25</v>
      </c>
      <c r="AE24" s="36">
        <f t="shared" si="6"/>
        <v>0.33833333333333337</v>
      </c>
      <c r="AF24" s="81">
        <f t="shared" si="7"/>
        <v>18</v>
      </c>
    </row>
    <row r="25" spans="1:32" ht="21.75" customHeight="1">
      <c r="A25" s="92">
        <v>31</v>
      </c>
      <c r="B25" s="11" t="s">
        <v>57</v>
      </c>
      <c r="C25" s="11" t="s">
        <v>116</v>
      </c>
      <c r="D25" s="52" t="s">
        <v>115</v>
      </c>
      <c r="E25" s="53" t="s">
        <v>149</v>
      </c>
      <c r="F25" s="12" t="s">
        <v>136</v>
      </c>
      <c r="G25" s="12">
        <v>4</v>
      </c>
      <c r="H25" s="35">
        <v>20</v>
      </c>
      <c r="I25" s="7">
        <v>70000</v>
      </c>
      <c r="J25" s="14">
        <v>22300</v>
      </c>
      <c r="K25" s="15">
        <f>L25+22300</f>
        <v>22300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>
        <v>24</v>
      </c>
      <c r="W25" s="5"/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0.33833333333333337</v>
      </c>
      <c r="AF25" s="81">
        <f t="shared" si="7"/>
        <v>31</v>
      </c>
    </row>
    <row r="26" spans="1:32" ht="21.75" customHeight="1">
      <c r="A26" s="92">
        <v>32</v>
      </c>
      <c r="B26" s="11" t="s">
        <v>57</v>
      </c>
      <c r="C26" s="11"/>
      <c r="D26" s="52"/>
      <c r="E26" s="53"/>
      <c r="F26" s="12"/>
      <c r="G26" s="12"/>
      <c r="H26" s="35">
        <v>20</v>
      </c>
      <c r="I26" s="7"/>
      <c r="J26" s="14">
        <v>0</v>
      </c>
      <c r="K26" s="15">
        <f t="shared" ref="K26" si="17">L26</f>
        <v>0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7"/>
      <c r="W26" s="5">
        <v>24</v>
      </c>
      <c r="X26" s="16"/>
      <c r="Y26" s="16"/>
      <c r="Z26" s="16"/>
      <c r="AA26" s="18"/>
      <c r="AB26" s="8" t="str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0.33833333333333337</v>
      </c>
      <c r="AF26" s="81">
        <f t="shared" si="7"/>
        <v>32</v>
      </c>
    </row>
    <row r="27" spans="1:32" ht="21.75" customHeight="1">
      <c r="A27" s="92">
        <v>33</v>
      </c>
      <c r="B27" s="11" t="s">
        <v>57</v>
      </c>
      <c r="C27" s="11" t="s">
        <v>116</v>
      </c>
      <c r="D27" s="52" t="s">
        <v>142</v>
      </c>
      <c r="E27" s="53" t="s">
        <v>151</v>
      </c>
      <c r="F27" s="12" t="s">
        <v>123</v>
      </c>
      <c r="G27" s="12">
        <v>3</v>
      </c>
      <c r="H27" s="35">
        <v>20</v>
      </c>
      <c r="I27" s="7">
        <v>70000</v>
      </c>
      <c r="J27" s="14">
        <v>19983</v>
      </c>
      <c r="K27" s="15">
        <f>L27+22125+9744+18372+21786+19983</f>
        <v>92010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0</v>
      </c>
      <c r="R27" s="7"/>
      <c r="S27" s="6"/>
      <c r="T27" s="16"/>
      <c r="U27" s="16"/>
      <c r="V27" s="114"/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0.33833333333333337</v>
      </c>
      <c r="AF27" s="81">
        <f t="shared" si="7"/>
        <v>33</v>
      </c>
    </row>
    <row r="28" spans="1:32" ht="21.75" customHeight="1">
      <c r="A28" s="92">
        <v>34</v>
      </c>
      <c r="B28" s="11" t="s">
        <v>57</v>
      </c>
      <c r="C28" s="11" t="s">
        <v>116</v>
      </c>
      <c r="D28" s="52" t="s">
        <v>127</v>
      </c>
      <c r="E28" s="53" t="s">
        <v>148</v>
      </c>
      <c r="F28" s="12" t="s">
        <v>124</v>
      </c>
      <c r="G28" s="12">
        <v>3</v>
      </c>
      <c r="H28" s="35">
        <v>20</v>
      </c>
      <c r="I28" s="7">
        <v>70000</v>
      </c>
      <c r="J28" s="14">
        <v>18138</v>
      </c>
      <c r="K28" s="15">
        <f>L28+16448+27472+26896+18138</f>
        <v>88954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0</v>
      </c>
      <c r="R28" s="7"/>
      <c r="S28" s="6"/>
      <c r="T28" s="16"/>
      <c r="U28" s="16"/>
      <c r="V28" s="114"/>
      <c r="W28" s="5"/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0.33833333333333337</v>
      </c>
      <c r="AF28" s="81">
        <f t="shared" si="7"/>
        <v>34</v>
      </c>
    </row>
    <row r="29" spans="1:32" ht="21.75" customHeight="1">
      <c r="A29" s="92">
        <v>35</v>
      </c>
      <c r="B29" s="11" t="s">
        <v>57</v>
      </c>
      <c r="C29" s="11" t="s">
        <v>116</v>
      </c>
      <c r="D29" s="52" t="s">
        <v>121</v>
      </c>
      <c r="E29" s="53" t="s">
        <v>125</v>
      </c>
      <c r="F29" s="12" t="s">
        <v>124</v>
      </c>
      <c r="G29" s="12">
        <v>4</v>
      </c>
      <c r="H29" s="35">
        <v>20</v>
      </c>
      <c r="I29" s="7">
        <v>50000</v>
      </c>
      <c r="J29" s="14">
        <v>26944</v>
      </c>
      <c r="K29" s="15">
        <f>L29+24592+26944+21716</f>
        <v>73252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0.33833333333333337</v>
      </c>
      <c r="AF29" s="81">
        <f t="shared" si="7"/>
        <v>35</v>
      </c>
    </row>
    <row r="30" spans="1:32" ht="21.75" customHeight="1" thickBot="1">
      <c r="A30" s="92">
        <v>36</v>
      </c>
      <c r="B30" s="11" t="s">
        <v>57</v>
      </c>
      <c r="C30" s="11" t="s">
        <v>113</v>
      </c>
      <c r="D30" s="52"/>
      <c r="E30" s="53" t="s">
        <v>150</v>
      </c>
      <c r="F30" s="12" t="s">
        <v>114</v>
      </c>
      <c r="G30" s="12">
        <v>4</v>
      </c>
      <c r="H30" s="35">
        <v>20</v>
      </c>
      <c r="I30" s="7">
        <v>1000000</v>
      </c>
      <c r="J30" s="14">
        <v>79328</v>
      </c>
      <c r="K30" s="15">
        <f>L30+28388+70816+76368+81764+83428+47688+53180+83092+82192+79328</f>
        <v>686244</v>
      </c>
      <c r="L30" s="15"/>
      <c r="M30" s="15">
        <f t="shared" si="0"/>
        <v>0</v>
      </c>
      <c r="N30" s="15">
        <v>0</v>
      </c>
      <c r="O30" s="58" t="str">
        <f t="shared" si="1"/>
        <v>0</v>
      </c>
      <c r="P30" s="39" t="str">
        <f t="shared" si="2"/>
        <v>0</v>
      </c>
      <c r="Q30" s="40">
        <f t="shared" si="3"/>
        <v>24</v>
      </c>
      <c r="R30" s="7"/>
      <c r="S30" s="6"/>
      <c r="T30" s="16"/>
      <c r="U30" s="16"/>
      <c r="V30" s="114">
        <v>24</v>
      </c>
      <c r="W30" s="5"/>
      <c r="X30" s="16"/>
      <c r="Y30" s="16"/>
      <c r="Z30" s="16"/>
      <c r="AA30" s="18"/>
      <c r="AB30" s="8">
        <f t="shared" si="4"/>
        <v>0</v>
      </c>
      <c r="AC30" s="9">
        <f t="shared" si="5"/>
        <v>0</v>
      </c>
      <c r="AD30" s="10">
        <f t="shared" si="8"/>
        <v>0</v>
      </c>
      <c r="AE30" s="36">
        <f t="shared" si="6"/>
        <v>0.33833333333333337</v>
      </c>
      <c r="AF30" s="81">
        <f t="shared" si="7"/>
        <v>36</v>
      </c>
    </row>
    <row r="31" spans="1:32" ht="19.5" thickBot="1">
      <c r="A31" s="478" t="s">
        <v>34</v>
      </c>
      <c r="B31" s="479"/>
      <c r="C31" s="479"/>
      <c r="D31" s="479"/>
      <c r="E31" s="479"/>
      <c r="F31" s="479"/>
      <c r="G31" s="479"/>
      <c r="H31" s="480"/>
      <c r="I31" s="22">
        <f t="shared" ref="I31:N31" si="18">SUM(I6:I30)</f>
        <v>3859050</v>
      </c>
      <c r="J31" s="19">
        <f t="shared" si="18"/>
        <v>312793</v>
      </c>
      <c r="K31" s="20">
        <f t="shared" si="18"/>
        <v>2189936</v>
      </c>
      <c r="L31" s="21">
        <f t="shared" si="18"/>
        <v>127907</v>
      </c>
      <c r="M31" s="20">
        <f t="shared" si="18"/>
        <v>127907</v>
      </c>
      <c r="N31" s="21">
        <f t="shared" si="18"/>
        <v>0</v>
      </c>
      <c r="O31" s="41">
        <f t="shared" si="1"/>
        <v>0</v>
      </c>
      <c r="P31" s="42">
        <f t="shared" ref="P31:AA31" si="19">SUM(P6:P30)</f>
        <v>203</v>
      </c>
      <c r="Q31" s="43">
        <f t="shared" si="19"/>
        <v>345</v>
      </c>
      <c r="R31" s="23">
        <f t="shared" si="19"/>
        <v>0</v>
      </c>
      <c r="S31" s="24">
        <f t="shared" si="19"/>
        <v>120</v>
      </c>
      <c r="T31" s="24">
        <f t="shared" si="19"/>
        <v>0</v>
      </c>
      <c r="U31" s="24">
        <f t="shared" si="19"/>
        <v>0</v>
      </c>
      <c r="V31" s="25">
        <f t="shared" si="19"/>
        <v>48</v>
      </c>
      <c r="W31" s="26">
        <f t="shared" si="19"/>
        <v>133</v>
      </c>
      <c r="X31" s="27">
        <f t="shared" si="19"/>
        <v>0</v>
      </c>
      <c r="Y31" s="27">
        <f t="shared" si="19"/>
        <v>0</v>
      </c>
      <c r="Z31" s="27">
        <f t="shared" si="19"/>
        <v>0</v>
      </c>
      <c r="AA31" s="27">
        <f t="shared" si="19"/>
        <v>44</v>
      </c>
      <c r="AB31" s="28">
        <f>AVERAGE(AB6:AB30)</f>
        <v>0.60869565217391308</v>
      </c>
      <c r="AC31" s="4">
        <f>AVERAGE(AC6:AC30)</f>
        <v>0.33833333333333337</v>
      </c>
      <c r="AD31" s="4">
        <f>AVERAGE(AD6:AD30)</f>
        <v>0.33833333333333337</v>
      </c>
      <c r="AE31" s="29"/>
    </row>
    <row r="32" spans="1:32">
      <c r="T32" s="50" t="s">
        <v>128</v>
      </c>
    </row>
    <row r="33" spans="1:32" ht="18.75">
      <c r="A33" s="2"/>
      <c r="B33" s="2" t="s">
        <v>35</v>
      </c>
      <c r="C33" s="2"/>
      <c r="D33" s="2"/>
      <c r="E33" s="2"/>
      <c r="F33" s="2"/>
      <c r="G33" s="2"/>
      <c r="H33" s="3"/>
      <c r="I33" s="3"/>
      <c r="J33" s="2"/>
      <c r="K33" s="2"/>
      <c r="L33" s="2"/>
      <c r="M33" s="2"/>
      <c r="N33" s="2" t="s">
        <v>36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1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 t="s">
        <v>129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82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27">
      <c r="A48" s="59"/>
      <c r="B48" s="59"/>
      <c r="C48" s="59"/>
      <c r="D48" s="59"/>
      <c r="E48" s="59"/>
      <c r="F48" s="37"/>
      <c r="G48" s="37"/>
      <c r="H48" s="38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F48" s="50"/>
    </row>
    <row r="49" spans="1:32" ht="29.25" customHeight="1">
      <c r="A49" s="60"/>
      <c r="B49" s="60"/>
      <c r="C49" s="61"/>
      <c r="D49" s="61"/>
      <c r="E49" s="61"/>
      <c r="F49" s="60"/>
      <c r="G49" s="60"/>
      <c r="H49" s="60"/>
      <c r="I49" s="60"/>
      <c r="J49" s="60"/>
      <c r="K49" s="60"/>
      <c r="L49" s="60"/>
      <c r="M49" s="61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29.25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36" thickBot="1">
      <c r="A58" s="481" t="s">
        <v>45</v>
      </c>
      <c r="B58" s="481"/>
      <c r="C58" s="481"/>
      <c r="D58" s="481"/>
      <c r="E58" s="481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F58" s="50"/>
    </row>
    <row r="59" spans="1:32" ht="26.25" thickBot="1">
      <c r="A59" s="482" t="s">
        <v>778</v>
      </c>
      <c r="B59" s="483"/>
      <c r="C59" s="483"/>
      <c r="D59" s="483"/>
      <c r="E59" s="483"/>
      <c r="F59" s="483"/>
      <c r="G59" s="483"/>
      <c r="H59" s="483"/>
      <c r="I59" s="483"/>
      <c r="J59" s="483"/>
      <c r="K59" s="483"/>
      <c r="L59" s="483"/>
      <c r="M59" s="484"/>
      <c r="N59" s="485" t="s">
        <v>782</v>
      </c>
      <c r="O59" s="486"/>
      <c r="P59" s="486"/>
      <c r="Q59" s="486"/>
      <c r="R59" s="486"/>
      <c r="S59" s="486"/>
      <c r="T59" s="486"/>
      <c r="U59" s="486"/>
      <c r="V59" s="486"/>
      <c r="W59" s="486"/>
      <c r="X59" s="486"/>
      <c r="Y59" s="486"/>
      <c r="Z59" s="486"/>
      <c r="AA59" s="486"/>
      <c r="AB59" s="486"/>
      <c r="AC59" s="486"/>
      <c r="AD59" s="487"/>
    </row>
    <row r="60" spans="1:32" ht="27" customHeight="1">
      <c r="A60" s="488" t="s">
        <v>2</v>
      </c>
      <c r="B60" s="489"/>
      <c r="C60" s="337" t="s">
        <v>46</v>
      </c>
      <c r="D60" s="337" t="s">
        <v>47</v>
      </c>
      <c r="E60" s="337" t="s">
        <v>107</v>
      </c>
      <c r="F60" s="490" t="s">
        <v>106</v>
      </c>
      <c r="G60" s="491"/>
      <c r="H60" s="491"/>
      <c r="I60" s="491"/>
      <c r="J60" s="491"/>
      <c r="K60" s="491"/>
      <c r="L60" s="491"/>
      <c r="M60" s="492"/>
      <c r="N60" s="67" t="s">
        <v>110</v>
      </c>
      <c r="O60" s="337" t="s">
        <v>46</v>
      </c>
      <c r="P60" s="490" t="s">
        <v>47</v>
      </c>
      <c r="Q60" s="493"/>
      <c r="R60" s="490" t="s">
        <v>38</v>
      </c>
      <c r="S60" s="491"/>
      <c r="T60" s="491"/>
      <c r="U60" s="493"/>
      <c r="V60" s="490" t="s">
        <v>48</v>
      </c>
      <c r="W60" s="491"/>
      <c r="X60" s="491"/>
      <c r="Y60" s="491"/>
      <c r="Z60" s="491"/>
      <c r="AA60" s="491"/>
      <c r="AB60" s="491"/>
      <c r="AC60" s="491"/>
      <c r="AD60" s="492"/>
    </row>
    <row r="61" spans="1:32" ht="27" customHeight="1">
      <c r="A61" s="455" t="s">
        <v>163</v>
      </c>
      <c r="B61" s="456"/>
      <c r="C61" s="338" t="s">
        <v>207</v>
      </c>
      <c r="D61" s="338" t="s">
        <v>115</v>
      </c>
      <c r="E61" s="340" t="s">
        <v>196</v>
      </c>
      <c r="F61" s="457" t="s">
        <v>779</v>
      </c>
      <c r="G61" s="458"/>
      <c r="H61" s="458"/>
      <c r="I61" s="458"/>
      <c r="J61" s="458"/>
      <c r="K61" s="458"/>
      <c r="L61" s="458"/>
      <c r="M61" s="459"/>
      <c r="N61" s="339" t="s">
        <v>126</v>
      </c>
      <c r="O61" s="345" t="s">
        <v>315</v>
      </c>
      <c r="P61" s="472"/>
      <c r="Q61" s="473"/>
      <c r="R61" s="472" t="s">
        <v>702</v>
      </c>
      <c r="S61" s="474"/>
      <c r="T61" s="474"/>
      <c r="U61" s="473"/>
      <c r="V61" s="461" t="s">
        <v>144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126</v>
      </c>
      <c r="B62" s="456"/>
      <c r="C62" s="338" t="s">
        <v>145</v>
      </c>
      <c r="D62" s="338" t="s">
        <v>157</v>
      </c>
      <c r="E62" s="340" t="s">
        <v>766</v>
      </c>
      <c r="F62" s="457" t="s">
        <v>187</v>
      </c>
      <c r="G62" s="458"/>
      <c r="H62" s="458"/>
      <c r="I62" s="458"/>
      <c r="J62" s="458"/>
      <c r="K62" s="458"/>
      <c r="L62" s="458"/>
      <c r="M62" s="459"/>
      <c r="N62" s="339" t="s">
        <v>163</v>
      </c>
      <c r="O62" s="345" t="s">
        <v>207</v>
      </c>
      <c r="P62" s="472" t="s">
        <v>115</v>
      </c>
      <c r="Q62" s="473"/>
      <c r="R62" s="472" t="s">
        <v>196</v>
      </c>
      <c r="S62" s="474"/>
      <c r="T62" s="474"/>
      <c r="U62" s="473"/>
      <c r="V62" s="461" t="s">
        <v>144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112</v>
      </c>
      <c r="B63" s="456"/>
      <c r="C63" s="338" t="s">
        <v>155</v>
      </c>
      <c r="D63" s="338" t="s">
        <v>159</v>
      </c>
      <c r="E63" s="340" t="s">
        <v>765</v>
      </c>
      <c r="F63" s="457" t="s">
        <v>187</v>
      </c>
      <c r="G63" s="458"/>
      <c r="H63" s="458"/>
      <c r="I63" s="458"/>
      <c r="J63" s="458"/>
      <c r="K63" s="458"/>
      <c r="L63" s="458"/>
      <c r="M63" s="459"/>
      <c r="N63" s="339" t="s">
        <v>112</v>
      </c>
      <c r="O63" s="345" t="s">
        <v>155</v>
      </c>
      <c r="P63" s="472" t="s">
        <v>121</v>
      </c>
      <c r="Q63" s="473"/>
      <c r="R63" s="472" t="s">
        <v>783</v>
      </c>
      <c r="S63" s="474"/>
      <c r="T63" s="474"/>
      <c r="U63" s="473"/>
      <c r="V63" s="461" t="s">
        <v>187</v>
      </c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116</v>
      </c>
      <c r="B64" s="456"/>
      <c r="C64" s="338" t="s">
        <v>164</v>
      </c>
      <c r="D64" s="338" t="s">
        <v>115</v>
      </c>
      <c r="E64" s="340" t="s">
        <v>505</v>
      </c>
      <c r="F64" s="457" t="s">
        <v>623</v>
      </c>
      <c r="G64" s="458"/>
      <c r="H64" s="458"/>
      <c r="I64" s="458"/>
      <c r="J64" s="458"/>
      <c r="K64" s="458"/>
      <c r="L64" s="458"/>
      <c r="M64" s="459"/>
      <c r="N64" s="339" t="s">
        <v>116</v>
      </c>
      <c r="O64" s="345" t="s">
        <v>785</v>
      </c>
      <c r="P64" s="472" t="s">
        <v>115</v>
      </c>
      <c r="Q64" s="473"/>
      <c r="R64" s="472" t="s">
        <v>784</v>
      </c>
      <c r="S64" s="474"/>
      <c r="T64" s="474"/>
      <c r="U64" s="473"/>
      <c r="V64" s="461" t="s">
        <v>144</v>
      </c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 t="s">
        <v>112</v>
      </c>
      <c r="B65" s="456"/>
      <c r="C65" s="338" t="s">
        <v>286</v>
      </c>
      <c r="D65" s="338" t="s">
        <v>121</v>
      </c>
      <c r="E65" s="340" t="s">
        <v>152</v>
      </c>
      <c r="F65" s="457" t="s">
        <v>533</v>
      </c>
      <c r="G65" s="458"/>
      <c r="H65" s="458"/>
      <c r="I65" s="458"/>
      <c r="J65" s="458"/>
      <c r="K65" s="458"/>
      <c r="L65" s="458"/>
      <c r="M65" s="459"/>
      <c r="N65" s="359" t="s">
        <v>787</v>
      </c>
      <c r="O65" s="353" t="s">
        <v>788</v>
      </c>
      <c r="P65" s="472"/>
      <c r="Q65" s="473"/>
      <c r="R65" s="472" t="s">
        <v>786</v>
      </c>
      <c r="S65" s="474"/>
      <c r="T65" s="474"/>
      <c r="U65" s="473"/>
      <c r="V65" s="461" t="s">
        <v>187</v>
      </c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 t="s">
        <v>116</v>
      </c>
      <c r="B66" s="456"/>
      <c r="C66" s="338" t="s">
        <v>223</v>
      </c>
      <c r="D66" s="338" t="s">
        <v>115</v>
      </c>
      <c r="E66" s="340" t="s">
        <v>731</v>
      </c>
      <c r="F66" s="457" t="s">
        <v>780</v>
      </c>
      <c r="G66" s="458"/>
      <c r="H66" s="458"/>
      <c r="I66" s="458"/>
      <c r="J66" s="458"/>
      <c r="K66" s="458"/>
      <c r="L66" s="458"/>
      <c r="M66" s="459"/>
      <c r="N66" s="359" t="s">
        <v>116</v>
      </c>
      <c r="O66" s="353" t="s">
        <v>225</v>
      </c>
      <c r="P66" s="472" t="s">
        <v>157</v>
      </c>
      <c r="Q66" s="473"/>
      <c r="R66" s="472" t="s">
        <v>587</v>
      </c>
      <c r="S66" s="474"/>
      <c r="T66" s="474"/>
      <c r="U66" s="473"/>
      <c r="V66" s="461" t="s">
        <v>144</v>
      </c>
      <c r="W66" s="462"/>
      <c r="X66" s="462"/>
      <c r="Y66" s="462"/>
      <c r="Z66" s="462"/>
      <c r="AA66" s="462"/>
      <c r="AB66" s="462"/>
      <c r="AC66" s="462"/>
      <c r="AD66" s="463"/>
    </row>
    <row r="67" spans="1:32" ht="27" customHeight="1">
      <c r="A67" s="455" t="s">
        <v>112</v>
      </c>
      <c r="B67" s="456"/>
      <c r="C67" s="338" t="s">
        <v>315</v>
      </c>
      <c r="D67" s="338" t="s">
        <v>157</v>
      </c>
      <c r="E67" s="340" t="s">
        <v>767</v>
      </c>
      <c r="F67" s="457" t="s">
        <v>187</v>
      </c>
      <c r="G67" s="458"/>
      <c r="H67" s="458"/>
      <c r="I67" s="458"/>
      <c r="J67" s="458"/>
      <c r="K67" s="458"/>
      <c r="L67" s="458"/>
      <c r="M67" s="459"/>
      <c r="N67" s="339"/>
      <c r="O67" s="345"/>
      <c r="P67" s="472"/>
      <c r="Q67" s="473"/>
      <c r="R67" s="472"/>
      <c r="S67" s="474"/>
      <c r="T67" s="474"/>
      <c r="U67" s="473"/>
      <c r="V67" s="461"/>
      <c r="W67" s="462"/>
      <c r="X67" s="462"/>
      <c r="Y67" s="462"/>
      <c r="Z67" s="462"/>
      <c r="AA67" s="462"/>
      <c r="AB67" s="462"/>
      <c r="AC67" s="462"/>
      <c r="AD67" s="463"/>
    </row>
    <row r="68" spans="1:32" ht="27" customHeight="1">
      <c r="A68" s="455" t="s">
        <v>112</v>
      </c>
      <c r="B68" s="456"/>
      <c r="C68" s="338" t="s">
        <v>164</v>
      </c>
      <c r="D68" s="338" t="s">
        <v>115</v>
      </c>
      <c r="E68" s="340" t="s">
        <v>768</v>
      </c>
      <c r="F68" s="457" t="s">
        <v>187</v>
      </c>
      <c r="G68" s="458"/>
      <c r="H68" s="458"/>
      <c r="I68" s="458"/>
      <c r="J68" s="458"/>
      <c r="K68" s="458"/>
      <c r="L68" s="458"/>
      <c r="M68" s="459"/>
      <c r="N68" s="339"/>
      <c r="O68" s="345"/>
      <c r="P68" s="472"/>
      <c r="Q68" s="473"/>
      <c r="R68" s="472"/>
      <c r="S68" s="474"/>
      <c r="T68" s="474"/>
      <c r="U68" s="473"/>
      <c r="V68" s="461"/>
      <c r="W68" s="462"/>
      <c r="X68" s="462"/>
      <c r="Y68" s="462"/>
      <c r="Z68" s="462"/>
      <c r="AA68" s="462"/>
      <c r="AB68" s="462"/>
      <c r="AC68" s="462"/>
      <c r="AD68" s="463"/>
    </row>
    <row r="69" spans="1:32" ht="27" customHeight="1">
      <c r="A69" s="455" t="s">
        <v>112</v>
      </c>
      <c r="B69" s="456"/>
      <c r="C69" s="338" t="s">
        <v>180</v>
      </c>
      <c r="D69" s="338" t="s">
        <v>115</v>
      </c>
      <c r="E69" s="340" t="s">
        <v>143</v>
      </c>
      <c r="F69" s="457" t="s">
        <v>781</v>
      </c>
      <c r="G69" s="458"/>
      <c r="H69" s="458"/>
      <c r="I69" s="458"/>
      <c r="J69" s="458"/>
      <c r="K69" s="458"/>
      <c r="L69" s="458"/>
      <c r="M69" s="459"/>
      <c r="N69" s="339"/>
      <c r="O69" s="345"/>
      <c r="P69" s="460"/>
      <c r="Q69" s="460"/>
      <c r="R69" s="460"/>
      <c r="S69" s="460"/>
      <c r="T69" s="460"/>
      <c r="U69" s="460"/>
      <c r="V69" s="461"/>
      <c r="W69" s="462"/>
      <c r="X69" s="462"/>
      <c r="Y69" s="462"/>
      <c r="Z69" s="462"/>
      <c r="AA69" s="462"/>
      <c r="AB69" s="462"/>
      <c r="AC69" s="462"/>
      <c r="AD69" s="463"/>
      <c r="AF69" s="81">
        <f>8*3000</f>
        <v>24000</v>
      </c>
    </row>
    <row r="70" spans="1:32" ht="27" customHeight="1" thickBot="1">
      <c r="A70" s="464"/>
      <c r="B70" s="465"/>
      <c r="C70" s="341"/>
      <c r="D70" s="342"/>
      <c r="E70" s="341"/>
      <c r="F70" s="466"/>
      <c r="G70" s="467"/>
      <c r="H70" s="467"/>
      <c r="I70" s="467"/>
      <c r="J70" s="467"/>
      <c r="K70" s="467"/>
      <c r="L70" s="467"/>
      <c r="M70" s="468"/>
      <c r="N70" s="105"/>
      <c r="O70" s="97"/>
      <c r="P70" s="469"/>
      <c r="Q70" s="469"/>
      <c r="R70" s="469"/>
      <c r="S70" s="469"/>
      <c r="T70" s="469"/>
      <c r="U70" s="469"/>
      <c r="V70" s="470"/>
      <c r="W70" s="470"/>
      <c r="X70" s="470"/>
      <c r="Y70" s="470"/>
      <c r="Z70" s="470"/>
      <c r="AA70" s="470"/>
      <c r="AB70" s="470"/>
      <c r="AC70" s="470"/>
      <c r="AD70" s="471"/>
      <c r="AF70" s="81">
        <f>16*3000</f>
        <v>48000</v>
      </c>
    </row>
    <row r="71" spans="1:32" ht="27.75" thickBot="1">
      <c r="A71" s="453" t="s">
        <v>789</v>
      </c>
      <c r="B71" s="453"/>
      <c r="C71" s="453"/>
      <c r="D71" s="453"/>
      <c r="E71" s="45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81">
        <v>24000</v>
      </c>
    </row>
    <row r="72" spans="1:32" ht="29.25" customHeight="1" thickBot="1">
      <c r="A72" s="454" t="s">
        <v>111</v>
      </c>
      <c r="B72" s="451"/>
      <c r="C72" s="343" t="s">
        <v>2</v>
      </c>
      <c r="D72" s="343" t="s">
        <v>37</v>
      </c>
      <c r="E72" s="343" t="s">
        <v>3</v>
      </c>
      <c r="F72" s="451" t="s">
        <v>109</v>
      </c>
      <c r="G72" s="451"/>
      <c r="H72" s="451"/>
      <c r="I72" s="451"/>
      <c r="J72" s="451"/>
      <c r="K72" s="451" t="s">
        <v>39</v>
      </c>
      <c r="L72" s="451"/>
      <c r="M72" s="343" t="s">
        <v>40</v>
      </c>
      <c r="N72" s="451" t="s">
        <v>41</v>
      </c>
      <c r="O72" s="451"/>
      <c r="P72" s="448" t="s">
        <v>42</v>
      </c>
      <c r="Q72" s="450"/>
      <c r="R72" s="448" t="s">
        <v>43</v>
      </c>
      <c r="S72" s="449"/>
      <c r="T72" s="449"/>
      <c r="U72" s="449"/>
      <c r="V72" s="449"/>
      <c r="W72" s="449"/>
      <c r="X72" s="449"/>
      <c r="Y72" s="449"/>
      <c r="Z72" s="449"/>
      <c r="AA72" s="450"/>
      <c r="AB72" s="451" t="s">
        <v>44</v>
      </c>
      <c r="AC72" s="451"/>
      <c r="AD72" s="452"/>
      <c r="AF72" s="81">
        <f>SUM(AF69:AF71)</f>
        <v>96000</v>
      </c>
    </row>
    <row r="73" spans="1:32" ht="25.5" customHeight="1">
      <c r="A73" s="439">
        <v>1</v>
      </c>
      <c r="B73" s="440"/>
      <c r="C73" s="98" t="s">
        <v>112</v>
      </c>
      <c r="D73" s="347"/>
      <c r="E73" s="344" t="s">
        <v>115</v>
      </c>
      <c r="F73" s="441" t="s">
        <v>421</v>
      </c>
      <c r="G73" s="431"/>
      <c r="H73" s="431"/>
      <c r="I73" s="431"/>
      <c r="J73" s="431"/>
      <c r="K73" s="431" t="s">
        <v>168</v>
      </c>
      <c r="L73" s="431"/>
      <c r="M73" s="51" t="s">
        <v>154</v>
      </c>
      <c r="N73" s="442" t="s">
        <v>155</v>
      </c>
      <c r="O73" s="442"/>
      <c r="P73" s="443">
        <v>50</v>
      </c>
      <c r="Q73" s="443"/>
      <c r="R73" s="444" t="s">
        <v>790</v>
      </c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2</v>
      </c>
      <c r="B74" s="440"/>
      <c r="C74" s="98" t="s">
        <v>792</v>
      </c>
      <c r="D74" s="347"/>
      <c r="E74" s="344" t="s">
        <v>115</v>
      </c>
      <c r="F74" s="445" t="s">
        <v>791</v>
      </c>
      <c r="G74" s="446"/>
      <c r="H74" s="446"/>
      <c r="I74" s="446"/>
      <c r="J74" s="447"/>
      <c r="K74" s="431">
        <v>7301</v>
      </c>
      <c r="L74" s="431"/>
      <c r="M74" s="51" t="s">
        <v>154</v>
      </c>
      <c r="N74" s="442" t="s">
        <v>788</v>
      </c>
      <c r="O74" s="442"/>
      <c r="P74" s="443">
        <v>50</v>
      </c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3</v>
      </c>
      <c r="B75" s="440"/>
      <c r="C75" s="98" t="s">
        <v>792</v>
      </c>
      <c r="D75" s="347"/>
      <c r="E75" s="344" t="s">
        <v>794</v>
      </c>
      <c r="F75" s="441" t="s">
        <v>793</v>
      </c>
      <c r="G75" s="431"/>
      <c r="H75" s="431"/>
      <c r="I75" s="431"/>
      <c r="J75" s="431"/>
      <c r="K75" s="431" t="s">
        <v>795</v>
      </c>
      <c r="L75" s="431"/>
      <c r="M75" s="51" t="s">
        <v>154</v>
      </c>
      <c r="N75" s="442" t="s">
        <v>796</v>
      </c>
      <c r="O75" s="442"/>
      <c r="P75" s="443">
        <v>400</v>
      </c>
      <c r="Q75" s="443"/>
      <c r="R75" s="444" t="s">
        <v>797</v>
      </c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4</v>
      </c>
      <c r="B76" s="440"/>
      <c r="C76" s="98"/>
      <c r="D76" s="347"/>
      <c r="E76" s="344"/>
      <c r="F76" s="445"/>
      <c r="G76" s="446"/>
      <c r="H76" s="446"/>
      <c r="I76" s="446"/>
      <c r="J76" s="447"/>
      <c r="K76" s="431"/>
      <c r="L76" s="431"/>
      <c r="M76" s="51"/>
      <c r="N76" s="442"/>
      <c r="O76" s="442"/>
      <c r="P76" s="443"/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5</v>
      </c>
      <c r="B77" s="440"/>
      <c r="C77" s="98"/>
      <c r="D77" s="347"/>
      <c r="E77" s="344"/>
      <c r="F77" s="445"/>
      <c r="G77" s="446"/>
      <c r="H77" s="446"/>
      <c r="I77" s="446"/>
      <c r="J77" s="447"/>
      <c r="K77" s="431"/>
      <c r="L77" s="431"/>
      <c r="M77" s="51"/>
      <c r="N77" s="442"/>
      <c r="O77" s="442"/>
      <c r="P77" s="443"/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6</v>
      </c>
      <c r="B78" s="440"/>
      <c r="C78" s="98"/>
      <c r="D78" s="347"/>
      <c r="E78" s="344"/>
      <c r="F78" s="445"/>
      <c r="G78" s="446"/>
      <c r="H78" s="446"/>
      <c r="I78" s="446"/>
      <c r="J78" s="447"/>
      <c r="K78" s="431"/>
      <c r="L78" s="431"/>
      <c r="M78" s="51"/>
      <c r="N78" s="442"/>
      <c r="O78" s="442"/>
      <c r="P78" s="443"/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7</v>
      </c>
      <c r="B79" s="440"/>
      <c r="C79" s="98"/>
      <c r="D79" s="347"/>
      <c r="E79" s="344"/>
      <c r="F79" s="445"/>
      <c r="G79" s="446"/>
      <c r="H79" s="446"/>
      <c r="I79" s="446"/>
      <c r="J79" s="447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5.5" customHeight="1">
      <c r="A80" s="439">
        <v>8</v>
      </c>
      <c r="B80" s="440"/>
      <c r="C80" s="98"/>
      <c r="D80" s="347"/>
      <c r="E80" s="344"/>
      <c r="F80" s="441"/>
      <c r="G80" s="431"/>
      <c r="H80" s="431"/>
      <c r="I80" s="431"/>
      <c r="J80" s="431"/>
      <c r="K80" s="431"/>
      <c r="L80" s="431"/>
      <c r="M80" s="51"/>
      <c r="N80" s="442"/>
      <c r="O80" s="442"/>
      <c r="P80" s="443"/>
      <c r="Q80" s="443"/>
      <c r="R80" s="444"/>
      <c r="S80" s="444"/>
      <c r="T80" s="444"/>
      <c r="U80" s="444"/>
      <c r="V80" s="444"/>
      <c r="W80" s="444"/>
      <c r="X80" s="444"/>
      <c r="Y80" s="444"/>
      <c r="Z80" s="444"/>
      <c r="AA80" s="444"/>
      <c r="AB80" s="431"/>
      <c r="AC80" s="431"/>
      <c r="AD80" s="432"/>
      <c r="AF80" s="50"/>
    </row>
    <row r="81" spans="1:32" ht="25.5" customHeight="1">
      <c r="A81" s="439">
        <v>9</v>
      </c>
      <c r="B81" s="440"/>
      <c r="C81" s="98"/>
      <c r="D81" s="347"/>
      <c r="E81" s="344"/>
      <c r="F81" s="441"/>
      <c r="G81" s="431"/>
      <c r="H81" s="431"/>
      <c r="I81" s="431"/>
      <c r="J81" s="431"/>
      <c r="K81" s="431"/>
      <c r="L81" s="431"/>
      <c r="M81" s="51"/>
      <c r="N81" s="442"/>
      <c r="O81" s="442"/>
      <c r="P81" s="443"/>
      <c r="Q81" s="443"/>
      <c r="R81" s="444"/>
      <c r="S81" s="444"/>
      <c r="T81" s="444"/>
      <c r="U81" s="444"/>
      <c r="V81" s="444"/>
      <c r="W81" s="444"/>
      <c r="X81" s="444"/>
      <c r="Y81" s="444"/>
      <c r="Z81" s="444"/>
      <c r="AA81" s="444"/>
      <c r="AB81" s="431"/>
      <c r="AC81" s="431"/>
      <c r="AD81" s="432"/>
      <c r="AF81" s="50"/>
    </row>
    <row r="82" spans="1:32" ht="25.5" customHeight="1">
      <c r="A82" s="439">
        <v>10</v>
      </c>
      <c r="B82" s="440"/>
      <c r="C82" s="98"/>
      <c r="D82" s="347"/>
      <c r="E82" s="344"/>
      <c r="F82" s="441"/>
      <c r="G82" s="431"/>
      <c r="H82" s="431"/>
      <c r="I82" s="431"/>
      <c r="J82" s="431"/>
      <c r="K82" s="431"/>
      <c r="L82" s="431"/>
      <c r="M82" s="51"/>
      <c r="N82" s="442"/>
      <c r="O82" s="442"/>
      <c r="P82" s="443"/>
      <c r="Q82" s="443"/>
      <c r="R82" s="444"/>
      <c r="S82" s="444"/>
      <c r="T82" s="444"/>
      <c r="U82" s="444"/>
      <c r="V82" s="444"/>
      <c r="W82" s="444"/>
      <c r="X82" s="444"/>
      <c r="Y82" s="444"/>
      <c r="Z82" s="444"/>
      <c r="AA82" s="444"/>
      <c r="AB82" s="431"/>
      <c r="AC82" s="431"/>
      <c r="AD82" s="432"/>
      <c r="AF82" s="50"/>
    </row>
    <row r="83" spans="1:32" ht="26.25" customHeight="1" thickBot="1">
      <c r="A83" s="411" t="s">
        <v>798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23.25" thickBot="1">
      <c r="A84" s="433" t="s">
        <v>111</v>
      </c>
      <c r="B84" s="434"/>
      <c r="C84" s="346" t="s">
        <v>2</v>
      </c>
      <c r="D84" s="346" t="s">
        <v>37</v>
      </c>
      <c r="E84" s="346" t="s">
        <v>120</v>
      </c>
      <c r="F84" s="413" t="s">
        <v>38</v>
      </c>
      <c r="G84" s="413"/>
      <c r="H84" s="413"/>
      <c r="I84" s="413"/>
      <c r="J84" s="413"/>
      <c r="K84" s="435" t="s">
        <v>58</v>
      </c>
      <c r="L84" s="436"/>
      <c r="M84" s="436"/>
      <c r="N84" s="436"/>
      <c r="O84" s="436"/>
      <c r="P84" s="436"/>
      <c r="Q84" s="436"/>
      <c r="R84" s="436"/>
      <c r="S84" s="437"/>
      <c r="T84" s="413" t="s">
        <v>49</v>
      </c>
      <c r="U84" s="413"/>
      <c r="V84" s="435" t="s">
        <v>50</v>
      </c>
      <c r="W84" s="437"/>
      <c r="X84" s="436" t="s">
        <v>51</v>
      </c>
      <c r="Y84" s="436"/>
      <c r="Z84" s="436"/>
      <c r="AA84" s="436"/>
      <c r="AB84" s="436"/>
      <c r="AC84" s="436"/>
      <c r="AD84" s="438"/>
      <c r="AF84" s="50"/>
    </row>
    <row r="85" spans="1:32" ht="33.75" customHeight="1">
      <c r="A85" s="405">
        <v>1</v>
      </c>
      <c r="B85" s="406"/>
      <c r="C85" s="348"/>
      <c r="D85" s="348"/>
      <c r="E85" s="65"/>
      <c r="F85" s="420"/>
      <c r="G85" s="421"/>
      <c r="H85" s="421"/>
      <c r="I85" s="421"/>
      <c r="J85" s="422"/>
      <c r="K85" s="423"/>
      <c r="L85" s="424"/>
      <c r="M85" s="424"/>
      <c r="N85" s="424"/>
      <c r="O85" s="424"/>
      <c r="P85" s="424"/>
      <c r="Q85" s="424"/>
      <c r="R85" s="424"/>
      <c r="S85" s="425"/>
      <c r="T85" s="426"/>
      <c r="U85" s="427"/>
      <c r="V85" s="428"/>
      <c r="W85" s="428"/>
      <c r="X85" s="429"/>
      <c r="Y85" s="429"/>
      <c r="Z85" s="429"/>
      <c r="AA85" s="429"/>
      <c r="AB85" s="429"/>
      <c r="AC85" s="429"/>
      <c r="AD85" s="430"/>
      <c r="AF85" s="50"/>
    </row>
    <row r="86" spans="1:32" ht="30" customHeight="1">
      <c r="A86" s="398">
        <f>A85+1</f>
        <v>2</v>
      </c>
      <c r="B86" s="399"/>
      <c r="C86" s="347"/>
      <c r="D86" s="347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ref="A87:A91" si="20">A86+1</f>
        <v>3</v>
      </c>
      <c r="B87" s="399"/>
      <c r="C87" s="347"/>
      <c r="D87" s="347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20"/>
        <v>4</v>
      </c>
      <c r="B88" s="399"/>
      <c r="C88" s="347"/>
      <c r="D88" s="347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0" customHeight="1">
      <c r="A89" s="398">
        <f t="shared" si="20"/>
        <v>5</v>
      </c>
      <c r="B89" s="399"/>
      <c r="C89" s="347"/>
      <c r="D89" s="347"/>
      <c r="E89" s="32"/>
      <c r="F89" s="399"/>
      <c r="G89" s="399"/>
      <c r="H89" s="399"/>
      <c r="I89" s="399"/>
      <c r="J89" s="399"/>
      <c r="K89" s="414"/>
      <c r="L89" s="415"/>
      <c r="M89" s="415"/>
      <c r="N89" s="415"/>
      <c r="O89" s="415"/>
      <c r="P89" s="415"/>
      <c r="Q89" s="415"/>
      <c r="R89" s="415"/>
      <c r="S89" s="416"/>
      <c r="T89" s="417"/>
      <c r="U89" s="417"/>
      <c r="V89" s="417"/>
      <c r="W89" s="417"/>
      <c r="X89" s="418"/>
      <c r="Y89" s="418"/>
      <c r="Z89" s="418"/>
      <c r="AA89" s="418"/>
      <c r="AB89" s="418"/>
      <c r="AC89" s="418"/>
      <c r="AD89" s="419"/>
      <c r="AF89" s="50"/>
    </row>
    <row r="90" spans="1:32" ht="30" customHeight="1">
      <c r="A90" s="398">
        <f t="shared" si="20"/>
        <v>6</v>
      </c>
      <c r="B90" s="399"/>
      <c r="C90" s="347"/>
      <c r="D90" s="347"/>
      <c r="E90" s="32"/>
      <c r="F90" s="399"/>
      <c r="G90" s="399"/>
      <c r="H90" s="399"/>
      <c r="I90" s="399"/>
      <c r="J90" s="399"/>
      <c r="K90" s="414"/>
      <c r="L90" s="415"/>
      <c r="M90" s="415"/>
      <c r="N90" s="415"/>
      <c r="O90" s="415"/>
      <c r="P90" s="415"/>
      <c r="Q90" s="415"/>
      <c r="R90" s="415"/>
      <c r="S90" s="416"/>
      <c r="T90" s="417"/>
      <c r="U90" s="417"/>
      <c r="V90" s="417"/>
      <c r="W90" s="417"/>
      <c r="X90" s="418"/>
      <c r="Y90" s="418"/>
      <c r="Z90" s="418"/>
      <c r="AA90" s="418"/>
      <c r="AB90" s="418"/>
      <c r="AC90" s="418"/>
      <c r="AD90" s="419"/>
      <c r="AF90" s="50"/>
    </row>
    <row r="91" spans="1:32" ht="30" customHeight="1">
      <c r="A91" s="398">
        <f t="shared" si="20"/>
        <v>7</v>
      </c>
      <c r="B91" s="399"/>
      <c r="C91" s="347"/>
      <c r="D91" s="347"/>
      <c r="E91" s="32"/>
      <c r="F91" s="399"/>
      <c r="G91" s="399"/>
      <c r="H91" s="399"/>
      <c r="I91" s="399"/>
      <c r="J91" s="399"/>
      <c r="K91" s="414"/>
      <c r="L91" s="415"/>
      <c r="M91" s="415"/>
      <c r="N91" s="415"/>
      <c r="O91" s="415"/>
      <c r="P91" s="415"/>
      <c r="Q91" s="415"/>
      <c r="R91" s="415"/>
      <c r="S91" s="416"/>
      <c r="T91" s="417"/>
      <c r="U91" s="417"/>
      <c r="V91" s="417"/>
      <c r="W91" s="417"/>
      <c r="X91" s="418"/>
      <c r="Y91" s="418"/>
      <c r="Z91" s="418"/>
      <c r="AA91" s="418"/>
      <c r="AB91" s="418"/>
      <c r="AC91" s="418"/>
      <c r="AD91" s="419"/>
      <c r="AF91" s="50"/>
    </row>
    <row r="92" spans="1:32" ht="36" thickBot="1">
      <c r="A92" s="411" t="s">
        <v>799</v>
      </c>
      <c r="B92" s="411"/>
      <c r="C92" s="411"/>
      <c r="D92" s="411"/>
      <c r="E92" s="411"/>
      <c r="F92" s="37"/>
      <c r="G92" s="37"/>
      <c r="H92" s="38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F92" s="50"/>
    </row>
    <row r="93" spans="1:32" ht="30.75" customHeight="1" thickBot="1">
      <c r="A93" s="412" t="s">
        <v>111</v>
      </c>
      <c r="B93" s="413"/>
      <c r="C93" s="403" t="s">
        <v>52</v>
      </c>
      <c r="D93" s="403"/>
      <c r="E93" s="403" t="s">
        <v>53</v>
      </c>
      <c r="F93" s="403"/>
      <c r="G93" s="403"/>
      <c r="H93" s="403"/>
      <c r="I93" s="403"/>
      <c r="J93" s="403"/>
      <c r="K93" s="403" t="s">
        <v>54</v>
      </c>
      <c r="L93" s="403"/>
      <c r="M93" s="403"/>
      <c r="N93" s="403"/>
      <c r="O93" s="403"/>
      <c r="P93" s="403"/>
      <c r="Q93" s="403"/>
      <c r="R93" s="403"/>
      <c r="S93" s="403"/>
      <c r="T93" s="403" t="s">
        <v>55</v>
      </c>
      <c r="U93" s="403"/>
      <c r="V93" s="403" t="s">
        <v>56</v>
      </c>
      <c r="W93" s="403"/>
      <c r="X93" s="403"/>
      <c r="Y93" s="403" t="s">
        <v>51</v>
      </c>
      <c r="Z93" s="403"/>
      <c r="AA93" s="403"/>
      <c r="AB93" s="403"/>
      <c r="AC93" s="403"/>
      <c r="AD93" s="404"/>
      <c r="AF93" s="50"/>
    </row>
    <row r="94" spans="1:32" ht="30.75" customHeight="1">
      <c r="A94" s="405">
        <v>1</v>
      </c>
      <c r="B94" s="406"/>
      <c r="C94" s="407"/>
      <c r="D94" s="407"/>
      <c r="E94" s="407"/>
      <c r="F94" s="407"/>
      <c r="G94" s="407"/>
      <c r="H94" s="407"/>
      <c r="I94" s="407"/>
      <c r="J94" s="407"/>
      <c r="K94" s="407"/>
      <c r="L94" s="407"/>
      <c r="M94" s="407"/>
      <c r="N94" s="407"/>
      <c r="O94" s="407"/>
      <c r="P94" s="407"/>
      <c r="Q94" s="407"/>
      <c r="R94" s="407"/>
      <c r="S94" s="407"/>
      <c r="T94" s="407"/>
      <c r="U94" s="407"/>
      <c r="V94" s="408"/>
      <c r="W94" s="408"/>
      <c r="X94" s="408"/>
      <c r="Y94" s="409"/>
      <c r="Z94" s="409"/>
      <c r="AA94" s="409"/>
      <c r="AB94" s="409"/>
      <c r="AC94" s="409"/>
      <c r="AD94" s="410"/>
      <c r="AF94" s="50"/>
    </row>
    <row r="95" spans="1:32" ht="30.75" customHeight="1">
      <c r="A95" s="398">
        <v>2</v>
      </c>
      <c r="B95" s="399"/>
      <c r="C95" s="400"/>
      <c r="D95" s="400"/>
      <c r="E95" s="400"/>
      <c r="F95" s="400"/>
      <c r="G95" s="400"/>
      <c r="H95" s="400"/>
      <c r="I95" s="400"/>
      <c r="J95" s="400"/>
      <c r="K95" s="400"/>
      <c r="L95" s="400"/>
      <c r="M95" s="400"/>
      <c r="N95" s="400"/>
      <c r="O95" s="400"/>
      <c r="P95" s="400"/>
      <c r="Q95" s="400"/>
      <c r="R95" s="400"/>
      <c r="S95" s="400"/>
      <c r="T95" s="401"/>
      <c r="U95" s="401"/>
      <c r="V95" s="402"/>
      <c r="W95" s="402"/>
      <c r="X95" s="402"/>
      <c r="Y95" s="390"/>
      <c r="Z95" s="390"/>
      <c r="AA95" s="390"/>
      <c r="AB95" s="390"/>
      <c r="AC95" s="390"/>
      <c r="AD95" s="391"/>
      <c r="AF95" s="50"/>
    </row>
    <row r="96" spans="1:32" ht="30.75" customHeight="1" thickBot="1">
      <c r="A96" s="392">
        <v>3</v>
      </c>
      <c r="B96" s="393"/>
      <c r="C96" s="394"/>
      <c r="D96" s="394"/>
      <c r="E96" s="394"/>
      <c r="F96" s="394"/>
      <c r="G96" s="394"/>
      <c r="H96" s="394"/>
      <c r="I96" s="394"/>
      <c r="J96" s="394"/>
      <c r="K96" s="394"/>
      <c r="L96" s="394"/>
      <c r="M96" s="394"/>
      <c r="N96" s="394"/>
      <c r="O96" s="394"/>
      <c r="P96" s="394"/>
      <c r="Q96" s="394"/>
      <c r="R96" s="394"/>
      <c r="S96" s="394"/>
      <c r="T96" s="394"/>
      <c r="U96" s="394"/>
      <c r="V96" s="395"/>
      <c r="W96" s="395"/>
      <c r="X96" s="395"/>
      <c r="Y96" s="396"/>
      <c r="Z96" s="396"/>
      <c r="AA96" s="396"/>
      <c r="AB96" s="396"/>
      <c r="AC96" s="396"/>
      <c r="AD96" s="397"/>
      <c r="AF96" s="50"/>
    </row>
  </sheetData>
  <mergeCells count="232">
    <mergeCell ref="Y95:AD95"/>
    <mergeCell ref="A96:B96"/>
    <mergeCell ref="C96:D96"/>
    <mergeCell ref="E96:J96"/>
    <mergeCell ref="K96:S96"/>
    <mergeCell ref="T96:U96"/>
    <mergeCell ref="V96:X96"/>
    <mergeCell ref="Y96:AD96"/>
    <mergeCell ref="A95:B95"/>
    <mergeCell ref="C95:D95"/>
    <mergeCell ref="E95:J95"/>
    <mergeCell ref="K95:S95"/>
    <mergeCell ref="T95:U95"/>
    <mergeCell ref="V95:X95"/>
    <mergeCell ref="V93:X93"/>
    <mergeCell ref="Y93:AD93"/>
    <mergeCell ref="A94:B94"/>
    <mergeCell ref="C94:D94"/>
    <mergeCell ref="E94:J94"/>
    <mergeCell ref="K94:S94"/>
    <mergeCell ref="T94:U94"/>
    <mergeCell ref="V94:X94"/>
    <mergeCell ref="Y94:AD94"/>
    <mergeCell ref="A92:E92"/>
    <mergeCell ref="A93:B93"/>
    <mergeCell ref="C93:D93"/>
    <mergeCell ref="E93:J93"/>
    <mergeCell ref="K93:S93"/>
    <mergeCell ref="T93:U93"/>
    <mergeCell ref="A91:B91"/>
    <mergeCell ref="F91:J91"/>
    <mergeCell ref="K91:S91"/>
    <mergeCell ref="T91:U91"/>
    <mergeCell ref="V91:W91"/>
    <mergeCell ref="X91:AD91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B82:AD82"/>
    <mergeCell ref="A83:E83"/>
    <mergeCell ref="A84:B84"/>
    <mergeCell ref="F84:J84"/>
    <mergeCell ref="K84:S84"/>
    <mergeCell ref="T84:U84"/>
    <mergeCell ref="V84:W84"/>
    <mergeCell ref="X84:AD84"/>
    <mergeCell ref="A82:B82"/>
    <mergeCell ref="F82:J82"/>
    <mergeCell ref="K82:L82"/>
    <mergeCell ref="N82:O82"/>
    <mergeCell ref="P82:Q82"/>
    <mergeCell ref="R82:AA82"/>
    <mergeCell ref="AB80:AD80"/>
    <mergeCell ref="A81:B81"/>
    <mergeCell ref="F81:J81"/>
    <mergeCell ref="K81:L81"/>
    <mergeCell ref="N81:O81"/>
    <mergeCell ref="P81:Q81"/>
    <mergeCell ref="R81:AA81"/>
    <mergeCell ref="AB81:AD81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R72:AA72"/>
    <mergeCell ref="AB72:AD72"/>
    <mergeCell ref="A73:B73"/>
    <mergeCell ref="F73:J73"/>
    <mergeCell ref="K73:L73"/>
    <mergeCell ref="N73:O73"/>
    <mergeCell ref="P73:Q73"/>
    <mergeCell ref="R73:AA73"/>
    <mergeCell ref="AB73:AD73"/>
    <mergeCell ref="A71:E71"/>
    <mergeCell ref="A72:B72"/>
    <mergeCell ref="F72:J72"/>
    <mergeCell ref="K72:L72"/>
    <mergeCell ref="N72:O72"/>
    <mergeCell ref="P72:Q72"/>
    <mergeCell ref="A69:B69"/>
    <mergeCell ref="F69:M69"/>
    <mergeCell ref="P69:Q69"/>
    <mergeCell ref="R69:U69"/>
    <mergeCell ref="V69:AD69"/>
    <mergeCell ref="A70:B70"/>
    <mergeCell ref="F70:M70"/>
    <mergeCell ref="P70:Q70"/>
    <mergeCell ref="R70:U70"/>
    <mergeCell ref="V70:AD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D4:AD5"/>
    <mergeCell ref="A31:H31"/>
    <mergeCell ref="A58:E58"/>
    <mergeCell ref="A59:M59"/>
    <mergeCell ref="N59:AD59"/>
    <mergeCell ref="A60:B60"/>
    <mergeCell ref="F60:M60"/>
    <mergeCell ref="P60:Q60"/>
    <mergeCell ref="R60:U60"/>
    <mergeCell ref="V60:AD6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6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C7D3-91EA-4888-B230-FC99B3618C2B}">
  <sheetPr codeName="Sheet23">
    <pageSetUpPr fitToPage="1"/>
  </sheetPr>
  <dimension ref="A1:AF97"/>
  <sheetViews>
    <sheetView view="pageBreakPreview" topLeftCell="A44" zoomScale="70" zoomScaleNormal="72" zoomScaleSheetLayoutView="70" workbookViewId="0">
      <selection activeCell="A94" sqref="A94:B9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800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361" t="s">
        <v>17</v>
      </c>
      <c r="L5" s="361" t="s">
        <v>18</v>
      </c>
      <c r="M5" s="361" t="s">
        <v>19</v>
      </c>
      <c r="N5" s="36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597</v>
      </c>
      <c r="C6" s="34" t="s">
        <v>126</v>
      </c>
      <c r="D6" s="52" t="s">
        <v>127</v>
      </c>
      <c r="E6" s="53" t="s">
        <v>160</v>
      </c>
      <c r="F6" s="30" t="s">
        <v>162</v>
      </c>
      <c r="G6" s="12">
        <v>2</v>
      </c>
      <c r="H6" s="13">
        <v>24</v>
      </c>
      <c r="I6" s="31">
        <v>40000</v>
      </c>
      <c r="J6" s="14">
        <v>3000</v>
      </c>
      <c r="K6" s="15">
        <f>L6+10212+10998+10796+10946+3000</f>
        <v>45952</v>
      </c>
      <c r="L6" s="15"/>
      <c r="M6" s="15">
        <f t="shared" ref="M6:M31" si="0">L6-N6</f>
        <v>0</v>
      </c>
      <c r="N6" s="15">
        <v>0</v>
      </c>
      <c r="O6" s="58" t="str">
        <f t="shared" ref="O6:O32" si="1">IF(L6=0,"0",N6/L6)</f>
        <v>0</v>
      </c>
      <c r="P6" s="39" t="str">
        <f t="shared" ref="P6:P31" si="2">IF(L6=0,"0",(24-Q6))</f>
        <v>0</v>
      </c>
      <c r="Q6" s="40">
        <f t="shared" ref="Q6:Q3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31" si="4">IF(J6=0,"0",(L6/J6))</f>
        <v>0</v>
      </c>
      <c r="AC6" s="9">
        <f t="shared" ref="AC6:AC31" si="5">IF(P6=0,"0",(P6/24))</f>
        <v>0</v>
      </c>
      <c r="AD6" s="10">
        <f>AC6*AB6*(1-O6)</f>
        <v>0</v>
      </c>
      <c r="AE6" s="36">
        <f t="shared" ref="AE6:AE31" si="6">$AD$32</f>
        <v>0.49519230769230771</v>
      </c>
      <c r="AF6" s="81">
        <f t="shared" ref="AF6:AF31" si="7">A6</f>
        <v>1</v>
      </c>
    </row>
    <row r="7" spans="1:32" ht="27" customHeight="1">
      <c r="A7" s="106">
        <v>2</v>
      </c>
      <c r="B7" s="11" t="s">
        <v>57</v>
      </c>
      <c r="C7" s="34" t="s">
        <v>112</v>
      </c>
      <c r="D7" s="52" t="s">
        <v>138</v>
      </c>
      <c r="E7" s="53" t="s">
        <v>663</v>
      </c>
      <c r="F7" s="30" t="s">
        <v>137</v>
      </c>
      <c r="G7" s="12">
        <v>2</v>
      </c>
      <c r="H7" s="13">
        <v>24</v>
      </c>
      <c r="I7" s="31">
        <v>20000</v>
      </c>
      <c r="J7" s="14">
        <v>9962</v>
      </c>
      <c r="K7" s="15">
        <f>L7+10816+10480+9962</f>
        <v>31258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31" si="8">AC7*AB7*(1-O7)</f>
        <v>0</v>
      </c>
      <c r="AE7" s="36">
        <f t="shared" si="6"/>
        <v>0.49519230769230771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121</v>
      </c>
      <c r="E8" s="53" t="s">
        <v>783</v>
      </c>
      <c r="F8" s="30" t="s">
        <v>235</v>
      </c>
      <c r="G8" s="12">
        <v>1</v>
      </c>
      <c r="H8" s="13">
        <v>22</v>
      </c>
      <c r="I8" s="31">
        <v>250</v>
      </c>
      <c r="J8" s="5">
        <v>300</v>
      </c>
      <c r="K8" s="15">
        <f>L8</f>
        <v>300</v>
      </c>
      <c r="L8" s="15">
        <v>300</v>
      </c>
      <c r="M8" s="15">
        <f t="shared" si="0"/>
        <v>300</v>
      </c>
      <c r="N8" s="15">
        <v>0</v>
      </c>
      <c r="O8" s="58">
        <f t="shared" si="1"/>
        <v>0</v>
      </c>
      <c r="P8" s="39">
        <f t="shared" si="2"/>
        <v>4</v>
      </c>
      <c r="Q8" s="40">
        <f t="shared" si="3"/>
        <v>20</v>
      </c>
      <c r="R8" s="7"/>
      <c r="S8" s="6"/>
      <c r="T8" s="16"/>
      <c r="U8" s="16"/>
      <c r="V8" s="17"/>
      <c r="W8" s="5">
        <v>20</v>
      </c>
      <c r="X8" s="16"/>
      <c r="Y8" s="16"/>
      <c r="Z8" s="16"/>
      <c r="AA8" s="18"/>
      <c r="AB8" s="8">
        <f t="shared" si="4"/>
        <v>1</v>
      </c>
      <c r="AC8" s="9">
        <f t="shared" si="5"/>
        <v>0.16666666666666666</v>
      </c>
      <c r="AD8" s="10">
        <f t="shared" si="8"/>
        <v>0.16666666666666666</v>
      </c>
      <c r="AE8" s="36">
        <f t="shared" si="6"/>
        <v>0.49519230769230771</v>
      </c>
      <c r="AF8" s="81">
        <f t="shared" si="7"/>
        <v>3</v>
      </c>
    </row>
    <row r="9" spans="1:32" ht="27" customHeight="1">
      <c r="A9" s="92">
        <v>3</v>
      </c>
      <c r="B9" s="11" t="s">
        <v>597</v>
      </c>
      <c r="C9" s="34" t="s">
        <v>116</v>
      </c>
      <c r="D9" s="52" t="s">
        <v>806</v>
      </c>
      <c r="E9" s="53" t="s">
        <v>807</v>
      </c>
      <c r="F9" s="30" t="s">
        <v>235</v>
      </c>
      <c r="G9" s="12">
        <v>1</v>
      </c>
      <c r="H9" s="13">
        <v>22</v>
      </c>
      <c r="I9" s="31">
        <v>1500</v>
      </c>
      <c r="J9" s="5">
        <v>3170</v>
      </c>
      <c r="K9" s="15">
        <f>L9</f>
        <v>3170</v>
      </c>
      <c r="L9" s="15">
        <f>2300+870</f>
        <v>3170</v>
      </c>
      <c r="M9" s="15">
        <f t="shared" ref="M9" si="9">L9-N9</f>
        <v>3170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17</v>
      </c>
      <c r="Q9" s="40">
        <f t="shared" ref="Q9" si="12">SUM(R9:AA9)</f>
        <v>7</v>
      </c>
      <c r="R9" s="7"/>
      <c r="S9" s="6"/>
      <c r="T9" s="16">
        <v>7</v>
      </c>
      <c r="U9" s="16"/>
      <c r="V9" s="17"/>
      <c r="W9" s="5"/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0.70833333333333337</v>
      </c>
      <c r="AD9" s="10">
        <f t="shared" ref="AD9" si="15">AC9*AB9*(1-O9)</f>
        <v>0.70833333333333337</v>
      </c>
      <c r="AE9" s="36">
        <f t="shared" si="6"/>
        <v>0.49519230769230771</v>
      </c>
      <c r="AF9" s="81">
        <f t="shared" ref="AF9" si="16">A9</f>
        <v>3</v>
      </c>
    </row>
    <row r="10" spans="1:32" ht="27" customHeight="1">
      <c r="A10" s="92">
        <v>4</v>
      </c>
      <c r="B10" s="11" t="s">
        <v>57</v>
      </c>
      <c r="C10" s="34" t="s">
        <v>126</v>
      </c>
      <c r="D10" s="52" t="s">
        <v>157</v>
      </c>
      <c r="E10" s="53" t="s">
        <v>766</v>
      </c>
      <c r="F10" s="30" t="s">
        <v>267</v>
      </c>
      <c r="G10" s="12">
        <v>2</v>
      </c>
      <c r="H10" s="13">
        <v>24</v>
      </c>
      <c r="I10" s="7">
        <v>30000</v>
      </c>
      <c r="J10" s="14">
        <v>11598</v>
      </c>
      <c r="K10" s="15">
        <f>L10+10848</f>
        <v>22446</v>
      </c>
      <c r="L10" s="15">
        <f>2916*2+2883*2</f>
        <v>11598</v>
      </c>
      <c r="M10" s="15">
        <f t="shared" si="0"/>
        <v>11598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0.49519230769230771</v>
      </c>
      <c r="AF10" s="81">
        <f t="shared" si="7"/>
        <v>4</v>
      </c>
    </row>
    <row r="11" spans="1:32" ht="27" customHeight="1">
      <c r="A11" s="92">
        <v>5</v>
      </c>
      <c r="B11" s="11" t="s">
        <v>57</v>
      </c>
      <c r="C11" s="11" t="s">
        <v>112</v>
      </c>
      <c r="D11" s="52" t="s">
        <v>121</v>
      </c>
      <c r="E11" s="53" t="s">
        <v>152</v>
      </c>
      <c r="F11" s="30" t="s">
        <v>123</v>
      </c>
      <c r="G11" s="33">
        <v>1</v>
      </c>
      <c r="H11" s="35">
        <v>24</v>
      </c>
      <c r="I11" s="7">
        <v>115000</v>
      </c>
      <c r="J11" s="14">
        <v>4585</v>
      </c>
      <c r="K11" s="15">
        <f>L11+5338+5669+5744+4980+3619+1932+309+2790+5660+4715+1739+3127+5884+1203+3638+5732+5658+5217+2430+1897+5596+5715+3707+799+2709+2266+5086+3381+4392+5682+5705+5451+2998+2865</f>
        <v>138218</v>
      </c>
      <c r="L11" s="15">
        <f>2886+1699</f>
        <v>4585</v>
      </c>
      <c r="M11" s="15">
        <f t="shared" si="0"/>
        <v>4585</v>
      </c>
      <c r="N11" s="15">
        <v>0</v>
      </c>
      <c r="O11" s="58">
        <f t="shared" si="1"/>
        <v>0</v>
      </c>
      <c r="P11" s="39">
        <f t="shared" si="2"/>
        <v>21</v>
      </c>
      <c r="Q11" s="40">
        <f t="shared" si="3"/>
        <v>3</v>
      </c>
      <c r="R11" s="7"/>
      <c r="S11" s="6">
        <v>3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0.875</v>
      </c>
      <c r="AD11" s="10">
        <f t="shared" si="8"/>
        <v>0.875</v>
      </c>
      <c r="AE11" s="36">
        <f t="shared" si="6"/>
        <v>0.49519230769230771</v>
      </c>
      <c r="AF11" s="81">
        <f t="shared" si="7"/>
        <v>5</v>
      </c>
    </row>
    <row r="12" spans="1:32" ht="27" customHeight="1">
      <c r="A12" s="92">
        <v>6</v>
      </c>
      <c r="B12" s="11" t="s">
        <v>57</v>
      </c>
      <c r="C12" s="11" t="s">
        <v>112</v>
      </c>
      <c r="D12" s="52" t="s">
        <v>121</v>
      </c>
      <c r="E12" s="53" t="s">
        <v>303</v>
      </c>
      <c r="F12" s="30" t="s">
        <v>235</v>
      </c>
      <c r="G12" s="33">
        <v>2</v>
      </c>
      <c r="H12" s="35">
        <v>24</v>
      </c>
      <c r="I12" s="7">
        <v>60000</v>
      </c>
      <c r="J12" s="14">
        <v>10144</v>
      </c>
      <c r="K12" s="15">
        <f>L12+7651+9096+10744+10878+10346+10082+10778</f>
        <v>79719</v>
      </c>
      <c r="L12" s="15">
        <f>2373*2+2699*2</f>
        <v>10144</v>
      </c>
      <c r="M12" s="15">
        <f t="shared" si="0"/>
        <v>10144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0.49519230769230771</v>
      </c>
      <c r="AF12" s="81">
        <f t="shared" si="7"/>
        <v>6</v>
      </c>
    </row>
    <row r="13" spans="1:32" ht="27" customHeight="1">
      <c r="A13" s="92">
        <v>7</v>
      </c>
      <c r="B13" s="11" t="s">
        <v>57</v>
      </c>
      <c r="C13" s="34" t="s">
        <v>116</v>
      </c>
      <c r="D13" s="52" t="s">
        <v>115</v>
      </c>
      <c r="E13" s="53" t="s">
        <v>222</v>
      </c>
      <c r="F13" s="30" t="s">
        <v>205</v>
      </c>
      <c r="G13" s="12">
        <v>1</v>
      </c>
      <c r="H13" s="13">
        <v>22</v>
      </c>
      <c r="I13" s="31">
        <v>40000</v>
      </c>
      <c r="J13" s="5">
        <v>4314</v>
      </c>
      <c r="K13" s="15">
        <f>L13+2299+960</f>
        <v>7573</v>
      </c>
      <c r="L13" s="15">
        <f>2618+1696</f>
        <v>4314</v>
      </c>
      <c r="M13" s="15">
        <f t="shared" si="0"/>
        <v>4314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 t="shared" si="8"/>
        <v>0.83333333333333337</v>
      </c>
      <c r="AE13" s="36">
        <f t="shared" si="6"/>
        <v>0.49519230769230771</v>
      </c>
      <c r="AF13" s="81">
        <f t="shared" si="7"/>
        <v>7</v>
      </c>
    </row>
    <row r="14" spans="1:32" ht="27" customHeight="1">
      <c r="A14" s="92">
        <v>8</v>
      </c>
      <c r="B14" s="11" t="s">
        <v>57</v>
      </c>
      <c r="C14" s="11" t="s">
        <v>126</v>
      </c>
      <c r="D14" s="52" t="s">
        <v>680</v>
      </c>
      <c r="E14" s="53" t="s">
        <v>808</v>
      </c>
      <c r="F14" s="30" t="s">
        <v>122</v>
      </c>
      <c r="G14" s="33" t="s">
        <v>809</v>
      </c>
      <c r="H14" s="35">
        <v>22</v>
      </c>
      <c r="I14" s="7">
        <v>500</v>
      </c>
      <c r="J14" s="14">
        <v>1528</v>
      </c>
      <c r="K14" s="15">
        <f>L14</f>
        <v>1528</v>
      </c>
      <c r="L14" s="15">
        <v>1528</v>
      </c>
      <c r="M14" s="15">
        <f t="shared" si="0"/>
        <v>1528</v>
      </c>
      <c r="N14" s="15">
        <v>0</v>
      </c>
      <c r="O14" s="58">
        <f t="shared" si="1"/>
        <v>0</v>
      </c>
      <c r="P14" s="39">
        <f t="shared" si="2"/>
        <v>9</v>
      </c>
      <c r="Q14" s="40">
        <f t="shared" si="3"/>
        <v>15</v>
      </c>
      <c r="R14" s="7"/>
      <c r="S14" s="6"/>
      <c r="T14" s="16"/>
      <c r="U14" s="16"/>
      <c r="V14" s="17"/>
      <c r="W14" s="5">
        <v>15</v>
      </c>
      <c r="X14" s="16"/>
      <c r="Y14" s="16"/>
      <c r="Z14" s="16"/>
      <c r="AA14" s="18"/>
      <c r="AB14" s="8">
        <f t="shared" si="4"/>
        <v>1</v>
      </c>
      <c r="AC14" s="9">
        <f t="shared" si="5"/>
        <v>0.375</v>
      </c>
      <c r="AD14" s="10">
        <f t="shared" si="8"/>
        <v>0.375</v>
      </c>
      <c r="AE14" s="36">
        <f t="shared" si="6"/>
        <v>0.49519230769230771</v>
      </c>
      <c r="AF14" s="81">
        <f t="shared" si="7"/>
        <v>8</v>
      </c>
    </row>
    <row r="15" spans="1:32" ht="27" customHeight="1">
      <c r="A15" s="92">
        <v>8</v>
      </c>
      <c r="B15" s="11" t="s">
        <v>57</v>
      </c>
      <c r="C15" s="11" t="s">
        <v>126</v>
      </c>
      <c r="D15" s="52" t="s">
        <v>680</v>
      </c>
      <c r="E15" s="53" t="s">
        <v>810</v>
      </c>
      <c r="F15" s="30" t="s">
        <v>267</v>
      </c>
      <c r="G15" s="33" t="s">
        <v>809</v>
      </c>
      <c r="H15" s="35">
        <v>22</v>
      </c>
      <c r="I15" s="7">
        <v>2000</v>
      </c>
      <c r="J15" s="14">
        <v>1815</v>
      </c>
      <c r="K15" s="15">
        <f>L15</f>
        <v>1815</v>
      </c>
      <c r="L15" s="15">
        <f>1815</f>
        <v>1815</v>
      </c>
      <c r="M15" s="15">
        <f t="shared" ref="M15" si="17">L15-N15</f>
        <v>1815</v>
      </c>
      <c r="N15" s="15">
        <v>0</v>
      </c>
      <c r="O15" s="58">
        <f t="shared" ref="O15" si="18">IF(L15=0,"0",N15/L15)</f>
        <v>0</v>
      </c>
      <c r="P15" s="39">
        <f t="shared" ref="P15" si="19">IF(L15=0,"0",(24-Q15))</f>
        <v>13</v>
      </c>
      <c r="Q15" s="40">
        <f t="shared" ref="Q15" si="20">SUM(R15:AA15)</f>
        <v>11</v>
      </c>
      <c r="R15" s="7"/>
      <c r="S15" s="6"/>
      <c r="T15" s="16">
        <v>11</v>
      </c>
      <c r="U15" s="16"/>
      <c r="V15" s="17"/>
      <c r="W15" s="5"/>
      <c r="X15" s="16"/>
      <c r="Y15" s="16"/>
      <c r="Z15" s="16"/>
      <c r="AA15" s="18"/>
      <c r="AB15" s="8">
        <f t="shared" ref="AB15" si="21">IF(J15=0,"0",(L15/J15))</f>
        <v>1</v>
      </c>
      <c r="AC15" s="9">
        <f t="shared" ref="AC15" si="22">IF(P15=0,"0",(P15/24))</f>
        <v>0.54166666666666663</v>
      </c>
      <c r="AD15" s="10">
        <f t="shared" ref="AD15" si="23">AC15*AB15*(1-O15)</f>
        <v>0.54166666666666663</v>
      </c>
      <c r="AE15" s="36">
        <f t="shared" si="6"/>
        <v>0.49519230769230771</v>
      </c>
      <c r="AF15" s="81">
        <f t="shared" ref="AF15" si="24">A15</f>
        <v>8</v>
      </c>
    </row>
    <row r="16" spans="1:32" ht="27" customHeight="1">
      <c r="A16" s="99">
        <v>9</v>
      </c>
      <c r="B16" s="11" t="s">
        <v>57</v>
      </c>
      <c r="C16" s="34" t="s">
        <v>163</v>
      </c>
      <c r="D16" s="52" t="s">
        <v>115</v>
      </c>
      <c r="E16" s="53" t="s">
        <v>727</v>
      </c>
      <c r="F16" s="30" t="s">
        <v>158</v>
      </c>
      <c r="G16" s="33">
        <v>1</v>
      </c>
      <c r="H16" s="35">
        <v>50</v>
      </c>
      <c r="I16" s="7">
        <v>100</v>
      </c>
      <c r="J16" s="5">
        <v>150</v>
      </c>
      <c r="K16" s="15">
        <f>L16+150</f>
        <v>150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0.49519230769230771</v>
      </c>
      <c r="AF16" s="81">
        <f t="shared" si="7"/>
        <v>9</v>
      </c>
    </row>
    <row r="17" spans="1:32" ht="27" customHeight="1">
      <c r="A17" s="106">
        <v>10</v>
      </c>
      <c r="B17" s="11" t="s">
        <v>57</v>
      </c>
      <c r="C17" s="34" t="s">
        <v>112</v>
      </c>
      <c r="D17" s="52" t="s">
        <v>138</v>
      </c>
      <c r="E17" s="53" t="s">
        <v>599</v>
      </c>
      <c r="F17" s="30" t="s">
        <v>139</v>
      </c>
      <c r="G17" s="12">
        <v>2</v>
      </c>
      <c r="H17" s="13">
        <v>24</v>
      </c>
      <c r="I17" s="31">
        <f>74000+25000</f>
        <v>99000</v>
      </c>
      <c r="J17" s="14">
        <v>12086</v>
      </c>
      <c r="K17" s="15">
        <f>L17+8206+11870+12258+12474+11882+10946+12064</f>
        <v>91786</v>
      </c>
      <c r="L17" s="15">
        <f>3051*2+2992*2</f>
        <v>12086</v>
      </c>
      <c r="M17" s="15">
        <f t="shared" si="0"/>
        <v>12086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0.49519230769230771</v>
      </c>
      <c r="AF17" s="81">
        <f t="shared" si="7"/>
        <v>10</v>
      </c>
    </row>
    <row r="18" spans="1:32" ht="27" customHeight="1">
      <c r="A18" s="92">
        <v>11</v>
      </c>
      <c r="B18" s="11" t="s">
        <v>57</v>
      </c>
      <c r="C18" s="34" t="s">
        <v>112</v>
      </c>
      <c r="D18" s="52" t="s">
        <v>159</v>
      </c>
      <c r="E18" s="53" t="s">
        <v>234</v>
      </c>
      <c r="F18" s="30" t="s">
        <v>235</v>
      </c>
      <c r="G18" s="12">
        <v>2</v>
      </c>
      <c r="H18" s="13">
        <v>22</v>
      </c>
      <c r="I18" s="31">
        <v>72000</v>
      </c>
      <c r="J18" s="5">
        <v>10810</v>
      </c>
      <c r="K18" s="15">
        <f>L18+4453+8440+10782+9098+8530+6582+6076+10824</f>
        <v>75595</v>
      </c>
      <c r="L18" s="15">
        <f>2682*2+2723*2</f>
        <v>10810</v>
      </c>
      <c r="M18" s="15">
        <f t="shared" si="0"/>
        <v>10810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0.49519230769230771</v>
      </c>
      <c r="AF18" s="81">
        <f t="shared" si="7"/>
        <v>11</v>
      </c>
    </row>
    <row r="19" spans="1:32" ht="27" customHeight="1">
      <c r="A19" s="106">
        <v>12</v>
      </c>
      <c r="B19" s="11" t="s">
        <v>57</v>
      </c>
      <c r="C19" s="34" t="s">
        <v>668</v>
      </c>
      <c r="D19" s="52"/>
      <c r="E19" s="53" t="s">
        <v>667</v>
      </c>
      <c r="F19" s="30" t="s">
        <v>683</v>
      </c>
      <c r="G19" s="12">
        <v>1</v>
      </c>
      <c r="H19" s="13">
        <v>24</v>
      </c>
      <c r="I19" s="7">
        <f>7000+19000</f>
        <v>26000</v>
      </c>
      <c r="J19" s="14">
        <v>5649</v>
      </c>
      <c r="K19" s="15">
        <f>L19+3864+5352+5158+5637</f>
        <v>25660</v>
      </c>
      <c r="L19" s="15">
        <f>2823+2826</f>
        <v>5649</v>
      </c>
      <c r="M19" s="15">
        <f t="shared" si="0"/>
        <v>5649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0.49519230769230771</v>
      </c>
      <c r="AF19" s="81">
        <f t="shared" si="7"/>
        <v>12</v>
      </c>
    </row>
    <row r="20" spans="1:32" ht="27" customHeight="1">
      <c r="A20" s="92">
        <v>13</v>
      </c>
      <c r="B20" s="11" t="s">
        <v>57</v>
      </c>
      <c r="C20" s="34" t="s">
        <v>668</v>
      </c>
      <c r="D20" s="52"/>
      <c r="E20" s="53" t="s">
        <v>786</v>
      </c>
      <c r="F20" s="30" t="s">
        <v>136</v>
      </c>
      <c r="G20" s="12">
        <v>1</v>
      </c>
      <c r="H20" s="13">
        <v>22</v>
      </c>
      <c r="I20" s="31">
        <v>3000</v>
      </c>
      <c r="J20" s="5">
        <v>4406</v>
      </c>
      <c r="K20" s="15">
        <f>L20</f>
        <v>4406</v>
      </c>
      <c r="L20" s="15">
        <f>1692+2714</f>
        <v>4406</v>
      </c>
      <c r="M20" s="15">
        <f t="shared" si="0"/>
        <v>4406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8"/>
        <v>0.875</v>
      </c>
      <c r="AE20" s="36">
        <f t="shared" si="6"/>
        <v>0.49519230769230771</v>
      </c>
      <c r="AF20" s="81">
        <f t="shared" si="7"/>
        <v>13</v>
      </c>
    </row>
    <row r="21" spans="1:32" ht="27" customHeight="1">
      <c r="A21" s="92">
        <v>14</v>
      </c>
      <c r="B21" s="11" t="s">
        <v>57</v>
      </c>
      <c r="C21" s="11" t="s">
        <v>116</v>
      </c>
      <c r="D21" s="52" t="s">
        <v>157</v>
      </c>
      <c r="E21" s="53" t="s">
        <v>587</v>
      </c>
      <c r="F21" s="30" t="s">
        <v>158</v>
      </c>
      <c r="G21" s="33">
        <v>1</v>
      </c>
      <c r="H21" s="35">
        <v>24</v>
      </c>
      <c r="I21" s="7">
        <v>20000</v>
      </c>
      <c r="J21" s="14">
        <v>5081</v>
      </c>
      <c r="K21" s="15">
        <f>L21+4287+5676+5081</f>
        <v>15044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0.49519230769230771</v>
      </c>
      <c r="AF21" s="81">
        <f t="shared" si="7"/>
        <v>14</v>
      </c>
    </row>
    <row r="22" spans="1:32" ht="27" customHeight="1">
      <c r="A22" s="106">
        <v>15</v>
      </c>
      <c r="B22" s="11" t="s">
        <v>57</v>
      </c>
      <c r="C22" s="11" t="s">
        <v>112</v>
      </c>
      <c r="D22" s="52" t="s">
        <v>115</v>
      </c>
      <c r="E22" s="53" t="s">
        <v>143</v>
      </c>
      <c r="F22" s="30" t="s">
        <v>136</v>
      </c>
      <c r="G22" s="33">
        <v>1</v>
      </c>
      <c r="H22" s="35">
        <v>24</v>
      </c>
      <c r="I22" s="7">
        <v>70000</v>
      </c>
      <c r="J22" s="14">
        <v>5464</v>
      </c>
      <c r="K22" s="15">
        <f>L22+3150+7466+4534+7764+11032+11156+11220+10030+4886+5156</f>
        <v>81858</v>
      </c>
      <c r="L22" s="15">
        <f>2777+2687</f>
        <v>5464</v>
      </c>
      <c r="M22" s="15">
        <f t="shared" si="0"/>
        <v>5464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8"/>
        <v>1</v>
      </c>
      <c r="AE22" s="36">
        <f t="shared" si="6"/>
        <v>0.49519230769230771</v>
      </c>
      <c r="AF22" s="81">
        <f t="shared" si="7"/>
        <v>15</v>
      </c>
    </row>
    <row r="23" spans="1:32" ht="26.25" customHeight="1">
      <c r="A23" s="92">
        <v>16</v>
      </c>
      <c r="B23" s="11" t="s">
        <v>57</v>
      </c>
      <c r="C23" s="11" t="s">
        <v>113</v>
      </c>
      <c r="D23" s="52"/>
      <c r="E23" s="53" t="s">
        <v>146</v>
      </c>
      <c r="F23" s="12" t="s">
        <v>114</v>
      </c>
      <c r="G23" s="12">
        <v>3</v>
      </c>
      <c r="H23" s="35">
        <v>20</v>
      </c>
      <c r="I23" s="7">
        <v>2000000</v>
      </c>
      <c r="J23" s="14">
        <v>64704</v>
      </c>
      <c r="K23" s="15">
        <f>L23+57172+63944+63948+58884+57396+63564+64736+63568+59200+55380+64440</f>
        <v>736936</v>
      </c>
      <c r="L23" s="15">
        <f>8102*4+8074*4</f>
        <v>64704</v>
      </c>
      <c r="M23" s="15">
        <f t="shared" si="0"/>
        <v>64704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8"/>
        <v>1</v>
      </c>
      <c r="AE23" s="36">
        <f t="shared" si="6"/>
        <v>0.49519230769230771</v>
      </c>
      <c r="AF23" s="81">
        <f t="shared" si="7"/>
        <v>16</v>
      </c>
    </row>
    <row r="24" spans="1:32" ht="26.25" customHeight="1">
      <c r="A24" s="307">
        <v>17</v>
      </c>
      <c r="B24" s="11" t="s">
        <v>57</v>
      </c>
      <c r="C24" s="11"/>
      <c r="D24" s="52"/>
      <c r="E24" s="53"/>
      <c r="F24" s="12"/>
      <c r="G24" s="12"/>
      <c r="H24" s="35"/>
      <c r="I24" s="7">
        <v>0</v>
      </c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0.49519230769230771</v>
      </c>
      <c r="AF24" s="81">
        <f t="shared" si="7"/>
        <v>17</v>
      </c>
    </row>
    <row r="25" spans="1:32" ht="26.25" customHeight="1">
      <c r="A25" s="307">
        <v>18</v>
      </c>
      <c r="B25" s="11" t="s">
        <v>57</v>
      </c>
      <c r="C25" s="11" t="s">
        <v>116</v>
      </c>
      <c r="D25" s="52" t="s">
        <v>600</v>
      </c>
      <c r="E25" s="53" t="s">
        <v>601</v>
      </c>
      <c r="F25" s="12" t="s">
        <v>602</v>
      </c>
      <c r="G25" s="12">
        <v>4</v>
      </c>
      <c r="H25" s="35">
        <v>15</v>
      </c>
      <c r="I25" s="7">
        <v>6000</v>
      </c>
      <c r="J25" s="14">
        <v>12588</v>
      </c>
      <c r="K25" s="15">
        <f>L25+2732</f>
        <v>15320</v>
      </c>
      <c r="L25" s="15">
        <f>4487*2+1807*2</f>
        <v>12588</v>
      </c>
      <c r="M25" s="15">
        <f t="shared" si="0"/>
        <v>12588</v>
      </c>
      <c r="N25" s="15">
        <v>0</v>
      </c>
      <c r="O25" s="58">
        <f t="shared" si="1"/>
        <v>0</v>
      </c>
      <c r="P25" s="39">
        <f t="shared" si="2"/>
        <v>16</v>
      </c>
      <c r="Q25" s="40">
        <f t="shared" si="3"/>
        <v>8</v>
      </c>
      <c r="R25" s="7"/>
      <c r="S25" s="6">
        <v>8</v>
      </c>
      <c r="T25" s="16"/>
      <c r="U25" s="16"/>
      <c r="V25" s="17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0.66666666666666663</v>
      </c>
      <c r="AD25" s="10">
        <f t="shared" si="8"/>
        <v>0.66666666666666663</v>
      </c>
      <c r="AE25" s="36">
        <f t="shared" si="6"/>
        <v>0.49519230769230771</v>
      </c>
      <c r="AF25" s="81">
        <f t="shared" si="7"/>
        <v>18</v>
      </c>
    </row>
    <row r="26" spans="1:32" ht="21.75" customHeight="1">
      <c r="A26" s="92">
        <v>31</v>
      </c>
      <c r="B26" s="11" t="s">
        <v>57</v>
      </c>
      <c r="C26" s="11" t="s">
        <v>116</v>
      </c>
      <c r="D26" s="52" t="s">
        <v>115</v>
      </c>
      <c r="E26" s="53" t="s">
        <v>149</v>
      </c>
      <c r="F26" s="12" t="s">
        <v>136</v>
      </c>
      <c r="G26" s="12">
        <v>4</v>
      </c>
      <c r="H26" s="35">
        <v>20</v>
      </c>
      <c r="I26" s="7">
        <v>70000</v>
      </c>
      <c r="J26" s="14">
        <v>22300</v>
      </c>
      <c r="K26" s="15">
        <f>L26+22300</f>
        <v>22300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7">
        <v>24</v>
      </c>
      <c r="W26" s="5"/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0.49519230769230771</v>
      </c>
      <c r="AF26" s="81">
        <f t="shared" si="7"/>
        <v>31</v>
      </c>
    </row>
    <row r="27" spans="1:32" ht="21.75" customHeight="1">
      <c r="A27" s="92">
        <v>32</v>
      </c>
      <c r="B27" s="11" t="s">
        <v>57</v>
      </c>
      <c r="C27" s="11" t="s">
        <v>801</v>
      </c>
      <c r="D27" s="52"/>
      <c r="E27" s="53" t="s">
        <v>802</v>
      </c>
      <c r="F27" s="12" t="s">
        <v>803</v>
      </c>
      <c r="G27" s="12">
        <v>32</v>
      </c>
      <c r="H27" s="35">
        <v>20</v>
      </c>
      <c r="I27" s="7">
        <v>1000000</v>
      </c>
      <c r="J27" s="14">
        <v>75400</v>
      </c>
      <c r="K27" s="15">
        <f t="shared" ref="K27" si="25">L27</f>
        <v>75400</v>
      </c>
      <c r="L27" s="15">
        <f>3770*20</f>
        <v>75400</v>
      </c>
      <c r="M27" s="15">
        <f t="shared" si="0"/>
        <v>75400</v>
      </c>
      <c r="N27" s="15">
        <v>0</v>
      </c>
      <c r="O27" s="58">
        <f t="shared" si="1"/>
        <v>0</v>
      </c>
      <c r="P27" s="39">
        <f t="shared" si="2"/>
        <v>5</v>
      </c>
      <c r="Q27" s="40">
        <f t="shared" si="3"/>
        <v>19</v>
      </c>
      <c r="R27" s="7"/>
      <c r="S27" s="6">
        <v>19</v>
      </c>
      <c r="T27" s="16"/>
      <c r="U27" s="16"/>
      <c r="V27" s="17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0.20833333333333334</v>
      </c>
      <c r="AD27" s="10">
        <f t="shared" si="8"/>
        <v>0.20833333333333334</v>
      </c>
      <c r="AE27" s="36">
        <f t="shared" si="6"/>
        <v>0.49519230769230771</v>
      </c>
      <c r="AF27" s="81">
        <f t="shared" si="7"/>
        <v>32</v>
      </c>
    </row>
    <row r="28" spans="1:32" ht="21.75" customHeight="1">
      <c r="A28" s="92">
        <v>33</v>
      </c>
      <c r="B28" s="11" t="s">
        <v>57</v>
      </c>
      <c r="C28" s="11" t="s">
        <v>116</v>
      </c>
      <c r="D28" s="52" t="s">
        <v>121</v>
      </c>
      <c r="E28" s="53" t="s">
        <v>804</v>
      </c>
      <c r="F28" s="12" t="s">
        <v>136</v>
      </c>
      <c r="G28" s="12">
        <v>3</v>
      </c>
      <c r="H28" s="35">
        <v>20</v>
      </c>
      <c r="I28" s="7">
        <v>4000</v>
      </c>
      <c r="J28" s="14">
        <v>3951</v>
      </c>
      <c r="K28" s="15">
        <f>L28</f>
        <v>3951</v>
      </c>
      <c r="L28" s="15">
        <f>1317*3</f>
        <v>3951</v>
      </c>
      <c r="M28" s="15">
        <f t="shared" si="0"/>
        <v>3951</v>
      </c>
      <c r="N28" s="15">
        <v>0</v>
      </c>
      <c r="O28" s="58">
        <f t="shared" si="1"/>
        <v>0</v>
      </c>
      <c r="P28" s="39">
        <f t="shared" si="2"/>
        <v>5</v>
      </c>
      <c r="Q28" s="40">
        <f t="shared" si="3"/>
        <v>19</v>
      </c>
      <c r="R28" s="7"/>
      <c r="S28" s="6">
        <v>19</v>
      </c>
      <c r="T28" s="16"/>
      <c r="U28" s="16"/>
      <c r="V28" s="114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0.20833333333333334</v>
      </c>
      <c r="AD28" s="10">
        <f t="shared" si="8"/>
        <v>0.20833333333333334</v>
      </c>
      <c r="AE28" s="36">
        <f t="shared" si="6"/>
        <v>0.49519230769230771</v>
      </c>
      <c r="AF28" s="81">
        <f t="shared" si="7"/>
        <v>33</v>
      </c>
    </row>
    <row r="29" spans="1:32" ht="21.75" customHeight="1">
      <c r="A29" s="92">
        <v>34</v>
      </c>
      <c r="B29" s="11" t="s">
        <v>57</v>
      </c>
      <c r="C29" s="11" t="s">
        <v>116</v>
      </c>
      <c r="D29" s="52" t="s">
        <v>115</v>
      </c>
      <c r="E29" s="53" t="s">
        <v>805</v>
      </c>
      <c r="F29" s="12" t="s">
        <v>124</v>
      </c>
      <c r="G29" s="12">
        <v>4</v>
      </c>
      <c r="H29" s="35">
        <v>20</v>
      </c>
      <c r="I29" s="7">
        <v>4000</v>
      </c>
      <c r="J29" s="14">
        <v>8984</v>
      </c>
      <c r="K29" s="15">
        <f>L29</f>
        <v>8984</v>
      </c>
      <c r="L29" s="15">
        <f>2246*4</f>
        <v>8984</v>
      </c>
      <c r="M29" s="15">
        <f t="shared" si="0"/>
        <v>8984</v>
      </c>
      <c r="N29" s="15">
        <v>0</v>
      </c>
      <c r="O29" s="58">
        <f t="shared" si="1"/>
        <v>0</v>
      </c>
      <c r="P29" s="39">
        <f t="shared" si="2"/>
        <v>10</v>
      </c>
      <c r="Q29" s="40">
        <f t="shared" si="3"/>
        <v>14</v>
      </c>
      <c r="R29" s="7"/>
      <c r="S29" s="6"/>
      <c r="T29" s="16"/>
      <c r="U29" s="16"/>
      <c r="V29" s="114"/>
      <c r="W29" s="5">
        <v>14</v>
      </c>
      <c r="X29" s="16"/>
      <c r="Y29" s="16"/>
      <c r="Z29" s="16"/>
      <c r="AA29" s="18"/>
      <c r="AB29" s="8">
        <f t="shared" si="4"/>
        <v>1</v>
      </c>
      <c r="AC29" s="9">
        <f t="shared" si="5"/>
        <v>0.41666666666666669</v>
      </c>
      <c r="AD29" s="10">
        <f t="shared" si="8"/>
        <v>0.41666666666666669</v>
      </c>
      <c r="AE29" s="36">
        <f t="shared" si="6"/>
        <v>0.49519230769230771</v>
      </c>
      <c r="AF29" s="81">
        <f t="shared" si="7"/>
        <v>34</v>
      </c>
    </row>
    <row r="30" spans="1:32" ht="21.75" customHeight="1">
      <c r="A30" s="92">
        <v>35</v>
      </c>
      <c r="B30" s="11" t="s">
        <v>57</v>
      </c>
      <c r="C30" s="11" t="s">
        <v>116</v>
      </c>
      <c r="D30" s="52" t="s">
        <v>121</v>
      </c>
      <c r="E30" s="53" t="s">
        <v>125</v>
      </c>
      <c r="F30" s="12" t="s">
        <v>124</v>
      </c>
      <c r="G30" s="12">
        <v>4</v>
      </c>
      <c r="H30" s="35">
        <v>20</v>
      </c>
      <c r="I30" s="7">
        <v>50000</v>
      </c>
      <c r="J30" s="14">
        <v>26944</v>
      </c>
      <c r="K30" s="15">
        <f>L30+24592+26944+21716</f>
        <v>73252</v>
      </c>
      <c r="L30" s="15"/>
      <c r="M30" s="15">
        <f t="shared" si="0"/>
        <v>0</v>
      </c>
      <c r="N30" s="15">
        <v>0</v>
      </c>
      <c r="O30" s="58" t="str">
        <f t="shared" si="1"/>
        <v>0</v>
      </c>
      <c r="P30" s="39" t="str">
        <f t="shared" si="2"/>
        <v>0</v>
      </c>
      <c r="Q30" s="40">
        <f t="shared" si="3"/>
        <v>24</v>
      </c>
      <c r="R30" s="7"/>
      <c r="S30" s="6"/>
      <c r="T30" s="16"/>
      <c r="U30" s="16"/>
      <c r="V30" s="114"/>
      <c r="W30" s="5">
        <v>24</v>
      </c>
      <c r="X30" s="16"/>
      <c r="Y30" s="16"/>
      <c r="Z30" s="16"/>
      <c r="AA30" s="18"/>
      <c r="AB30" s="8">
        <f t="shared" si="4"/>
        <v>0</v>
      </c>
      <c r="AC30" s="9">
        <f t="shared" si="5"/>
        <v>0</v>
      </c>
      <c r="AD30" s="10">
        <f t="shared" si="8"/>
        <v>0</v>
      </c>
      <c r="AE30" s="36">
        <f t="shared" si="6"/>
        <v>0.49519230769230771</v>
      </c>
      <c r="AF30" s="81">
        <f t="shared" si="7"/>
        <v>35</v>
      </c>
    </row>
    <row r="31" spans="1:32" ht="21.75" customHeight="1" thickBot="1">
      <c r="A31" s="92">
        <v>36</v>
      </c>
      <c r="B31" s="11" t="s">
        <v>57</v>
      </c>
      <c r="C31" s="11" t="s">
        <v>113</v>
      </c>
      <c r="D31" s="52"/>
      <c r="E31" s="53" t="s">
        <v>150</v>
      </c>
      <c r="F31" s="12" t="s">
        <v>114</v>
      </c>
      <c r="G31" s="12">
        <v>4</v>
      </c>
      <c r="H31" s="35">
        <v>20</v>
      </c>
      <c r="I31" s="7">
        <v>1000000</v>
      </c>
      <c r="J31" s="14">
        <v>79328</v>
      </c>
      <c r="K31" s="15">
        <f>L31+28388+70816+76368+81764+83428+47688+53180+83092+82192+79328</f>
        <v>686244</v>
      </c>
      <c r="L31" s="15"/>
      <c r="M31" s="15">
        <f t="shared" si="0"/>
        <v>0</v>
      </c>
      <c r="N31" s="15">
        <v>0</v>
      </c>
      <c r="O31" s="58" t="str">
        <f t="shared" si="1"/>
        <v>0</v>
      </c>
      <c r="P31" s="39" t="str">
        <f t="shared" si="2"/>
        <v>0</v>
      </c>
      <c r="Q31" s="40">
        <f t="shared" si="3"/>
        <v>24</v>
      </c>
      <c r="R31" s="7"/>
      <c r="S31" s="6"/>
      <c r="T31" s="16"/>
      <c r="U31" s="16"/>
      <c r="V31" s="114">
        <v>24</v>
      </c>
      <c r="W31" s="5"/>
      <c r="X31" s="16"/>
      <c r="Y31" s="16"/>
      <c r="Z31" s="16"/>
      <c r="AA31" s="18"/>
      <c r="AB31" s="8">
        <f t="shared" si="4"/>
        <v>0</v>
      </c>
      <c r="AC31" s="9">
        <f t="shared" si="5"/>
        <v>0</v>
      </c>
      <c r="AD31" s="10">
        <f t="shared" si="8"/>
        <v>0</v>
      </c>
      <c r="AE31" s="36">
        <f t="shared" si="6"/>
        <v>0.49519230769230771</v>
      </c>
      <c r="AF31" s="81">
        <f t="shared" si="7"/>
        <v>36</v>
      </c>
    </row>
    <row r="32" spans="1:32" ht="19.5" thickBot="1">
      <c r="A32" s="478" t="s">
        <v>34</v>
      </c>
      <c r="B32" s="479"/>
      <c r="C32" s="479"/>
      <c r="D32" s="479"/>
      <c r="E32" s="479"/>
      <c r="F32" s="479"/>
      <c r="G32" s="479"/>
      <c r="H32" s="480"/>
      <c r="I32" s="22">
        <f t="shared" ref="I32:N32" si="26">SUM(I6:I31)</f>
        <v>4733350</v>
      </c>
      <c r="J32" s="19">
        <f t="shared" si="26"/>
        <v>388261</v>
      </c>
      <c r="K32" s="20">
        <f t="shared" si="26"/>
        <v>2248865</v>
      </c>
      <c r="L32" s="21">
        <f t="shared" si="26"/>
        <v>241496</v>
      </c>
      <c r="M32" s="20">
        <f t="shared" si="26"/>
        <v>241496</v>
      </c>
      <c r="N32" s="21">
        <f t="shared" si="26"/>
        <v>0</v>
      </c>
      <c r="O32" s="41">
        <f t="shared" si="1"/>
        <v>0</v>
      </c>
      <c r="P32" s="42">
        <f t="shared" ref="P32:AA32" si="27">SUM(P6:P31)</f>
        <v>309</v>
      </c>
      <c r="Q32" s="43">
        <f t="shared" si="27"/>
        <v>315</v>
      </c>
      <c r="R32" s="23">
        <f t="shared" si="27"/>
        <v>0</v>
      </c>
      <c r="S32" s="24">
        <f t="shared" si="27"/>
        <v>104</v>
      </c>
      <c r="T32" s="24">
        <f t="shared" si="27"/>
        <v>18</v>
      </c>
      <c r="U32" s="24">
        <f t="shared" si="27"/>
        <v>0</v>
      </c>
      <c r="V32" s="25">
        <f t="shared" si="27"/>
        <v>48</v>
      </c>
      <c r="W32" s="26">
        <f t="shared" si="27"/>
        <v>97</v>
      </c>
      <c r="X32" s="27">
        <f t="shared" si="27"/>
        <v>0</v>
      </c>
      <c r="Y32" s="27">
        <f t="shared" si="27"/>
        <v>0</v>
      </c>
      <c r="Z32" s="27">
        <f t="shared" si="27"/>
        <v>0</v>
      </c>
      <c r="AA32" s="27">
        <f t="shared" si="27"/>
        <v>48</v>
      </c>
      <c r="AB32" s="28">
        <f>AVERAGE(AB6:AB31)</f>
        <v>0.72</v>
      </c>
      <c r="AC32" s="4">
        <f>AVERAGE(AC6:AC31)</f>
        <v>0.49519230769230771</v>
      </c>
      <c r="AD32" s="4">
        <f>AVERAGE(AD6:AD31)</f>
        <v>0.49519230769230771</v>
      </c>
      <c r="AE32" s="29"/>
    </row>
    <row r="33" spans="1:32">
      <c r="T33" s="50" t="s">
        <v>128</v>
      </c>
    </row>
    <row r="34" spans="1:32" ht="18.75">
      <c r="A34" s="2"/>
      <c r="B34" s="2" t="s">
        <v>35</v>
      </c>
      <c r="C34" s="2"/>
      <c r="D34" s="2"/>
      <c r="E34" s="2"/>
      <c r="F34" s="2"/>
      <c r="G34" s="2"/>
      <c r="H34" s="3"/>
      <c r="I34" s="3"/>
      <c r="J34" s="2"/>
      <c r="K34" s="2"/>
      <c r="L34" s="2"/>
      <c r="M34" s="2"/>
      <c r="N34" s="2" t="s">
        <v>36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1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 t="s">
        <v>129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spans="1:3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82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7">
      <c r="A49" s="59"/>
      <c r="B49" s="59"/>
      <c r="C49" s="59"/>
      <c r="D49" s="59"/>
      <c r="E49" s="59"/>
      <c r="F49" s="37"/>
      <c r="G49" s="37"/>
      <c r="H49" s="38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F49" s="50"/>
    </row>
    <row r="50" spans="1:32" ht="29.25" customHeight="1">
      <c r="A50" s="60"/>
      <c r="B50" s="60"/>
      <c r="C50" s="61"/>
      <c r="D50" s="61"/>
      <c r="E50" s="61"/>
      <c r="F50" s="60"/>
      <c r="G50" s="60"/>
      <c r="H50" s="60"/>
      <c r="I50" s="60"/>
      <c r="J50" s="60"/>
      <c r="K50" s="60"/>
      <c r="L50" s="60"/>
      <c r="M50" s="61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29.25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29.25" customHeight="1">
      <c r="A57" s="60"/>
      <c r="B57" s="60"/>
      <c r="C57" s="62"/>
      <c r="D57" s="61"/>
      <c r="E57" s="61"/>
      <c r="F57" s="60"/>
      <c r="G57" s="60"/>
      <c r="H57" s="60"/>
      <c r="I57" s="60"/>
      <c r="J57" s="60"/>
      <c r="K57" s="60"/>
      <c r="L57" s="60"/>
      <c r="M57" s="62"/>
      <c r="N57" s="60"/>
      <c r="O57" s="60"/>
      <c r="P57" s="63"/>
      <c r="Q57" s="63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0"/>
      <c r="AC57" s="60"/>
      <c r="AD57" s="60"/>
      <c r="AF57" s="50"/>
    </row>
    <row r="58" spans="1:32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F58" s="50"/>
    </row>
    <row r="59" spans="1:32" ht="36" thickBot="1">
      <c r="A59" s="481" t="s">
        <v>45</v>
      </c>
      <c r="B59" s="481"/>
      <c r="C59" s="481"/>
      <c r="D59" s="481"/>
      <c r="E59" s="481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F59" s="50"/>
    </row>
    <row r="60" spans="1:32" ht="26.25" thickBot="1">
      <c r="A60" s="482" t="s">
        <v>811</v>
      </c>
      <c r="B60" s="483"/>
      <c r="C60" s="483"/>
      <c r="D60" s="483"/>
      <c r="E60" s="483"/>
      <c r="F60" s="483"/>
      <c r="G60" s="483"/>
      <c r="H60" s="483"/>
      <c r="I60" s="483"/>
      <c r="J60" s="483"/>
      <c r="K60" s="483"/>
      <c r="L60" s="483"/>
      <c r="M60" s="484"/>
      <c r="N60" s="485" t="s">
        <v>824</v>
      </c>
      <c r="O60" s="486"/>
      <c r="P60" s="486"/>
      <c r="Q60" s="486"/>
      <c r="R60" s="486"/>
      <c r="S60" s="486"/>
      <c r="T60" s="486"/>
      <c r="U60" s="486"/>
      <c r="V60" s="486"/>
      <c r="W60" s="486"/>
      <c r="X60" s="486"/>
      <c r="Y60" s="486"/>
      <c r="Z60" s="486"/>
      <c r="AA60" s="486"/>
      <c r="AB60" s="486"/>
      <c r="AC60" s="486"/>
      <c r="AD60" s="487"/>
    </row>
    <row r="61" spans="1:32" ht="27" customHeight="1">
      <c r="A61" s="488" t="s">
        <v>2</v>
      </c>
      <c r="B61" s="489"/>
      <c r="C61" s="360" t="s">
        <v>46</v>
      </c>
      <c r="D61" s="360" t="s">
        <v>47</v>
      </c>
      <c r="E61" s="360" t="s">
        <v>107</v>
      </c>
      <c r="F61" s="490" t="s">
        <v>106</v>
      </c>
      <c r="G61" s="491"/>
      <c r="H61" s="491"/>
      <c r="I61" s="491"/>
      <c r="J61" s="491"/>
      <c r="K61" s="491"/>
      <c r="L61" s="491"/>
      <c r="M61" s="492"/>
      <c r="N61" s="67" t="s">
        <v>110</v>
      </c>
      <c r="O61" s="360" t="s">
        <v>46</v>
      </c>
      <c r="P61" s="490" t="s">
        <v>47</v>
      </c>
      <c r="Q61" s="493"/>
      <c r="R61" s="490" t="s">
        <v>38</v>
      </c>
      <c r="S61" s="491"/>
      <c r="T61" s="491"/>
      <c r="U61" s="493"/>
      <c r="V61" s="490" t="s">
        <v>48</v>
      </c>
      <c r="W61" s="491"/>
      <c r="X61" s="491"/>
      <c r="Y61" s="491"/>
      <c r="Z61" s="491"/>
      <c r="AA61" s="491"/>
      <c r="AB61" s="491"/>
      <c r="AC61" s="491"/>
      <c r="AD61" s="492"/>
    </row>
    <row r="62" spans="1:32" ht="27" customHeight="1">
      <c r="A62" s="455" t="s">
        <v>112</v>
      </c>
      <c r="B62" s="456"/>
      <c r="C62" s="355" t="s">
        <v>155</v>
      </c>
      <c r="D62" s="355" t="s">
        <v>121</v>
      </c>
      <c r="E62" s="356" t="s">
        <v>783</v>
      </c>
      <c r="F62" s="457" t="s">
        <v>187</v>
      </c>
      <c r="G62" s="458"/>
      <c r="H62" s="458"/>
      <c r="I62" s="458"/>
      <c r="J62" s="458"/>
      <c r="K62" s="458"/>
      <c r="L62" s="458"/>
      <c r="M62" s="459"/>
      <c r="N62" s="365" t="s">
        <v>163</v>
      </c>
      <c r="O62" s="371" t="s">
        <v>207</v>
      </c>
      <c r="P62" s="472" t="s">
        <v>115</v>
      </c>
      <c r="Q62" s="473"/>
      <c r="R62" s="472" t="s">
        <v>196</v>
      </c>
      <c r="S62" s="474"/>
      <c r="T62" s="474"/>
      <c r="U62" s="473"/>
      <c r="V62" s="461" t="s">
        <v>144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116</v>
      </c>
      <c r="B63" s="456"/>
      <c r="C63" s="355" t="s">
        <v>145</v>
      </c>
      <c r="D63" s="355" t="s">
        <v>806</v>
      </c>
      <c r="E63" s="356" t="s">
        <v>807</v>
      </c>
      <c r="F63" s="457" t="s">
        <v>623</v>
      </c>
      <c r="G63" s="458"/>
      <c r="H63" s="458"/>
      <c r="I63" s="458"/>
      <c r="J63" s="458"/>
      <c r="K63" s="458"/>
      <c r="L63" s="458"/>
      <c r="M63" s="459"/>
      <c r="N63" s="359" t="s">
        <v>116</v>
      </c>
      <c r="O63" s="353" t="s">
        <v>826</v>
      </c>
      <c r="P63" s="472" t="s">
        <v>827</v>
      </c>
      <c r="Q63" s="473"/>
      <c r="R63" s="472" t="s">
        <v>825</v>
      </c>
      <c r="S63" s="474"/>
      <c r="T63" s="474"/>
      <c r="U63" s="473"/>
      <c r="V63" s="461" t="s">
        <v>187</v>
      </c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112</v>
      </c>
      <c r="B64" s="456"/>
      <c r="C64" s="364" t="s">
        <v>286</v>
      </c>
      <c r="D64" s="364" t="s">
        <v>121</v>
      </c>
      <c r="E64" s="366" t="s">
        <v>152</v>
      </c>
      <c r="F64" s="457" t="s">
        <v>812</v>
      </c>
      <c r="G64" s="458"/>
      <c r="H64" s="458"/>
      <c r="I64" s="458"/>
      <c r="J64" s="458"/>
      <c r="K64" s="458"/>
      <c r="L64" s="458"/>
      <c r="M64" s="459"/>
      <c r="N64" s="359" t="s">
        <v>126</v>
      </c>
      <c r="O64" s="353" t="s">
        <v>259</v>
      </c>
      <c r="P64" s="472" t="s">
        <v>121</v>
      </c>
      <c r="Q64" s="473"/>
      <c r="R64" s="472" t="s">
        <v>828</v>
      </c>
      <c r="S64" s="474"/>
      <c r="T64" s="474"/>
      <c r="U64" s="473"/>
      <c r="V64" s="461" t="s">
        <v>187</v>
      </c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 t="s">
        <v>813</v>
      </c>
      <c r="B65" s="456"/>
      <c r="C65" s="355" t="s">
        <v>814</v>
      </c>
      <c r="D65" s="355"/>
      <c r="E65" s="356" t="s">
        <v>815</v>
      </c>
      <c r="F65" s="457" t="s">
        <v>187</v>
      </c>
      <c r="G65" s="458"/>
      <c r="H65" s="458"/>
      <c r="I65" s="458"/>
      <c r="J65" s="458"/>
      <c r="K65" s="458"/>
      <c r="L65" s="458"/>
      <c r="M65" s="459"/>
      <c r="N65" s="359" t="s">
        <v>116</v>
      </c>
      <c r="O65" s="353" t="s">
        <v>820</v>
      </c>
      <c r="P65" s="472" t="s">
        <v>821</v>
      </c>
      <c r="Q65" s="473"/>
      <c r="R65" s="472" t="s">
        <v>822</v>
      </c>
      <c r="S65" s="474"/>
      <c r="T65" s="474"/>
      <c r="U65" s="473"/>
      <c r="V65" s="461" t="s">
        <v>144</v>
      </c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 t="s">
        <v>116</v>
      </c>
      <c r="B66" s="456"/>
      <c r="C66" s="364" t="s">
        <v>223</v>
      </c>
      <c r="D66" s="364" t="s">
        <v>115</v>
      </c>
      <c r="E66" s="366" t="s">
        <v>731</v>
      </c>
      <c r="F66" s="457" t="s">
        <v>144</v>
      </c>
      <c r="G66" s="458"/>
      <c r="H66" s="458"/>
      <c r="I66" s="458"/>
      <c r="J66" s="458"/>
      <c r="K66" s="458"/>
      <c r="L66" s="458"/>
      <c r="M66" s="459"/>
      <c r="N66" s="359"/>
      <c r="O66" s="353"/>
      <c r="P66" s="472"/>
      <c r="Q66" s="473"/>
      <c r="R66" s="472"/>
      <c r="S66" s="474"/>
      <c r="T66" s="474"/>
      <c r="U66" s="473"/>
      <c r="V66" s="461"/>
      <c r="W66" s="462"/>
      <c r="X66" s="462"/>
      <c r="Y66" s="462"/>
      <c r="Z66" s="462"/>
      <c r="AA66" s="462"/>
      <c r="AB66" s="462"/>
      <c r="AC66" s="462"/>
      <c r="AD66" s="463"/>
    </row>
    <row r="67" spans="1:32" ht="27" customHeight="1">
      <c r="A67" s="455" t="s">
        <v>816</v>
      </c>
      <c r="B67" s="456"/>
      <c r="C67" s="355" t="s">
        <v>817</v>
      </c>
      <c r="D67" s="355" t="s">
        <v>818</v>
      </c>
      <c r="E67" s="356" t="s">
        <v>819</v>
      </c>
      <c r="F67" s="457" t="s">
        <v>187</v>
      </c>
      <c r="G67" s="458"/>
      <c r="H67" s="458"/>
      <c r="I67" s="458"/>
      <c r="J67" s="458"/>
      <c r="K67" s="458"/>
      <c r="L67" s="458"/>
      <c r="M67" s="459"/>
      <c r="N67" s="359"/>
      <c r="O67" s="353"/>
      <c r="P67" s="472"/>
      <c r="Q67" s="473"/>
      <c r="R67" s="472"/>
      <c r="S67" s="474"/>
      <c r="T67" s="474"/>
      <c r="U67" s="473"/>
      <c r="V67" s="461"/>
      <c r="W67" s="462"/>
      <c r="X67" s="462"/>
      <c r="Y67" s="462"/>
      <c r="Z67" s="462"/>
      <c r="AA67" s="462"/>
      <c r="AB67" s="462"/>
      <c r="AC67" s="462"/>
      <c r="AD67" s="463"/>
    </row>
    <row r="68" spans="1:32" ht="27" customHeight="1">
      <c r="A68" s="455" t="s">
        <v>816</v>
      </c>
      <c r="B68" s="456"/>
      <c r="C68" s="355" t="s">
        <v>315</v>
      </c>
      <c r="D68" s="364" t="s">
        <v>818</v>
      </c>
      <c r="E68" s="356" t="s">
        <v>810</v>
      </c>
      <c r="F68" s="457" t="s">
        <v>187</v>
      </c>
      <c r="G68" s="458"/>
      <c r="H68" s="458"/>
      <c r="I68" s="458"/>
      <c r="J68" s="458"/>
      <c r="K68" s="458"/>
      <c r="L68" s="458"/>
      <c r="M68" s="459"/>
      <c r="N68" s="359"/>
      <c r="O68" s="353"/>
      <c r="P68" s="472"/>
      <c r="Q68" s="473"/>
      <c r="R68" s="472"/>
      <c r="S68" s="474"/>
      <c r="T68" s="474"/>
      <c r="U68" s="473"/>
      <c r="V68" s="461"/>
      <c r="W68" s="462"/>
      <c r="X68" s="462"/>
      <c r="Y68" s="462"/>
      <c r="Z68" s="462"/>
      <c r="AA68" s="462"/>
      <c r="AB68" s="462"/>
      <c r="AC68" s="462"/>
      <c r="AD68" s="463"/>
    </row>
    <row r="69" spans="1:32" ht="27" customHeight="1">
      <c r="A69" s="455" t="s">
        <v>116</v>
      </c>
      <c r="B69" s="456"/>
      <c r="C69" s="355" t="s">
        <v>820</v>
      </c>
      <c r="D69" s="355" t="s">
        <v>821</v>
      </c>
      <c r="E69" s="356" t="s">
        <v>822</v>
      </c>
      <c r="F69" s="457" t="s">
        <v>823</v>
      </c>
      <c r="G69" s="458"/>
      <c r="H69" s="458"/>
      <c r="I69" s="458"/>
      <c r="J69" s="458"/>
      <c r="K69" s="458"/>
      <c r="L69" s="458"/>
      <c r="M69" s="459"/>
      <c r="N69" s="359"/>
      <c r="O69" s="353"/>
      <c r="P69" s="472"/>
      <c r="Q69" s="473"/>
      <c r="R69" s="472"/>
      <c r="S69" s="474"/>
      <c r="T69" s="474"/>
      <c r="U69" s="473"/>
      <c r="V69" s="461"/>
      <c r="W69" s="462"/>
      <c r="X69" s="462"/>
      <c r="Y69" s="462"/>
      <c r="Z69" s="462"/>
      <c r="AA69" s="462"/>
      <c r="AB69" s="462"/>
      <c r="AC69" s="462"/>
      <c r="AD69" s="463"/>
    </row>
    <row r="70" spans="1:32" ht="27" customHeight="1">
      <c r="A70" s="455"/>
      <c r="B70" s="456"/>
      <c r="C70" s="355"/>
      <c r="D70" s="355"/>
      <c r="E70" s="356"/>
      <c r="F70" s="457"/>
      <c r="G70" s="458"/>
      <c r="H70" s="458"/>
      <c r="I70" s="458"/>
      <c r="J70" s="458"/>
      <c r="K70" s="458"/>
      <c r="L70" s="458"/>
      <c r="M70" s="459"/>
      <c r="N70" s="359"/>
      <c r="O70" s="353"/>
      <c r="P70" s="460"/>
      <c r="Q70" s="460"/>
      <c r="R70" s="460"/>
      <c r="S70" s="460"/>
      <c r="T70" s="460"/>
      <c r="U70" s="460"/>
      <c r="V70" s="461"/>
      <c r="W70" s="462"/>
      <c r="X70" s="462"/>
      <c r="Y70" s="462"/>
      <c r="Z70" s="462"/>
      <c r="AA70" s="462"/>
      <c r="AB70" s="462"/>
      <c r="AC70" s="462"/>
      <c r="AD70" s="463"/>
      <c r="AF70" s="81">
        <f>8*3000</f>
        <v>24000</v>
      </c>
    </row>
    <row r="71" spans="1:32" ht="27" customHeight="1" thickBot="1">
      <c r="A71" s="464"/>
      <c r="B71" s="465"/>
      <c r="C71" s="357"/>
      <c r="D71" s="358"/>
      <c r="E71" s="357"/>
      <c r="F71" s="466"/>
      <c r="G71" s="467"/>
      <c r="H71" s="467"/>
      <c r="I71" s="467"/>
      <c r="J71" s="467"/>
      <c r="K71" s="467"/>
      <c r="L71" s="467"/>
      <c r="M71" s="468"/>
      <c r="N71" s="105"/>
      <c r="O71" s="97"/>
      <c r="P71" s="469"/>
      <c r="Q71" s="469"/>
      <c r="R71" s="469"/>
      <c r="S71" s="469"/>
      <c r="T71" s="469"/>
      <c r="U71" s="469"/>
      <c r="V71" s="470"/>
      <c r="W71" s="470"/>
      <c r="X71" s="470"/>
      <c r="Y71" s="470"/>
      <c r="Z71" s="470"/>
      <c r="AA71" s="470"/>
      <c r="AB71" s="470"/>
      <c r="AC71" s="470"/>
      <c r="AD71" s="471"/>
      <c r="AF71" s="81">
        <f>16*3000</f>
        <v>48000</v>
      </c>
    </row>
    <row r="72" spans="1:32" ht="27.75" thickBot="1">
      <c r="A72" s="453" t="s">
        <v>829</v>
      </c>
      <c r="B72" s="453"/>
      <c r="C72" s="453"/>
      <c r="D72" s="453"/>
      <c r="E72" s="453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81">
        <v>24000</v>
      </c>
    </row>
    <row r="73" spans="1:32" ht="29.25" customHeight="1" thickBot="1">
      <c r="A73" s="454" t="s">
        <v>111</v>
      </c>
      <c r="B73" s="451"/>
      <c r="C73" s="354" t="s">
        <v>2</v>
      </c>
      <c r="D73" s="354" t="s">
        <v>37</v>
      </c>
      <c r="E73" s="354" t="s">
        <v>3</v>
      </c>
      <c r="F73" s="451" t="s">
        <v>109</v>
      </c>
      <c r="G73" s="451"/>
      <c r="H73" s="451"/>
      <c r="I73" s="451"/>
      <c r="J73" s="451"/>
      <c r="K73" s="451" t="s">
        <v>39</v>
      </c>
      <c r="L73" s="451"/>
      <c r="M73" s="354" t="s">
        <v>40</v>
      </c>
      <c r="N73" s="451" t="s">
        <v>41</v>
      </c>
      <c r="O73" s="451"/>
      <c r="P73" s="448" t="s">
        <v>42</v>
      </c>
      <c r="Q73" s="450"/>
      <c r="R73" s="448" t="s">
        <v>43</v>
      </c>
      <c r="S73" s="449"/>
      <c r="T73" s="449"/>
      <c r="U73" s="449"/>
      <c r="V73" s="449"/>
      <c r="W73" s="449"/>
      <c r="X73" s="449"/>
      <c r="Y73" s="449"/>
      <c r="Z73" s="449"/>
      <c r="AA73" s="450"/>
      <c r="AB73" s="451" t="s">
        <v>44</v>
      </c>
      <c r="AC73" s="451"/>
      <c r="AD73" s="452"/>
      <c r="AF73" s="81">
        <f>SUM(AF70:AF72)</f>
        <v>96000</v>
      </c>
    </row>
    <row r="74" spans="1:32" ht="25.5" customHeight="1">
      <c r="A74" s="439">
        <v>1</v>
      </c>
      <c r="B74" s="440"/>
      <c r="C74" s="98" t="s">
        <v>112</v>
      </c>
      <c r="D74" s="349"/>
      <c r="E74" s="352" t="s">
        <v>138</v>
      </c>
      <c r="F74" s="441" t="s">
        <v>770</v>
      </c>
      <c r="G74" s="431"/>
      <c r="H74" s="431"/>
      <c r="I74" s="431"/>
      <c r="J74" s="431"/>
      <c r="K74" s="431" t="s">
        <v>772</v>
      </c>
      <c r="L74" s="431"/>
      <c r="M74" s="51" t="s">
        <v>154</v>
      </c>
      <c r="N74" s="442" t="s">
        <v>140</v>
      </c>
      <c r="O74" s="442"/>
      <c r="P74" s="443"/>
      <c r="Q74" s="443"/>
      <c r="R74" s="444" t="s">
        <v>830</v>
      </c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2</v>
      </c>
      <c r="B75" s="440"/>
      <c r="C75" s="98" t="s">
        <v>832</v>
      </c>
      <c r="D75" s="349"/>
      <c r="E75" s="352" t="s">
        <v>138</v>
      </c>
      <c r="F75" s="445" t="s">
        <v>831</v>
      </c>
      <c r="G75" s="446"/>
      <c r="H75" s="446"/>
      <c r="I75" s="446"/>
      <c r="J75" s="447"/>
      <c r="K75" s="431">
        <v>8301</v>
      </c>
      <c r="L75" s="431"/>
      <c r="M75" s="51" t="s">
        <v>154</v>
      </c>
      <c r="N75" s="442" t="s">
        <v>207</v>
      </c>
      <c r="O75" s="442"/>
      <c r="P75" s="443">
        <v>30</v>
      </c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3</v>
      </c>
      <c r="B76" s="440"/>
      <c r="C76" s="98" t="s">
        <v>112</v>
      </c>
      <c r="D76" s="349"/>
      <c r="E76" s="352" t="s">
        <v>834</v>
      </c>
      <c r="F76" s="441" t="s">
        <v>833</v>
      </c>
      <c r="G76" s="431"/>
      <c r="H76" s="431"/>
      <c r="I76" s="431"/>
      <c r="J76" s="431"/>
      <c r="K76" s="431">
        <v>8301</v>
      </c>
      <c r="L76" s="431"/>
      <c r="M76" s="51" t="s">
        <v>358</v>
      </c>
      <c r="N76" s="442" t="s">
        <v>207</v>
      </c>
      <c r="O76" s="442"/>
      <c r="P76" s="443">
        <v>50</v>
      </c>
      <c r="Q76" s="443"/>
      <c r="R76" s="444" t="s">
        <v>835</v>
      </c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4</v>
      </c>
      <c r="B77" s="440"/>
      <c r="C77" s="98" t="s">
        <v>112</v>
      </c>
      <c r="D77" s="349"/>
      <c r="E77" s="352" t="s">
        <v>837</v>
      </c>
      <c r="F77" s="445" t="s">
        <v>836</v>
      </c>
      <c r="G77" s="446"/>
      <c r="H77" s="446"/>
      <c r="I77" s="446"/>
      <c r="J77" s="447"/>
      <c r="K77" s="431">
        <v>7301</v>
      </c>
      <c r="L77" s="431"/>
      <c r="M77" s="51" t="s">
        <v>358</v>
      </c>
      <c r="N77" s="442" t="s">
        <v>155</v>
      </c>
      <c r="O77" s="442"/>
      <c r="P77" s="443">
        <v>50</v>
      </c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5</v>
      </c>
      <c r="B78" s="440"/>
      <c r="C78" s="98" t="s">
        <v>832</v>
      </c>
      <c r="D78" s="349"/>
      <c r="E78" s="352" t="s">
        <v>839</v>
      </c>
      <c r="F78" s="445" t="s">
        <v>838</v>
      </c>
      <c r="G78" s="446"/>
      <c r="H78" s="446"/>
      <c r="I78" s="446"/>
      <c r="J78" s="447"/>
      <c r="K78" s="431" t="s">
        <v>840</v>
      </c>
      <c r="L78" s="431"/>
      <c r="M78" s="51" t="s">
        <v>841</v>
      </c>
      <c r="N78" s="442" t="s">
        <v>155</v>
      </c>
      <c r="O78" s="442"/>
      <c r="P78" s="443">
        <v>50</v>
      </c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6</v>
      </c>
      <c r="B79" s="440"/>
      <c r="C79" s="98"/>
      <c r="D79" s="349"/>
      <c r="E79" s="352"/>
      <c r="F79" s="445"/>
      <c r="G79" s="446"/>
      <c r="H79" s="446"/>
      <c r="I79" s="446"/>
      <c r="J79" s="447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5.5" customHeight="1">
      <c r="A80" s="439">
        <v>7</v>
      </c>
      <c r="B80" s="440"/>
      <c r="C80" s="98"/>
      <c r="D80" s="349"/>
      <c r="E80" s="352"/>
      <c r="F80" s="445"/>
      <c r="G80" s="446"/>
      <c r="H80" s="446"/>
      <c r="I80" s="446"/>
      <c r="J80" s="447"/>
      <c r="K80" s="431"/>
      <c r="L80" s="431"/>
      <c r="M80" s="51"/>
      <c r="N80" s="442"/>
      <c r="O80" s="442"/>
      <c r="P80" s="443"/>
      <c r="Q80" s="443"/>
      <c r="R80" s="444"/>
      <c r="S80" s="444"/>
      <c r="T80" s="444"/>
      <c r="U80" s="444"/>
      <c r="V80" s="444"/>
      <c r="W80" s="444"/>
      <c r="X80" s="444"/>
      <c r="Y80" s="444"/>
      <c r="Z80" s="444"/>
      <c r="AA80" s="444"/>
      <c r="AB80" s="431"/>
      <c r="AC80" s="431"/>
      <c r="AD80" s="432"/>
      <c r="AF80" s="50"/>
    </row>
    <row r="81" spans="1:32" ht="25.5" customHeight="1">
      <c r="A81" s="439">
        <v>8</v>
      </c>
      <c r="B81" s="440"/>
      <c r="C81" s="98"/>
      <c r="D81" s="349"/>
      <c r="E81" s="352"/>
      <c r="F81" s="441"/>
      <c r="G81" s="431"/>
      <c r="H81" s="431"/>
      <c r="I81" s="431"/>
      <c r="J81" s="431"/>
      <c r="K81" s="431"/>
      <c r="L81" s="431"/>
      <c r="M81" s="51"/>
      <c r="N81" s="442"/>
      <c r="O81" s="442"/>
      <c r="P81" s="443"/>
      <c r="Q81" s="443"/>
      <c r="R81" s="444"/>
      <c r="S81" s="444"/>
      <c r="T81" s="444"/>
      <c r="U81" s="444"/>
      <c r="V81" s="444"/>
      <c r="W81" s="444"/>
      <c r="X81" s="444"/>
      <c r="Y81" s="444"/>
      <c r="Z81" s="444"/>
      <c r="AA81" s="444"/>
      <c r="AB81" s="431"/>
      <c r="AC81" s="431"/>
      <c r="AD81" s="432"/>
      <c r="AF81" s="50"/>
    </row>
    <row r="82" spans="1:32" ht="25.5" customHeight="1">
      <c r="A82" s="439">
        <v>9</v>
      </c>
      <c r="B82" s="440"/>
      <c r="C82" s="98"/>
      <c r="D82" s="349"/>
      <c r="E82" s="352"/>
      <c r="F82" s="441"/>
      <c r="G82" s="431"/>
      <c r="H82" s="431"/>
      <c r="I82" s="431"/>
      <c r="J82" s="431"/>
      <c r="K82" s="431"/>
      <c r="L82" s="431"/>
      <c r="M82" s="51"/>
      <c r="N82" s="442"/>
      <c r="O82" s="442"/>
      <c r="P82" s="443"/>
      <c r="Q82" s="443"/>
      <c r="R82" s="444"/>
      <c r="S82" s="444"/>
      <c r="T82" s="444"/>
      <c r="U82" s="444"/>
      <c r="V82" s="444"/>
      <c r="W82" s="444"/>
      <c r="X82" s="444"/>
      <c r="Y82" s="444"/>
      <c r="Z82" s="444"/>
      <c r="AA82" s="444"/>
      <c r="AB82" s="431"/>
      <c r="AC82" s="431"/>
      <c r="AD82" s="432"/>
      <c r="AF82" s="50"/>
    </row>
    <row r="83" spans="1:32" ht="25.5" customHeight="1">
      <c r="A83" s="439">
        <v>10</v>
      </c>
      <c r="B83" s="440"/>
      <c r="C83" s="98"/>
      <c r="D83" s="349"/>
      <c r="E83" s="352"/>
      <c r="F83" s="441"/>
      <c r="G83" s="431"/>
      <c r="H83" s="431"/>
      <c r="I83" s="431"/>
      <c r="J83" s="431"/>
      <c r="K83" s="431"/>
      <c r="L83" s="431"/>
      <c r="M83" s="51"/>
      <c r="N83" s="442"/>
      <c r="O83" s="442"/>
      <c r="P83" s="443"/>
      <c r="Q83" s="443"/>
      <c r="R83" s="444"/>
      <c r="S83" s="444"/>
      <c r="T83" s="444"/>
      <c r="U83" s="444"/>
      <c r="V83" s="444"/>
      <c r="W83" s="444"/>
      <c r="X83" s="444"/>
      <c r="Y83" s="444"/>
      <c r="Z83" s="444"/>
      <c r="AA83" s="444"/>
      <c r="AB83" s="431"/>
      <c r="AC83" s="431"/>
      <c r="AD83" s="432"/>
      <c r="AF83" s="50"/>
    </row>
    <row r="84" spans="1:32" ht="26.25" customHeight="1" thickBot="1">
      <c r="A84" s="411" t="s">
        <v>842</v>
      </c>
      <c r="B84" s="411"/>
      <c r="C84" s="411"/>
      <c r="D84" s="411"/>
      <c r="E84" s="411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23.25" thickBot="1">
      <c r="A85" s="433" t="s">
        <v>111</v>
      </c>
      <c r="B85" s="434"/>
      <c r="C85" s="351" t="s">
        <v>2</v>
      </c>
      <c r="D85" s="351" t="s">
        <v>37</v>
      </c>
      <c r="E85" s="351" t="s">
        <v>120</v>
      </c>
      <c r="F85" s="413" t="s">
        <v>38</v>
      </c>
      <c r="G85" s="413"/>
      <c r="H85" s="413"/>
      <c r="I85" s="413"/>
      <c r="J85" s="413"/>
      <c r="K85" s="435" t="s">
        <v>58</v>
      </c>
      <c r="L85" s="436"/>
      <c r="M85" s="436"/>
      <c r="N85" s="436"/>
      <c r="O85" s="436"/>
      <c r="P85" s="436"/>
      <c r="Q85" s="436"/>
      <c r="R85" s="436"/>
      <c r="S85" s="437"/>
      <c r="T85" s="413" t="s">
        <v>49</v>
      </c>
      <c r="U85" s="413"/>
      <c r="V85" s="435" t="s">
        <v>50</v>
      </c>
      <c r="W85" s="437"/>
      <c r="X85" s="436" t="s">
        <v>51</v>
      </c>
      <c r="Y85" s="436"/>
      <c r="Z85" s="436"/>
      <c r="AA85" s="436"/>
      <c r="AB85" s="436"/>
      <c r="AC85" s="436"/>
      <c r="AD85" s="438"/>
      <c r="AF85" s="50"/>
    </row>
    <row r="86" spans="1:32" ht="33.75" customHeight="1">
      <c r="A86" s="405">
        <v>1</v>
      </c>
      <c r="B86" s="406"/>
      <c r="C86" s="350"/>
      <c r="D86" s="350"/>
      <c r="E86" s="65"/>
      <c r="F86" s="420"/>
      <c r="G86" s="421"/>
      <c r="H86" s="421"/>
      <c r="I86" s="421"/>
      <c r="J86" s="422"/>
      <c r="K86" s="423"/>
      <c r="L86" s="424"/>
      <c r="M86" s="424"/>
      <c r="N86" s="424"/>
      <c r="O86" s="424"/>
      <c r="P86" s="424"/>
      <c r="Q86" s="424"/>
      <c r="R86" s="424"/>
      <c r="S86" s="425"/>
      <c r="T86" s="426"/>
      <c r="U86" s="427"/>
      <c r="V86" s="428"/>
      <c r="W86" s="428"/>
      <c r="X86" s="429"/>
      <c r="Y86" s="429"/>
      <c r="Z86" s="429"/>
      <c r="AA86" s="429"/>
      <c r="AB86" s="429"/>
      <c r="AC86" s="429"/>
      <c r="AD86" s="430"/>
      <c r="AF86" s="50"/>
    </row>
    <row r="87" spans="1:32" ht="30" customHeight="1">
      <c r="A87" s="398">
        <f>A86+1</f>
        <v>2</v>
      </c>
      <c r="B87" s="399"/>
      <c r="C87" s="349"/>
      <c r="D87" s="349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ref="A88:A92" si="28">A87+1</f>
        <v>3</v>
      </c>
      <c r="B88" s="399"/>
      <c r="C88" s="349"/>
      <c r="D88" s="349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0" customHeight="1">
      <c r="A89" s="398">
        <f t="shared" si="28"/>
        <v>4</v>
      </c>
      <c r="B89" s="399"/>
      <c r="C89" s="349"/>
      <c r="D89" s="349"/>
      <c r="E89" s="32"/>
      <c r="F89" s="399"/>
      <c r="G89" s="399"/>
      <c r="H89" s="399"/>
      <c r="I89" s="399"/>
      <c r="J89" s="399"/>
      <c r="K89" s="414"/>
      <c r="L89" s="415"/>
      <c r="M89" s="415"/>
      <c r="N89" s="415"/>
      <c r="O89" s="415"/>
      <c r="P89" s="415"/>
      <c r="Q89" s="415"/>
      <c r="R89" s="415"/>
      <c r="S89" s="416"/>
      <c r="T89" s="417"/>
      <c r="U89" s="417"/>
      <c r="V89" s="417"/>
      <c r="W89" s="417"/>
      <c r="X89" s="418"/>
      <c r="Y89" s="418"/>
      <c r="Z89" s="418"/>
      <c r="AA89" s="418"/>
      <c r="AB89" s="418"/>
      <c r="AC89" s="418"/>
      <c r="AD89" s="419"/>
      <c r="AF89" s="50"/>
    </row>
    <row r="90" spans="1:32" ht="30" customHeight="1">
      <c r="A90" s="398">
        <f t="shared" si="28"/>
        <v>5</v>
      </c>
      <c r="B90" s="399"/>
      <c r="C90" s="349"/>
      <c r="D90" s="349"/>
      <c r="E90" s="32"/>
      <c r="F90" s="399"/>
      <c r="G90" s="399"/>
      <c r="H90" s="399"/>
      <c r="I90" s="399"/>
      <c r="J90" s="399"/>
      <c r="K90" s="414"/>
      <c r="L90" s="415"/>
      <c r="M90" s="415"/>
      <c r="N90" s="415"/>
      <c r="O90" s="415"/>
      <c r="P90" s="415"/>
      <c r="Q90" s="415"/>
      <c r="R90" s="415"/>
      <c r="S90" s="416"/>
      <c r="T90" s="417"/>
      <c r="U90" s="417"/>
      <c r="V90" s="417"/>
      <c r="W90" s="417"/>
      <c r="X90" s="418"/>
      <c r="Y90" s="418"/>
      <c r="Z90" s="418"/>
      <c r="AA90" s="418"/>
      <c r="AB90" s="418"/>
      <c r="AC90" s="418"/>
      <c r="AD90" s="419"/>
      <c r="AF90" s="50"/>
    </row>
    <row r="91" spans="1:32" ht="30" customHeight="1">
      <c r="A91" s="398">
        <f t="shared" si="28"/>
        <v>6</v>
      </c>
      <c r="B91" s="399"/>
      <c r="C91" s="349"/>
      <c r="D91" s="349"/>
      <c r="E91" s="32"/>
      <c r="F91" s="399"/>
      <c r="G91" s="399"/>
      <c r="H91" s="399"/>
      <c r="I91" s="399"/>
      <c r="J91" s="399"/>
      <c r="K91" s="414"/>
      <c r="L91" s="415"/>
      <c r="M91" s="415"/>
      <c r="N91" s="415"/>
      <c r="O91" s="415"/>
      <c r="P91" s="415"/>
      <c r="Q91" s="415"/>
      <c r="R91" s="415"/>
      <c r="S91" s="416"/>
      <c r="T91" s="417"/>
      <c r="U91" s="417"/>
      <c r="V91" s="417"/>
      <c r="W91" s="417"/>
      <c r="X91" s="418"/>
      <c r="Y91" s="418"/>
      <c r="Z91" s="418"/>
      <c r="AA91" s="418"/>
      <c r="AB91" s="418"/>
      <c r="AC91" s="418"/>
      <c r="AD91" s="419"/>
      <c r="AF91" s="50"/>
    </row>
    <row r="92" spans="1:32" ht="30" customHeight="1">
      <c r="A92" s="398">
        <f t="shared" si="28"/>
        <v>7</v>
      </c>
      <c r="B92" s="399"/>
      <c r="C92" s="349"/>
      <c r="D92" s="349"/>
      <c r="E92" s="32"/>
      <c r="F92" s="399"/>
      <c r="G92" s="399"/>
      <c r="H92" s="399"/>
      <c r="I92" s="399"/>
      <c r="J92" s="399"/>
      <c r="K92" s="414"/>
      <c r="L92" s="415"/>
      <c r="M92" s="415"/>
      <c r="N92" s="415"/>
      <c r="O92" s="415"/>
      <c r="P92" s="415"/>
      <c r="Q92" s="415"/>
      <c r="R92" s="415"/>
      <c r="S92" s="416"/>
      <c r="T92" s="417"/>
      <c r="U92" s="417"/>
      <c r="V92" s="417"/>
      <c r="W92" s="417"/>
      <c r="X92" s="418"/>
      <c r="Y92" s="418"/>
      <c r="Z92" s="418"/>
      <c r="AA92" s="418"/>
      <c r="AB92" s="418"/>
      <c r="AC92" s="418"/>
      <c r="AD92" s="419"/>
      <c r="AF92" s="50"/>
    </row>
    <row r="93" spans="1:32" ht="36" thickBot="1">
      <c r="A93" s="411" t="s">
        <v>843</v>
      </c>
      <c r="B93" s="411"/>
      <c r="C93" s="411"/>
      <c r="D93" s="411"/>
      <c r="E93" s="411"/>
      <c r="F93" s="37"/>
      <c r="G93" s="37"/>
      <c r="H93" s="38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F93" s="50"/>
    </row>
    <row r="94" spans="1:32" ht="30.75" customHeight="1" thickBot="1">
      <c r="A94" s="412" t="s">
        <v>111</v>
      </c>
      <c r="B94" s="413"/>
      <c r="C94" s="403" t="s">
        <v>52</v>
      </c>
      <c r="D94" s="403"/>
      <c r="E94" s="403" t="s">
        <v>53</v>
      </c>
      <c r="F94" s="403"/>
      <c r="G94" s="403"/>
      <c r="H94" s="403"/>
      <c r="I94" s="403"/>
      <c r="J94" s="403"/>
      <c r="K94" s="403" t="s">
        <v>54</v>
      </c>
      <c r="L94" s="403"/>
      <c r="M94" s="403"/>
      <c r="N94" s="403"/>
      <c r="O94" s="403"/>
      <c r="P94" s="403"/>
      <c r="Q94" s="403"/>
      <c r="R94" s="403"/>
      <c r="S94" s="403"/>
      <c r="T94" s="403" t="s">
        <v>55</v>
      </c>
      <c r="U94" s="403"/>
      <c r="V94" s="403" t="s">
        <v>56</v>
      </c>
      <c r="W94" s="403"/>
      <c r="X94" s="403"/>
      <c r="Y94" s="403" t="s">
        <v>51</v>
      </c>
      <c r="Z94" s="403"/>
      <c r="AA94" s="403"/>
      <c r="AB94" s="403"/>
      <c r="AC94" s="403"/>
      <c r="AD94" s="404"/>
      <c r="AF94" s="50"/>
    </row>
    <row r="95" spans="1:32" ht="30.75" customHeight="1">
      <c r="A95" s="405">
        <v>1</v>
      </c>
      <c r="B95" s="406"/>
      <c r="C95" s="407"/>
      <c r="D95" s="407"/>
      <c r="E95" s="407"/>
      <c r="F95" s="407"/>
      <c r="G95" s="407"/>
      <c r="H95" s="407"/>
      <c r="I95" s="407"/>
      <c r="J95" s="407"/>
      <c r="K95" s="407"/>
      <c r="L95" s="407"/>
      <c r="M95" s="407"/>
      <c r="N95" s="407"/>
      <c r="O95" s="407"/>
      <c r="P95" s="407"/>
      <c r="Q95" s="407"/>
      <c r="R95" s="407"/>
      <c r="S95" s="407"/>
      <c r="T95" s="407"/>
      <c r="U95" s="407"/>
      <c r="V95" s="408"/>
      <c r="W95" s="408"/>
      <c r="X95" s="408"/>
      <c r="Y95" s="409"/>
      <c r="Z95" s="409"/>
      <c r="AA95" s="409"/>
      <c r="AB95" s="409"/>
      <c r="AC95" s="409"/>
      <c r="AD95" s="410"/>
      <c r="AF95" s="50"/>
    </row>
    <row r="96" spans="1:32" ht="30.75" customHeight="1">
      <c r="A96" s="398">
        <v>2</v>
      </c>
      <c r="B96" s="399"/>
      <c r="C96" s="400"/>
      <c r="D96" s="400"/>
      <c r="E96" s="400"/>
      <c r="F96" s="400"/>
      <c r="G96" s="400"/>
      <c r="H96" s="400"/>
      <c r="I96" s="400"/>
      <c r="J96" s="400"/>
      <c r="K96" s="400"/>
      <c r="L96" s="400"/>
      <c r="M96" s="400"/>
      <c r="N96" s="400"/>
      <c r="O96" s="400"/>
      <c r="P96" s="400"/>
      <c r="Q96" s="400"/>
      <c r="R96" s="400"/>
      <c r="S96" s="400"/>
      <c r="T96" s="401"/>
      <c r="U96" s="401"/>
      <c r="V96" s="402"/>
      <c r="W96" s="402"/>
      <c r="X96" s="402"/>
      <c r="Y96" s="390"/>
      <c r="Z96" s="390"/>
      <c r="AA96" s="390"/>
      <c r="AB96" s="390"/>
      <c r="AC96" s="390"/>
      <c r="AD96" s="391"/>
      <c r="AF96" s="50"/>
    </row>
    <row r="97" spans="1:32" ht="30.75" customHeight="1" thickBot="1">
      <c r="A97" s="392">
        <v>3</v>
      </c>
      <c r="B97" s="393"/>
      <c r="C97" s="394"/>
      <c r="D97" s="394"/>
      <c r="E97" s="394"/>
      <c r="F97" s="394"/>
      <c r="G97" s="394"/>
      <c r="H97" s="394"/>
      <c r="I97" s="394"/>
      <c r="J97" s="394"/>
      <c r="K97" s="394"/>
      <c r="L97" s="394"/>
      <c r="M97" s="394"/>
      <c r="N97" s="394"/>
      <c r="O97" s="394"/>
      <c r="P97" s="394"/>
      <c r="Q97" s="394"/>
      <c r="R97" s="394"/>
      <c r="S97" s="394"/>
      <c r="T97" s="394"/>
      <c r="U97" s="394"/>
      <c r="V97" s="395"/>
      <c r="W97" s="395"/>
      <c r="X97" s="395"/>
      <c r="Y97" s="396"/>
      <c r="Z97" s="396"/>
      <c r="AA97" s="396"/>
      <c r="AB97" s="396"/>
      <c r="AC97" s="396"/>
      <c r="AD97" s="397"/>
      <c r="AF9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2:H32"/>
    <mergeCell ref="A59:E59"/>
    <mergeCell ref="A60:M60"/>
    <mergeCell ref="N60:AD60"/>
    <mergeCell ref="A61:B61"/>
    <mergeCell ref="F61:M61"/>
    <mergeCell ref="P61:Q61"/>
    <mergeCell ref="R61:U61"/>
    <mergeCell ref="V61:AD61"/>
    <mergeCell ref="I4:O4"/>
    <mergeCell ref="P4:Q4"/>
    <mergeCell ref="R4:V4"/>
    <mergeCell ref="W4:AA4"/>
    <mergeCell ref="AB4:AB5"/>
    <mergeCell ref="AC4:AC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R70:U70"/>
    <mergeCell ref="V70:AD70"/>
    <mergeCell ref="A71:B71"/>
    <mergeCell ref="F71:M71"/>
    <mergeCell ref="P71:Q71"/>
    <mergeCell ref="R71:U71"/>
    <mergeCell ref="V71:AD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72:E72"/>
    <mergeCell ref="A73:B73"/>
    <mergeCell ref="F73:J73"/>
    <mergeCell ref="K73:L73"/>
    <mergeCell ref="N73:O73"/>
    <mergeCell ref="P73:Q73"/>
    <mergeCell ref="A70:B70"/>
    <mergeCell ref="F70:M70"/>
    <mergeCell ref="P70:Q70"/>
    <mergeCell ref="R73:AA73"/>
    <mergeCell ref="AB73:AD73"/>
    <mergeCell ref="A74:B74"/>
    <mergeCell ref="F74:J74"/>
    <mergeCell ref="K74:L74"/>
    <mergeCell ref="N74:O74"/>
    <mergeCell ref="P74:Q74"/>
    <mergeCell ref="R74:AA74"/>
    <mergeCell ref="AB74:AD74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B82"/>
    <mergeCell ref="F82:J82"/>
    <mergeCell ref="K82:L82"/>
    <mergeCell ref="N82:O82"/>
    <mergeCell ref="P82:Q82"/>
    <mergeCell ref="R82:AA82"/>
    <mergeCell ref="AB82:AD82"/>
    <mergeCell ref="A81:B81"/>
    <mergeCell ref="F81:J81"/>
    <mergeCell ref="K81:L81"/>
    <mergeCell ref="N81:O81"/>
    <mergeCell ref="P81:Q81"/>
    <mergeCell ref="R81:AA81"/>
    <mergeCell ref="AB83:AD83"/>
    <mergeCell ref="A84:E84"/>
    <mergeCell ref="A85:B85"/>
    <mergeCell ref="F85:J85"/>
    <mergeCell ref="K85:S85"/>
    <mergeCell ref="T85:U85"/>
    <mergeCell ref="V85:W85"/>
    <mergeCell ref="X85:AD85"/>
    <mergeCell ref="A83:B83"/>
    <mergeCell ref="F83:J83"/>
    <mergeCell ref="K83:L83"/>
    <mergeCell ref="N83:O83"/>
    <mergeCell ref="P83:Q83"/>
    <mergeCell ref="R83:AA83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V92:W92"/>
    <mergeCell ref="X92:AD92"/>
    <mergeCell ref="A91:B91"/>
    <mergeCell ref="F91:J91"/>
    <mergeCell ref="K91:S91"/>
    <mergeCell ref="T91:U91"/>
    <mergeCell ref="V91:W91"/>
    <mergeCell ref="X91:AD91"/>
    <mergeCell ref="A90:B90"/>
    <mergeCell ref="F90:J90"/>
    <mergeCell ref="K90:S90"/>
    <mergeCell ref="T90:U90"/>
    <mergeCell ref="V90:W90"/>
    <mergeCell ref="X90:AD90"/>
    <mergeCell ref="A93:E93"/>
    <mergeCell ref="A94:B94"/>
    <mergeCell ref="C94:D94"/>
    <mergeCell ref="E94:J94"/>
    <mergeCell ref="K94:S94"/>
    <mergeCell ref="T94:U94"/>
    <mergeCell ref="A92:B92"/>
    <mergeCell ref="F92:J92"/>
    <mergeCell ref="K92:S92"/>
    <mergeCell ref="T92:U92"/>
    <mergeCell ref="V94:X94"/>
    <mergeCell ref="Y94:AD94"/>
    <mergeCell ref="A95:B95"/>
    <mergeCell ref="C95:D95"/>
    <mergeCell ref="E95:J95"/>
    <mergeCell ref="K95:S95"/>
    <mergeCell ref="T95:U95"/>
    <mergeCell ref="V95:X95"/>
    <mergeCell ref="Y95:AD95"/>
    <mergeCell ref="Y96:AD96"/>
    <mergeCell ref="A97:B97"/>
    <mergeCell ref="C97:D97"/>
    <mergeCell ref="E97:J97"/>
    <mergeCell ref="K97:S97"/>
    <mergeCell ref="T97:U97"/>
    <mergeCell ref="V97:X97"/>
    <mergeCell ref="Y97:AD97"/>
    <mergeCell ref="A96:B96"/>
    <mergeCell ref="C96:D96"/>
    <mergeCell ref="E96:J96"/>
    <mergeCell ref="K96:S96"/>
    <mergeCell ref="T96:U96"/>
    <mergeCell ref="V96:X9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8" fitToHeight="2" orientation="landscape" r:id="rId1"/>
  <rowBreaks count="1" manualBreakCount="1">
    <brk id="57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7C92-FB20-4033-9352-68DA57CD5C96}">
  <sheetPr codeName="Sheet24">
    <pageSetUpPr fitToPage="1"/>
  </sheetPr>
  <dimension ref="A1:AF96"/>
  <sheetViews>
    <sheetView view="pageBreakPreview" zoomScale="70" zoomScaleNormal="72" zoomScaleSheetLayoutView="70" workbookViewId="0">
      <selection activeCell="A93" sqref="A93:B9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844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362" t="s">
        <v>17</v>
      </c>
      <c r="L5" s="362" t="s">
        <v>18</v>
      </c>
      <c r="M5" s="362" t="s">
        <v>19</v>
      </c>
      <c r="N5" s="36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112</v>
      </c>
      <c r="D6" s="52" t="s">
        <v>138</v>
      </c>
      <c r="E6" s="53" t="s">
        <v>770</v>
      </c>
      <c r="F6" s="30" t="s">
        <v>845</v>
      </c>
      <c r="G6" s="12">
        <v>4</v>
      </c>
      <c r="H6" s="13">
        <v>24</v>
      </c>
      <c r="I6" s="31">
        <v>12000</v>
      </c>
      <c r="J6" s="14">
        <v>5404</v>
      </c>
      <c r="K6" s="15">
        <f>L6</f>
        <v>5404</v>
      </c>
      <c r="L6" s="15">
        <f>1351*4</f>
        <v>5404</v>
      </c>
      <c r="M6" s="15">
        <f t="shared" ref="M6:M30" si="0">L6-N6</f>
        <v>5404</v>
      </c>
      <c r="N6" s="15">
        <v>0</v>
      </c>
      <c r="O6" s="58">
        <f t="shared" ref="O6:O31" si="1">IF(L6=0,"0",N6/L6)</f>
        <v>0</v>
      </c>
      <c r="P6" s="39">
        <f t="shared" ref="P6:P30" si="2">IF(L6=0,"0",(24-Q6))</f>
        <v>10</v>
      </c>
      <c r="Q6" s="40">
        <f t="shared" ref="Q6:Q30" si="3">SUM(R6:AA6)</f>
        <v>14</v>
      </c>
      <c r="R6" s="7"/>
      <c r="S6" s="6">
        <v>3</v>
      </c>
      <c r="T6" s="16"/>
      <c r="U6" s="16"/>
      <c r="V6" s="17"/>
      <c r="W6" s="5"/>
      <c r="X6" s="16"/>
      <c r="Y6" s="16"/>
      <c r="Z6" s="16"/>
      <c r="AA6" s="18">
        <v>11</v>
      </c>
      <c r="AB6" s="8">
        <f t="shared" ref="AB6:AB30" si="4">IF(J6=0,"0",(L6/J6))</f>
        <v>1</v>
      </c>
      <c r="AC6" s="9">
        <f t="shared" ref="AC6:AC30" si="5">IF(P6=0,"0",(P6/24))</f>
        <v>0.41666666666666669</v>
      </c>
      <c r="AD6" s="10">
        <f>AC6*AB6*(1-O6)</f>
        <v>0.41666666666666669</v>
      </c>
      <c r="AE6" s="36">
        <f t="shared" ref="AE6:AE30" si="6">$AD$31</f>
        <v>0.57333333333333336</v>
      </c>
      <c r="AF6" s="81">
        <f t="shared" ref="AF6:AF30" si="7">A6</f>
        <v>1</v>
      </c>
    </row>
    <row r="7" spans="1:32" ht="27" customHeight="1">
      <c r="A7" s="106">
        <v>2</v>
      </c>
      <c r="B7" s="11" t="s">
        <v>57</v>
      </c>
      <c r="C7" s="34" t="s">
        <v>116</v>
      </c>
      <c r="D7" s="52" t="s">
        <v>138</v>
      </c>
      <c r="E7" s="53" t="s">
        <v>825</v>
      </c>
      <c r="F7" s="30" t="s">
        <v>213</v>
      </c>
      <c r="G7" s="12">
        <v>2</v>
      </c>
      <c r="H7" s="13">
        <v>24</v>
      </c>
      <c r="I7" s="31">
        <v>500</v>
      </c>
      <c r="J7" s="14">
        <v>1718</v>
      </c>
      <c r="K7" s="15">
        <f>L7</f>
        <v>1718</v>
      </c>
      <c r="L7" s="15">
        <f>859*2</f>
        <v>1718</v>
      </c>
      <c r="M7" s="15">
        <f t="shared" si="0"/>
        <v>1718</v>
      </c>
      <c r="N7" s="15">
        <v>0</v>
      </c>
      <c r="O7" s="58">
        <f t="shared" si="1"/>
        <v>0</v>
      </c>
      <c r="P7" s="39">
        <f t="shared" si="2"/>
        <v>5</v>
      </c>
      <c r="Q7" s="40">
        <f t="shared" si="3"/>
        <v>19</v>
      </c>
      <c r="R7" s="7"/>
      <c r="S7" s="6"/>
      <c r="T7" s="16"/>
      <c r="U7" s="16"/>
      <c r="V7" s="17"/>
      <c r="W7" s="5"/>
      <c r="X7" s="16"/>
      <c r="Y7" s="16"/>
      <c r="Z7" s="16"/>
      <c r="AA7" s="18">
        <v>19</v>
      </c>
      <c r="AB7" s="8">
        <f t="shared" si="4"/>
        <v>1</v>
      </c>
      <c r="AC7" s="9">
        <f t="shared" si="5"/>
        <v>0.20833333333333334</v>
      </c>
      <c r="AD7" s="10">
        <f t="shared" ref="AD7:AD30" si="8">AC7*AB7*(1-O7)</f>
        <v>0.20833333333333334</v>
      </c>
      <c r="AE7" s="36">
        <f t="shared" si="6"/>
        <v>0.57333333333333336</v>
      </c>
      <c r="AF7" s="81">
        <f t="shared" si="7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121</v>
      </c>
      <c r="E8" s="53" t="s">
        <v>783</v>
      </c>
      <c r="F8" s="30" t="s">
        <v>235</v>
      </c>
      <c r="G8" s="12">
        <v>1</v>
      </c>
      <c r="H8" s="13">
        <v>22</v>
      </c>
      <c r="I8" s="31">
        <v>250</v>
      </c>
      <c r="J8" s="5">
        <v>300</v>
      </c>
      <c r="K8" s="15">
        <f>L8+300</f>
        <v>300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8"/>
        <v>0</v>
      </c>
      <c r="AE8" s="36">
        <f t="shared" si="6"/>
        <v>0.57333333333333336</v>
      </c>
      <c r="AF8" s="81">
        <f t="shared" si="7"/>
        <v>3</v>
      </c>
    </row>
    <row r="9" spans="1:32" ht="27" customHeight="1">
      <c r="A9" s="92">
        <v>4</v>
      </c>
      <c r="B9" s="11" t="s">
        <v>57</v>
      </c>
      <c r="C9" s="34" t="s">
        <v>126</v>
      </c>
      <c r="D9" s="52" t="s">
        <v>157</v>
      </c>
      <c r="E9" s="53" t="s">
        <v>766</v>
      </c>
      <c r="F9" s="30" t="s">
        <v>267</v>
      </c>
      <c r="G9" s="12">
        <v>2</v>
      </c>
      <c r="H9" s="13">
        <v>24</v>
      </c>
      <c r="I9" s="7">
        <v>30000</v>
      </c>
      <c r="J9" s="14">
        <v>11484</v>
      </c>
      <c r="K9" s="15">
        <f>L9+10848+11598</f>
        <v>33930</v>
      </c>
      <c r="L9" s="15">
        <f>2896*2+2846*2</f>
        <v>11484</v>
      </c>
      <c r="M9" s="15">
        <f t="shared" si="0"/>
        <v>11484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0.57333333333333336</v>
      </c>
      <c r="AF9" s="81">
        <f t="shared" si="7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5706</v>
      </c>
      <c r="K10" s="15">
        <f>L10+5338+5669+5744+4980+3619+1932+309+2790+5660+4715+1739+3127+5884+1203+3638+5732+5658+5217+2430+1897+5596+5715+3707+799+2709+2266+5086+3381+4392+5682+5705+5451+2998+2865+4585</f>
        <v>143924</v>
      </c>
      <c r="L10" s="15">
        <f>2868+2838</f>
        <v>5706</v>
      </c>
      <c r="M10" s="15">
        <f t="shared" si="0"/>
        <v>5706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0.57333333333333336</v>
      </c>
      <c r="AF10" s="81">
        <f t="shared" si="7"/>
        <v>5</v>
      </c>
    </row>
    <row r="11" spans="1:32" ht="27" customHeight="1">
      <c r="A11" s="92">
        <v>6</v>
      </c>
      <c r="B11" s="11" t="s">
        <v>57</v>
      </c>
      <c r="C11" s="11" t="s">
        <v>112</v>
      </c>
      <c r="D11" s="52" t="s">
        <v>846</v>
      </c>
      <c r="E11" s="53" t="s">
        <v>847</v>
      </c>
      <c r="F11" s="30" t="s">
        <v>158</v>
      </c>
      <c r="G11" s="33" t="s">
        <v>848</v>
      </c>
      <c r="H11" s="35">
        <v>24</v>
      </c>
      <c r="I11" s="7">
        <v>500</v>
      </c>
      <c r="J11" s="14">
        <v>1351</v>
      </c>
      <c r="K11" s="15">
        <f>L11</f>
        <v>1351</v>
      </c>
      <c r="L11" s="15">
        <v>1351</v>
      </c>
      <c r="M11" s="15">
        <f t="shared" si="0"/>
        <v>1351</v>
      </c>
      <c r="N11" s="15">
        <v>0</v>
      </c>
      <c r="O11" s="58">
        <f t="shared" si="1"/>
        <v>0</v>
      </c>
      <c r="P11" s="39">
        <f t="shared" si="2"/>
        <v>7</v>
      </c>
      <c r="Q11" s="40">
        <f t="shared" si="3"/>
        <v>17</v>
      </c>
      <c r="R11" s="7"/>
      <c r="S11" s="6"/>
      <c r="T11" s="16"/>
      <c r="U11" s="16"/>
      <c r="V11" s="17"/>
      <c r="W11" s="5">
        <v>17</v>
      </c>
      <c r="X11" s="16"/>
      <c r="Y11" s="16"/>
      <c r="Z11" s="16"/>
      <c r="AA11" s="18"/>
      <c r="AB11" s="8">
        <f t="shared" si="4"/>
        <v>1</v>
      </c>
      <c r="AC11" s="9">
        <f t="shared" si="5"/>
        <v>0.29166666666666669</v>
      </c>
      <c r="AD11" s="10">
        <f t="shared" si="8"/>
        <v>0.29166666666666669</v>
      </c>
      <c r="AE11" s="36">
        <f t="shared" si="6"/>
        <v>0.57333333333333336</v>
      </c>
      <c r="AF11" s="81">
        <f t="shared" si="7"/>
        <v>6</v>
      </c>
    </row>
    <row r="12" spans="1:32" ht="27" customHeight="1">
      <c r="A12" s="92">
        <v>6</v>
      </c>
      <c r="B12" s="11" t="s">
        <v>57</v>
      </c>
      <c r="C12" s="11" t="s">
        <v>126</v>
      </c>
      <c r="D12" s="52" t="s">
        <v>121</v>
      </c>
      <c r="E12" s="53" t="s">
        <v>368</v>
      </c>
      <c r="F12" s="30" t="s">
        <v>123</v>
      </c>
      <c r="G12" s="33">
        <v>3</v>
      </c>
      <c r="H12" s="35">
        <v>24</v>
      </c>
      <c r="I12" s="7">
        <v>20000</v>
      </c>
      <c r="J12" s="14">
        <v>8796</v>
      </c>
      <c r="K12" s="15">
        <f>L12</f>
        <v>8796</v>
      </c>
      <c r="L12" s="15">
        <f>265*3+2667*3</f>
        <v>8796</v>
      </c>
      <c r="M12" s="15">
        <f t="shared" ref="M12" si="9">L12-N12</f>
        <v>8796</v>
      </c>
      <c r="N12" s="15">
        <v>0</v>
      </c>
      <c r="O12" s="58">
        <f t="shared" ref="O12" si="10">IF(L12=0,"0",N12/L12)</f>
        <v>0</v>
      </c>
      <c r="P12" s="39">
        <f t="shared" ref="P12" si="11">IF(L12=0,"0",(24-Q12))</f>
        <v>15</v>
      </c>
      <c r="Q12" s="40">
        <f t="shared" ref="Q12" si="12">SUM(R12:AA12)</f>
        <v>9</v>
      </c>
      <c r="R12" s="7"/>
      <c r="S12" s="6"/>
      <c r="T12" s="16">
        <v>9</v>
      </c>
      <c r="U12" s="16"/>
      <c r="V12" s="17"/>
      <c r="W12" s="5"/>
      <c r="X12" s="16"/>
      <c r="Y12" s="16"/>
      <c r="Z12" s="16"/>
      <c r="AA12" s="18"/>
      <c r="AB12" s="8">
        <f t="shared" ref="AB12" si="13">IF(J12=0,"0",(L12/J12))</f>
        <v>1</v>
      </c>
      <c r="AC12" s="9">
        <f t="shared" ref="AC12" si="14">IF(P12=0,"0",(P12/24))</f>
        <v>0.625</v>
      </c>
      <c r="AD12" s="10">
        <f t="shared" ref="AD12" si="15">AC12*AB12*(1-O12)</f>
        <v>0.625</v>
      </c>
      <c r="AE12" s="36">
        <f t="shared" si="6"/>
        <v>0.57333333333333336</v>
      </c>
      <c r="AF12" s="81">
        <f t="shared" ref="AF12" si="16">A12</f>
        <v>6</v>
      </c>
    </row>
    <row r="13" spans="1:32" ht="27" customHeight="1">
      <c r="A13" s="92">
        <v>7</v>
      </c>
      <c r="B13" s="11" t="s">
        <v>57</v>
      </c>
      <c r="C13" s="34" t="s">
        <v>116</v>
      </c>
      <c r="D13" s="52" t="s">
        <v>115</v>
      </c>
      <c r="E13" s="53" t="s">
        <v>222</v>
      </c>
      <c r="F13" s="30" t="s">
        <v>205</v>
      </c>
      <c r="G13" s="12">
        <v>1</v>
      </c>
      <c r="H13" s="13">
        <v>22</v>
      </c>
      <c r="I13" s="31">
        <v>40000</v>
      </c>
      <c r="J13" s="5">
        <v>5153</v>
      </c>
      <c r="K13" s="15">
        <f>L13+2299+960+4314</f>
        <v>12726</v>
      </c>
      <c r="L13" s="15">
        <f>2590+2563</f>
        <v>5153</v>
      </c>
      <c r="M13" s="15">
        <f t="shared" si="0"/>
        <v>5153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0.57333333333333336</v>
      </c>
      <c r="AF13" s="81">
        <f t="shared" si="7"/>
        <v>7</v>
      </c>
    </row>
    <row r="14" spans="1:32" ht="27" customHeight="1">
      <c r="A14" s="92">
        <v>8</v>
      </c>
      <c r="B14" s="11" t="s">
        <v>57</v>
      </c>
      <c r="C14" s="11" t="s">
        <v>126</v>
      </c>
      <c r="D14" s="52" t="s">
        <v>680</v>
      </c>
      <c r="E14" s="53" t="s">
        <v>810</v>
      </c>
      <c r="F14" s="30" t="s">
        <v>267</v>
      </c>
      <c r="G14" s="33" t="s">
        <v>809</v>
      </c>
      <c r="H14" s="35">
        <v>22</v>
      </c>
      <c r="I14" s="7">
        <v>2000</v>
      </c>
      <c r="J14" s="14">
        <v>2884</v>
      </c>
      <c r="K14" s="15">
        <f>L14+1815</f>
        <v>4699</v>
      </c>
      <c r="L14" s="15">
        <f>757+2127</f>
        <v>2884</v>
      </c>
      <c r="M14" s="15">
        <f t="shared" si="0"/>
        <v>2884</v>
      </c>
      <c r="N14" s="15">
        <v>0</v>
      </c>
      <c r="O14" s="58">
        <f t="shared" si="1"/>
        <v>0</v>
      </c>
      <c r="P14" s="39">
        <f t="shared" si="2"/>
        <v>15</v>
      </c>
      <c r="Q14" s="40">
        <f t="shared" si="3"/>
        <v>9</v>
      </c>
      <c r="R14" s="7"/>
      <c r="S14" s="6"/>
      <c r="T14" s="16"/>
      <c r="U14" s="16"/>
      <c r="V14" s="17"/>
      <c r="W14" s="5">
        <v>9</v>
      </c>
      <c r="X14" s="16"/>
      <c r="Y14" s="16"/>
      <c r="Z14" s="16"/>
      <c r="AA14" s="18"/>
      <c r="AB14" s="8">
        <f t="shared" si="4"/>
        <v>1</v>
      </c>
      <c r="AC14" s="9">
        <f t="shared" si="5"/>
        <v>0.625</v>
      </c>
      <c r="AD14" s="10">
        <f t="shared" si="8"/>
        <v>0.625</v>
      </c>
      <c r="AE14" s="36">
        <f t="shared" si="6"/>
        <v>0.57333333333333336</v>
      </c>
      <c r="AF14" s="81">
        <f t="shared" si="7"/>
        <v>8</v>
      </c>
    </row>
    <row r="15" spans="1:32" ht="27" customHeight="1">
      <c r="A15" s="99">
        <v>9</v>
      </c>
      <c r="B15" s="11" t="s">
        <v>57</v>
      </c>
      <c r="C15" s="34" t="s">
        <v>112</v>
      </c>
      <c r="D15" s="52" t="s">
        <v>468</v>
      </c>
      <c r="E15" s="53" t="s">
        <v>461</v>
      </c>
      <c r="F15" s="30" t="s">
        <v>472</v>
      </c>
      <c r="G15" s="33">
        <v>1</v>
      </c>
      <c r="H15" s="35">
        <v>50</v>
      </c>
      <c r="I15" s="7">
        <v>480</v>
      </c>
      <c r="J15" s="5">
        <v>741</v>
      </c>
      <c r="K15" s="15">
        <f>L15</f>
        <v>741</v>
      </c>
      <c r="L15" s="15">
        <f>441+300</f>
        <v>741</v>
      </c>
      <c r="M15" s="15">
        <f t="shared" si="0"/>
        <v>741</v>
      </c>
      <c r="N15" s="15">
        <v>0</v>
      </c>
      <c r="O15" s="58">
        <f t="shared" si="1"/>
        <v>0</v>
      </c>
      <c r="P15" s="39">
        <f t="shared" si="2"/>
        <v>14</v>
      </c>
      <c r="Q15" s="40">
        <f t="shared" si="3"/>
        <v>10</v>
      </c>
      <c r="R15" s="7"/>
      <c r="S15" s="6"/>
      <c r="T15" s="16"/>
      <c r="U15" s="16"/>
      <c r="V15" s="17"/>
      <c r="W15" s="5">
        <v>10</v>
      </c>
      <c r="X15" s="16"/>
      <c r="Y15" s="16"/>
      <c r="Z15" s="16"/>
      <c r="AA15" s="18"/>
      <c r="AB15" s="8">
        <f t="shared" si="4"/>
        <v>1</v>
      </c>
      <c r="AC15" s="9">
        <f t="shared" si="5"/>
        <v>0.58333333333333337</v>
      </c>
      <c r="AD15" s="10">
        <f t="shared" si="8"/>
        <v>0.58333333333333337</v>
      </c>
      <c r="AE15" s="36">
        <f t="shared" si="6"/>
        <v>0.57333333333333336</v>
      </c>
      <c r="AF15" s="81">
        <f t="shared" si="7"/>
        <v>9</v>
      </c>
    </row>
    <row r="16" spans="1:32" ht="27" customHeight="1">
      <c r="A16" s="106">
        <v>10</v>
      </c>
      <c r="B16" s="11" t="s">
        <v>57</v>
      </c>
      <c r="C16" s="34" t="s">
        <v>112</v>
      </c>
      <c r="D16" s="52" t="s">
        <v>138</v>
      </c>
      <c r="E16" s="53" t="s">
        <v>599</v>
      </c>
      <c r="F16" s="30" t="s">
        <v>139</v>
      </c>
      <c r="G16" s="12">
        <v>2</v>
      </c>
      <c r="H16" s="13">
        <v>24</v>
      </c>
      <c r="I16" s="31">
        <f>74000+25000+40000</f>
        <v>139000</v>
      </c>
      <c r="J16" s="14">
        <v>11982</v>
      </c>
      <c r="K16" s="15">
        <f>L16+8206+11870+12258+12474+11882+10946+12064+12086</f>
        <v>103768</v>
      </c>
      <c r="L16" s="15">
        <f>2998*2+2993*2</f>
        <v>11982</v>
      </c>
      <c r="M16" s="15">
        <f t="shared" si="0"/>
        <v>11982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0.57333333333333336</v>
      </c>
      <c r="AF16" s="81">
        <f t="shared" si="7"/>
        <v>10</v>
      </c>
    </row>
    <row r="17" spans="1:32" ht="27" customHeight="1">
      <c r="A17" s="92">
        <v>11</v>
      </c>
      <c r="B17" s="11" t="s">
        <v>57</v>
      </c>
      <c r="C17" s="34" t="s">
        <v>112</v>
      </c>
      <c r="D17" s="52" t="s">
        <v>159</v>
      </c>
      <c r="E17" s="53" t="s">
        <v>234</v>
      </c>
      <c r="F17" s="30" t="s">
        <v>235</v>
      </c>
      <c r="G17" s="12">
        <v>2</v>
      </c>
      <c r="H17" s="13">
        <v>22</v>
      </c>
      <c r="I17" s="31">
        <f>72000+40000</f>
        <v>112000</v>
      </c>
      <c r="J17" s="5">
        <v>10874</v>
      </c>
      <c r="K17" s="15">
        <f>L17+4453+8440+10782+9098+8530+6582+6076+10824+10810</f>
        <v>86469</v>
      </c>
      <c r="L17" s="15">
        <f>2719*2+2718*2</f>
        <v>10874</v>
      </c>
      <c r="M17" s="15">
        <f t="shared" si="0"/>
        <v>10874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0.57333333333333336</v>
      </c>
      <c r="AF17" s="81">
        <f t="shared" si="7"/>
        <v>11</v>
      </c>
    </row>
    <row r="18" spans="1:32" ht="27" customHeight="1">
      <c r="A18" s="106">
        <v>12</v>
      </c>
      <c r="B18" s="11" t="s">
        <v>57</v>
      </c>
      <c r="C18" s="34" t="s">
        <v>668</v>
      </c>
      <c r="D18" s="52"/>
      <c r="E18" s="53" t="s">
        <v>667</v>
      </c>
      <c r="F18" s="30" t="s">
        <v>683</v>
      </c>
      <c r="G18" s="12">
        <v>1</v>
      </c>
      <c r="H18" s="13">
        <v>24</v>
      </c>
      <c r="I18" s="7">
        <f>7000+19000</f>
        <v>26000</v>
      </c>
      <c r="J18" s="14">
        <v>5601</v>
      </c>
      <c r="K18" s="15">
        <f>L18+3864+5352+5158+5637+5649</f>
        <v>31261</v>
      </c>
      <c r="L18" s="15">
        <f>2802+2799</f>
        <v>5601</v>
      </c>
      <c r="M18" s="15">
        <f t="shared" si="0"/>
        <v>5601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0.57333333333333336</v>
      </c>
      <c r="AF18" s="81">
        <f t="shared" si="7"/>
        <v>12</v>
      </c>
    </row>
    <row r="19" spans="1:32" ht="27" customHeight="1">
      <c r="A19" s="92">
        <v>13</v>
      </c>
      <c r="B19" s="11" t="s">
        <v>57</v>
      </c>
      <c r="C19" s="34" t="s">
        <v>668</v>
      </c>
      <c r="D19" s="52"/>
      <c r="E19" s="53" t="s">
        <v>786</v>
      </c>
      <c r="F19" s="30" t="s">
        <v>136</v>
      </c>
      <c r="G19" s="12">
        <v>1</v>
      </c>
      <c r="H19" s="13">
        <v>22</v>
      </c>
      <c r="I19" s="31">
        <v>3000</v>
      </c>
      <c r="J19" s="5">
        <v>3980</v>
      </c>
      <c r="K19" s="15">
        <f>L19+4406</f>
        <v>8386</v>
      </c>
      <c r="L19" s="15">
        <f>1550+2430</f>
        <v>3980</v>
      </c>
      <c r="M19" s="15">
        <f t="shared" si="0"/>
        <v>3980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8"/>
        <v>0.83333333333333337</v>
      </c>
      <c r="AE19" s="36">
        <f t="shared" si="6"/>
        <v>0.57333333333333336</v>
      </c>
      <c r="AF19" s="81">
        <f t="shared" si="7"/>
        <v>13</v>
      </c>
    </row>
    <row r="20" spans="1:32" ht="27" customHeight="1">
      <c r="A20" s="92">
        <v>14</v>
      </c>
      <c r="B20" s="11" t="s">
        <v>57</v>
      </c>
      <c r="C20" s="11" t="s">
        <v>116</v>
      </c>
      <c r="D20" s="52" t="s">
        <v>157</v>
      </c>
      <c r="E20" s="53" t="s">
        <v>587</v>
      </c>
      <c r="F20" s="30" t="s">
        <v>158</v>
      </c>
      <c r="G20" s="33">
        <v>1</v>
      </c>
      <c r="H20" s="35">
        <v>24</v>
      </c>
      <c r="I20" s="7">
        <v>20000</v>
      </c>
      <c r="J20" s="14">
        <v>1352</v>
      </c>
      <c r="K20" s="15">
        <f>L20+4287+5676+5081</f>
        <v>16396</v>
      </c>
      <c r="L20" s="15">
        <v>1352</v>
      </c>
      <c r="M20" s="15">
        <f t="shared" si="0"/>
        <v>1352</v>
      </c>
      <c r="N20" s="15">
        <v>0</v>
      </c>
      <c r="O20" s="58">
        <f t="shared" si="1"/>
        <v>0</v>
      </c>
      <c r="P20" s="39">
        <f t="shared" si="2"/>
        <v>7</v>
      </c>
      <c r="Q20" s="40">
        <f t="shared" si="3"/>
        <v>17</v>
      </c>
      <c r="R20" s="7"/>
      <c r="S20" s="6">
        <v>17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0.29166666666666669</v>
      </c>
      <c r="AD20" s="10">
        <f t="shared" si="8"/>
        <v>0.29166666666666669</v>
      </c>
      <c r="AE20" s="36">
        <f t="shared" si="6"/>
        <v>0.57333333333333336</v>
      </c>
      <c r="AF20" s="81">
        <f t="shared" si="7"/>
        <v>14</v>
      </c>
    </row>
    <row r="21" spans="1:32" ht="27" customHeight="1">
      <c r="A21" s="106">
        <v>15</v>
      </c>
      <c r="B21" s="11" t="s">
        <v>57</v>
      </c>
      <c r="C21" s="11" t="s">
        <v>112</v>
      </c>
      <c r="D21" s="52" t="s">
        <v>115</v>
      </c>
      <c r="E21" s="53" t="s">
        <v>143</v>
      </c>
      <c r="F21" s="30" t="s">
        <v>136</v>
      </c>
      <c r="G21" s="33">
        <v>1</v>
      </c>
      <c r="H21" s="35">
        <v>24</v>
      </c>
      <c r="I21" s="7">
        <v>70000</v>
      </c>
      <c r="J21" s="14">
        <v>5493</v>
      </c>
      <c r="K21" s="15">
        <f>L21+3150+7466+4534+7764+11032+11156+11220+10030+4886+5156+5465</f>
        <v>87352</v>
      </c>
      <c r="L21" s="15">
        <f>2766+2727</f>
        <v>5493</v>
      </c>
      <c r="M21" s="15">
        <f t="shared" si="0"/>
        <v>5493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8"/>
        <v>1</v>
      </c>
      <c r="AE21" s="36">
        <f t="shared" si="6"/>
        <v>0.57333333333333336</v>
      </c>
      <c r="AF21" s="81">
        <f t="shared" si="7"/>
        <v>15</v>
      </c>
    </row>
    <row r="22" spans="1:32" ht="26.25" customHeight="1">
      <c r="A22" s="92">
        <v>16</v>
      </c>
      <c r="B22" s="11" t="s">
        <v>57</v>
      </c>
      <c r="C22" s="11" t="s">
        <v>113</v>
      </c>
      <c r="D22" s="52"/>
      <c r="E22" s="53" t="s">
        <v>146</v>
      </c>
      <c r="F22" s="12" t="s">
        <v>114</v>
      </c>
      <c r="G22" s="12">
        <v>3</v>
      </c>
      <c r="H22" s="35">
        <v>20</v>
      </c>
      <c r="I22" s="7">
        <v>2000000</v>
      </c>
      <c r="J22" s="14">
        <v>64216</v>
      </c>
      <c r="K22" s="15">
        <f>L22+57172+63944+63948+58884+57396+63564+64736+63568+59200+55380+64440+64704</f>
        <v>801152</v>
      </c>
      <c r="L22" s="15">
        <f>8099*4+7955*4</f>
        <v>64216</v>
      </c>
      <c r="M22" s="15">
        <f t="shared" si="0"/>
        <v>64216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8"/>
        <v>1</v>
      </c>
      <c r="AE22" s="36">
        <f t="shared" si="6"/>
        <v>0.57333333333333336</v>
      </c>
      <c r="AF22" s="81">
        <f t="shared" si="7"/>
        <v>16</v>
      </c>
    </row>
    <row r="23" spans="1:32" ht="26.25" customHeight="1">
      <c r="A23" s="307">
        <v>17</v>
      </c>
      <c r="B23" s="11" t="s">
        <v>57</v>
      </c>
      <c r="C23" s="11"/>
      <c r="D23" s="52"/>
      <c r="E23" s="53"/>
      <c r="F23" s="12"/>
      <c r="G23" s="12"/>
      <c r="H23" s="35"/>
      <c r="I23" s="7">
        <v>0</v>
      </c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0.57333333333333336</v>
      </c>
      <c r="AF23" s="81">
        <f t="shared" si="7"/>
        <v>17</v>
      </c>
    </row>
    <row r="24" spans="1:32" ht="26.25" customHeight="1">
      <c r="A24" s="307">
        <v>18</v>
      </c>
      <c r="B24" s="11" t="s">
        <v>57</v>
      </c>
      <c r="C24" s="11" t="s">
        <v>116</v>
      </c>
      <c r="D24" s="52" t="s">
        <v>600</v>
      </c>
      <c r="E24" s="53" t="s">
        <v>601</v>
      </c>
      <c r="F24" s="12" t="s">
        <v>602</v>
      </c>
      <c r="G24" s="12">
        <v>4</v>
      </c>
      <c r="H24" s="35">
        <v>15</v>
      </c>
      <c r="I24" s="7">
        <v>6000</v>
      </c>
      <c r="J24" s="14">
        <v>7513</v>
      </c>
      <c r="K24" s="15">
        <f>L24+2732+12588</f>
        <v>22833</v>
      </c>
      <c r="L24" s="15">
        <f>3979+1767*2</f>
        <v>7513</v>
      </c>
      <c r="M24" s="15">
        <f t="shared" si="0"/>
        <v>7513</v>
      </c>
      <c r="N24" s="15">
        <v>0</v>
      </c>
      <c r="O24" s="58">
        <f t="shared" si="1"/>
        <v>0</v>
      </c>
      <c r="P24" s="39">
        <f t="shared" si="2"/>
        <v>17</v>
      </c>
      <c r="Q24" s="40">
        <f t="shared" si="3"/>
        <v>7</v>
      </c>
      <c r="R24" s="7"/>
      <c r="S24" s="6">
        <v>7</v>
      </c>
      <c r="T24" s="16"/>
      <c r="U24" s="16"/>
      <c r="V24" s="17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0.70833333333333337</v>
      </c>
      <c r="AD24" s="10">
        <f t="shared" si="8"/>
        <v>0.70833333333333337</v>
      </c>
      <c r="AE24" s="36">
        <f t="shared" si="6"/>
        <v>0.57333333333333336</v>
      </c>
      <c r="AF24" s="81">
        <f t="shared" si="7"/>
        <v>18</v>
      </c>
    </row>
    <row r="25" spans="1:32" ht="21.75" customHeight="1">
      <c r="A25" s="92">
        <v>31</v>
      </c>
      <c r="B25" s="11" t="s">
        <v>57</v>
      </c>
      <c r="C25" s="11" t="s">
        <v>116</v>
      </c>
      <c r="D25" s="52" t="s">
        <v>115</v>
      </c>
      <c r="E25" s="53" t="s">
        <v>149</v>
      </c>
      <c r="F25" s="12" t="s">
        <v>136</v>
      </c>
      <c r="G25" s="12">
        <v>4</v>
      </c>
      <c r="H25" s="35">
        <v>20</v>
      </c>
      <c r="I25" s="7">
        <v>70000</v>
      </c>
      <c r="J25" s="14">
        <v>22300</v>
      </c>
      <c r="K25" s="15">
        <f>L25+22300</f>
        <v>22300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>
        <v>24</v>
      </c>
      <c r="W25" s="5"/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0.57333333333333336</v>
      </c>
      <c r="AF25" s="81">
        <f t="shared" si="7"/>
        <v>31</v>
      </c>
    </row>
    <row r="26" spans="1:32" ht="21.75" customHeight="1">
      <c r="A26" s="92">
        <v>32</v>
      </c>
      <c r="B26" s="11" t="s">
        <v>57</v>
      </c>
      <c r="C26" s="11" t="s">
        <v>801</v>
      </c>
      <c r="D26" s="52"/>
      <c r="E26" s="53" t="s">
        <v>802</v>
      </c>
      <c r="F26" s="12" t="s">
        <v>803</v>
      </c>
      <c r="G26" s="12">
        <v>32</v>
      </c>
      <c r="H26" s="35">
        <v>20</v>
      </c>
      <c r="I26" s="7">
        <v>1000000</v>
      </c>
      <c r="J26" s="14">
        <v>283575</v>
      </c>
      <c r="K26" s="15">
        <f>L26+75400</f>
        <v>358975</v>
      </c>
      <c r="L26" s="15">
        <f>5343*25+6000*25</f>
        <v>283575</v>
      </c>
      <c r="M26" s="15">
        <f t="shared" si="0"/>
        <v>283575</v>
      </c>
      <c r="N26" s="15">
        <v>0</v>
      </c>
      <c r="O26" s="58">
        <f t="shared" si="1"/>
        <v>0</v>
      </c>
      <c r="P26" s="39">
        <f t="shared" si="2"/>
        <v>22</v>
      </c>
      <c r="Q26" s="40">
        <f t="shared" si="3"/>
        <v>2</v>
      </c>
      <c r="R26" s="7"/>
      <c r="S26" s="6">
        <v>2</v>
      </c>
      <c r="T26" s="16"/>
      <c r="U26" s="16"/>
      <c r="V26" s="17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0.91666666666666663</v>
      </c>
      <c r="AD26" s="10">
        <f t="shared" si="8"/>
        <v>0.91666666666666663</v>
      </c>
      <c r="AE26" s="36">
        <f t="shared" si="6"/>
        <v>0.57333333333333336</v>
      </c>
      <c r="AF26" s="81">
        <f t="shared" si="7"/>
        <v>32</v>
      </c>
    </row>
    <row r="27" spans="1:32" ht="21.75" customHeight="1">
      <c r="A27" s="92">
        <v>33</v>
      </c>
      <c r="B27" s="11" t="s">
        <v>57</v>
      </c>
      <c r="C27" s="11" t="s">
        <v>116</v>
      </c>
      <c r="D27" s="52" t="s">
        <v>121</v>
      </c>
      <c r="E27" s="53" t="s">
        <v>804</v>
      </c>
      <c r="F27" s="12" t="s">
        <v>136</v>
      </c>
      <c r="G27" s="12">
        <v>3</v>
      </c>
      <c r="H27" s="35">
        <v>20</v>
      </c>
      <c r="I27" s="7">
        <v>4000</v>
      </c>
      <c r="J27" s="14">
        <v>13428</v>
      </c>
      <c r="K27" s="15">
        <f>L27+3951</f>
        <v>17379</v>
      </c>
      <c r="L27" s="15">
        <f>4476*3</f>
        <v>13428</v>
      </c>
      <c r="M27" s="15">
        <f t="shared" si="0"/>
        <v>13428</v>
      </c>
      <c r="N27" s="15">
        <v>0</v>
      </c>
      <c r="O27" s="58">
        <f t="shared" si="1"/>
        <v>0</v>
      </c>
      <c r="P27" s="39">
        <f t="shared" si="2"/>
        <v>20</v>
      </c>
      <c r="Q27" s="40">
        <f t="shared" si="3"/>
        <v>4</v>
      </c>
      <c r="R27" s="7"/>
      <c r="S27" s="6">
        <v>4</v>
      </c>
      <c r="T27" s="16"/>
      <c r="U27" s="16"/>
      <c r="V27" s="114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0.83333333333333337</v>
      </c>
      <c r="AD27" s="10">
        <f t="shared" si="8"/>
        <v>0.83333333333333337</v>
      </c>
      <c r="AE27" s="36">
        <f t="shared" si="6"/>
        <v>0.57333333333333336</v>
      </c>
      <c r="AF27" s="81">
        <f t="shared" si="7"/>
        <v>33</v>
      </c>
    </row>
    <row r="28" spans="1:32" ht="21.75" customHeight="1">
      <c r="A28" s="92">
        <v>34</v>
      </c>
      <c r="B28" s="11" t="s">
        <v>57</v>
      </c>
      <c r="C28" s="11" t="s">
        <v>116</v>
      </c>
      <c r="D28" s="52" t="s">
        <v>115</v>
      </c>
      <c r="E28" s="53" t="s">
        <v>805</v>
      </c>
      <c r="F28" s="12" t="s">
        <v>124</v>
      </c>
      <c r="G28" s="12">
        <v>4</v>
      </c>
      <c r="H28" s="35">
        <v>20</v>
      </c>
      <c r="I28" s="7">
        <v>4000</v>
      </c>
      <c r="J28" s="14">
        <v>8984</v>
      </c>
      <c r="K28" s="15">
        <f>L28+8984</f>
        <v>8984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0.57333333333333336</v>
      </c>
      <c r="AF28" s="81">
        <f t="shared" si="7"/>
        <v>34</v>
      </c>
    </row>
    <row r="29" spans="1:32" ht="21.75" customHeight="1">
      <c r="A29" s="92">
        <v>35</v>
      </c>
      <c r="B29" s="11" t="s">
        <v>57</v>
      </c>
      <c r="C29" s="11" t="s">
        <v>116</v>
      </c>
      <c r="D29" s="52" t="s">
        <v>121</v>
      </c>
      <c r="E29" s="53" t="s">
        <v>125</v>
      </c>
      <c r="F29" s="12" t="s">
        <v>124</v>
      </c>
      <c r="G29" s="12">
        <v>4</v>
      </c>
      <c r="H29" s="35">
        <v>20</v>
      </c>
      <c r="I29" s="7">
        <v>50000</v>
      </c>
      <c r="J29" s="14">
        <v>26944</v>
      </c>
      <c r="K29" s="15">
        <f>L29+24592+26944+21716</f>
        <v>73252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0.57333333333333336</v>
      </c>
      <c r="AF29" s="81">
        <f t="shared" si="7"/>
        <v>35</v>
      </c>
    </row>
    <row r="30" spans="1:32" ht="21.75" customHeight="1" thickBot="1">
      <c r="A30" s="92">
        <v>36</v>
      </c>
      <c r="B30" s="11" t="s">
        <v>57</v>
      </c>
      <c r="C30" s="11" t="s">
        <v>113</v>
      </c>
      <c r="D30" s="52"/>
      <c r="E30" s="53" t="s">
        <v>150</v>
      </c>
      <c r="F30" s="12" t="s">
        <v>114</v>
      </c>
      <c r="G30" s="12">
        <v>4</v>
      </c>
      <c r="H30" s="35">
        <v>20</v>
      </c>
      <c r="I30" s="7">
        <v>1000000</v>
      </c>
      <c r="J30" s="14">
        <v>79328</v>
      </c>
      <c r="K30" s="15">
        <f>L30+28388+70816+76368+81764+83428+47688+53180+83092+82192+79328</f>
        <v>686244</v>
      </c>
      <c r="L30" s="15"/>
      <c r="M30" s="15">
        <f t="shared" si="0"/>
        <v>0</v>
      </c>
      <c r="N30" s="15">
        <v>0</v>
      </c>
      <c r="O30" s="58" t="str">
        <f t="shared" si="1"/>
        <v>0</v>
      </c>
      <c r="P30" s="39" t="str">
        <f t="shared" si="2"/>
        <v>0</v>
      </c>
      <c r="Q30" s="40">
        <f t="shared" si="3"/>
        <v>24</v>
      </c>
      <c r="R30" s="7"/>
      <c r="S30" s="6"/>
      <c r="T30" s="16"/>
      <c r="U30" s="16"/>
      <c r="V30" s="114">
        <v>24</v>
      </c>
      <c r="W30" s="5"/>
      <c r="X30" s="16"/>
      <c r="Y30" s="16"/>
      <c r="Z30" s="16"/>
      <c r="AA30" s="18"/>
      <c r="AB30" s="8">
        <f t="shared" si="4"/>
        <v>0</v>
      </c>
      <c r="AC30" s="9">
        <f t="shared" si="5"/>
        <v>0</v>
      </c>
      <c r="AD30" s="10">
        <f t="shared" si="8"/>
        <v>0</v>
      </c>
      <c r="AE30" s="36">
        <f t="shared" si="6"/>
        <v>0.57333333333333336</v>
      </c>
      <c r="AF30" s="81">
        <f t="shared" si="7"/>
        <v>36</v>
      </c>
    </row>
    <row r="31" spans="1:32" ht="19.5" thickBot="1">
      <c r="A31" s="478" t="s">
        <v>34</v>
      </c>
      <c r="B31" s="479"/>
      <c r="C31" s="479"/>
      <c r="D31" s="479"/>
      <c r="E31" s="479"/>
      <c r="F31" s="479"/>
      <c r="G31" s="479"/>
      <c r="H31" s="480"/>
      <c r="I31" s="22">
        <f t="shared" ref="I31:N31" si="17">SUM(I6:I30)</f>
        <v>4724730</v>
      </c>
      <c r="J31" s="19">
        <f t="shared" si="17"/>
        <v>589107</v>
      </c>
      <c r="K31" s="20">
        <f t="shared" si="17"/>
        <v>2538340</v>
      </c>
      <c r="L31" s="21">
        <f t="shared" si="17"/>
        <v>451251</v>
      </c>
      <c r="M31" s="20">
        <f t="shared" si="17"/>
        <v>451251</v>
      </c>
      <c r="N31" s="21">
        <f t="shared" si="17"/>
        <v>0</v>
      </c>
      <c r="O31" s="41">
        <f t="shared" si="1"/>
        <v>0</v>
      </c>
      <c r="P31" s="42">
        <f t="shared" ref="P31:AA31" si="18">SUM(P6:P30)</f>
        <v>344</v>
      </c>
      <c r="Q31" s="43">
        <f t="shared" si="18"/>
        <v>256</v>
      </c>
      <c r="R31" s="23">
        <f t="shared" si="18"/>
        <v>0</v>
      </c>
      <c r="S31" s="24">
        <f t="shared" si="18"/>
        <v>37</v>
      </c>
      <c r="T31" s="24">
        <f t="shared" si="18"/>
        <v>9</v>
      </c>
      <c r="U31" s="24">
        <f t="shared" si="18"/>
        <v>0</v>
      </c>
      <c r="V31" s="25">
        <f t="shared" si="18"/>
        <v>48</v>
      </c>
      <c r="W31" s="26">
        <f t="shared" si="18"/>
        <v>108</v>
      </c>
      <c r="X31" s="27">
        <f t="shared" si="18"/>
        <v>0</v>
      </c>
      <c r="Y31" s="27">
        <f t="shared" si="18"/>
        <v>0</v>
      </c>
      <c r="Z31" s="27">
        <f t="shared" si="18"/>
        <v>0</v>
      </c>
      <c r="AA31" s="27">
        <f t="shared" si="18"/>
        <v>54</v>
      </c>
      <c r="AB31" s="28">
        <f>AVERAGE(AB6:AB30)</f>
        <v>0.79166666666666663</v>
      </c>
      <c r="AC31" s="4">
        <f>AVERAGE(AC6:AC30)</f>
        <v>0.57333333333333336</v>
      </c>
      <c r="AD31" s="4">
        <f>AVERAGE(AD6:AD30)</f>
        <v>0.57333333333333336</v>
      </c>
      <c r="AE31" s="29"/>
    </row>
    <row r="32" spans="1:32">
      <c r="T32" s="50" t="s">
        <v>128</v>
      </c>
    </row>
    <row r="33" spans="1:32" ht="18.75">
      <c r="A33" s="2"/>
      <c r="B33" s="2" t="s">
        <v>35</v>
      </c>
      <c r="C33" s="2"/>
      <c r="D33" s="2"/>
      <c r="E33" s="2"/>
      <c r="F33" s="2"/>
      <c r="G33" s="2"/>
      <c r="H33" s="3"/>
      <c r="I33" s="3"/>
      <c r="J33" s="2"/>
      <c r="K33" s="2"/>
      <c r="L33" s="2"/>
      <c r="M33" s="2"/>
      <c r="N33" s="2" t="s">
        <v>36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1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 t="s">
        <v>129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82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27">
      <c r="A48" s="59"/>
      <c r="B48" s="59"/>
      <c r="C48" s="59"/>
      <c r="D48" s="59"/>
      <c r="E48" s="59"/>
      <c r="F48" s="37"/>
      <c r="G48" s="37"/>
      <c r="H48" s="38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F48" s="50"/>
    </row>
    <row r="49" spans="1:32" ht="29.25" customHeight="1">
      <c r="A49" s="60"/>
      <c r="B49" s="60"/>
      <c r="C49" s="61"/>
      <c r="D49" s="61"/>
      <c r="E49" s="61"/>
      <c r="F49" s="60"/>
      <c r="G49" s="60"/>
      <c r="H49" s="60"/>
      <c r="I49" s="60"/>
      <c r="J49" s="60"/>
      <c r="K49" s="60"/>
      <c r="L49" s="60"/>
      <c r="M49" s="61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29.25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36" thickBot="1">
      <c r="A58" s="481" t="s">
        <v>45</v>
      </c>
      <c r="B58" s="481"/>
      <c r="C58" s="481"/>
      <c r="D58" s="481"/>
      <c r="E58" s="481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F58" s="50"/>
    </row>
    <row r="59" spans="1:32" ht="26.25" thickBot="1">
      <c r="A59" s="482" t="s">
        <v>849</v>
      </c>
      <c r="B59" s="483"/>
      <c r="C59" s="483"/>
      <c r="D59" s="483"/>
      <c r="E59" s="483"/>
      <c r="F59" s="483"/>
      <c r="G59" s="483"/>
      <c r="H59" s="483"/>
      <c r="I59" s="483"/>
      <c r="J59" s="483"/>
      <c r="K59" s="483"/>
      <c r="L59" s="483"/>
      <c r="M59" s="484"/>
      <c r="N59" s="485" t="s">
        <v>852</v>
      </c>
      <c r="O59" s="486"/>
      <c r="P59" s="486"/>
      <c r="Q59" s="486"/>
      <c r="R59" s="486"/>
      <c r="S59" s="486"/>
      <c r="T59" s="486"/>
      <c r="U59" s="486"/>
      <c r="V59" s="486"/>
      <c r="W59" s="486"/>
      <c r="X59" s="486"/>
      <c r="Y59" s="486"/>
      <c r="Z59" s="486"/>
      <c r="AA59" s="486"/>
      <c r="AB59" s="486"/>
      <c r="AC59" s="486"/>
      <c r="AD59" s="487"/>
    </row>
    <row r="60" spans="1:32" ht="27" customHeight="1">
      <c r="A60" s="488" t="s">
        <v>2</v>
      </c>
      <c r="B60" s="489"/>
      <c r="C60" s="363" t="s">
        <v>46</v>
      </c>
      <c r="D60" s="363" t="s">
        <v>47</v>
      </c>
      <c r="E60" s="363" t="s">
        <v>107</v>
      </c>
      <c r="F60" s="490" t="s">
        <v>106</v>
      </c>
      <c r="G60" s="491"/>
      <c r="H60" s="491"/>
      <c r="I60" s="491"/>
      <c r="J60" s="491"/>
      <c r="K60" s="491"/>
      <c r="L60" s="491"/>
      <c r="M60" s="492"/>
      <c r="N60" s="67" t="s">
        <v>110</v>
      </c>
      <c r="O60" s="363" t="s">
        <v>46</v>
      </c>
      <c r="P60" s="490" t="s">
        <v>47</v>
      </c>
      <c r="Q60" s="493"/>
      <c r="R60" s="490" t="s">
        <v>38</v>
      </c>
      <c r="S60" s="491"/>
      <c r="T60" s="491"/>
      <c r="U60" s="493"/>
      <c r="V60" s="490" t="s">
        <v>48</v>
      </c>
      <c r="W60" s="491"/>
      <c r="X60" s="491"/>
      <c r="Y60" s="491"/>
      <c r="Z60" s="491"/>
      <c r="AA60" s="491"/>
      <c r="AB60" s="491"/>
      <c r="AC60" s="491"/>
      <c r="AD60" s="492"/>
    </row>
    <row r="61" spans="1:32" ht="27" customHeight="1">
      <c r="A61" s="455" t="s">
        <v>112</v>
      </c>
      <c r="B61" s="456"/>
      <c r="C61" s="364" t="s">
        <v>140</v>
      </c>
      <c r="D61" s="364" t="s">
        <v>138</v>
      </c>
      <c r="E61" s="366" t="s">
        <v>770</v>
      </c>
      <c r="F61" s="457" t="s">
        <v>416</v>
      </c>
      <c r="G61" s="458"/>
      <c r="H61" s="458"/>
      <c r="I61" s="458"/>
      <c r="J61" s="458"/>
      <c r="K61" s="458"/>
      <c r="L61" s="458"/>
      <c r="M61" s="459"/>
      <c r="N61" s="365" t="s">
        <v>163</v>
      </c>
      <c r="O61" s="371" t="s">
        <v>207</v>
      </c>
      <c r="P61" s="472" t="s">
        <v>115</v>
      </c>
      <c r="Q61" s="473"/>
      <c r="R61" s="472" t="s">
        <v>196</v>
      </c>
      <c r="S61" s="474"/>
      <c r="T61" s="474"/>
      <c r="U61" s="473"/>
      <c r="V61" s="461" t="s">
        <v>144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116</v>
      </c>
      <c r="B62" s="456"/>
      <c r="C62" s="364" t="s">
        <v>207</v>
      </c>
      <c r="D62" s="364" t="s">
        <v>138</v>
      </c>
      <c r="E62" s="366" t="s">
        <v>825</v>
      </c>
      <c r="F62" s="457" t="s">
        <v>187</v>
      </c>
      <c r="G62" s="458"/>
      <c r="H62" s="458"/>
      <c r="I62" s="458"/>
      <c r="J62" s="458"/>
      <c r="K62" s="458"/>
      <c r="L62" s="458"/>
      <c r="M62" s="459"/>
      <c r="N62" s="385" t="s">
        <v>116</v>
      </c>
      <c r="O62" s="379" t="s">
        <v>225</v>
      </c>
      <c r="P62" s="472" t="s">
        <v>157</v>
      </c>
      <c r="Q62" s="473"/>
      <c r="R62" s="472" t="s">
        <v>587</v>
      </c>
      <c r="S62" s="474"/>
      <c r="T62" s="474"/>
      <c r="U62" s="473"/>
      <c r="V62" s="461" t="s">
        <v>144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112</v>
      </c>
      <c r="B63" s="456"/>
      <c r="C63" s="364" t="s">
        <v>851</v>
      </c>
      <c r="D63" s="364" t="s">
        <v>846</v>
      </c>
      <c r="E63" s="366" t="s">
        <v>850</v>
      </c>
      <c r="F63" s="457" t="s">
        <v>187</v>
      </c>
      <c r="G63" s="458"/>
      <c r="H63" s="458"/>
      <c r="I63" s="458"/>
      <c r="J63" s="458"/>
      <c r="K63" s="458"/>
      <c r="L63" s="458"/>
      <c r="M63" s="459"/>
      <c r="N63" s="365" t="s">
        <v>112</v>
      </c>
      <c r="O63" s="371" t="s">
        <v>264</v>
      </c>
      <c r="P63" s="472" t="s">
        <v>121</v>
      </c>
      <c r="Q63" s="473"/>
      <c r="R63" s="472" t="s">
        <v>462</v>
      </c>
      <c r="S63" s="474"/>
      <c r="T63" s="474"/>
      <c r="U63" s="473"/>
      <c r="V63" s="461" t="s">
        <v>187</v>
      </c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813</v>
      </c>
      <c r="B64" s="456"/>
      <c r="C64" s="364" t="s">
        <v>814</v>
      </c>
      <c r="D64" s="364"/>
      <c r="E64" s="366" t="s">
        <v>815</v>
      </c>
      <c r="F64" s="457" t="s">
        <v>780</v>
      </c>
      <c r="G64" s="458"/>
      <c r="H64" s="458"/>
      <c r="I64" s="458"/>
      <c r="J64" s="458"/>
      <c r="K64" s="458"/>
      <c r="L64" s="458"/>
      <c r="M64" s="459"/>
      <c r="N64" s="365"/>
      <c r="O64" s="371"/>
      <c r="P64" s="472"/>
      <c r="Q64" s="473"/>
      <c r="R64" s="472"/>
      <c r="S64" s="474"/>
      <c r="T64" s="474"/>
      <c r="U64" s="473"/>
      <c r="V64" s="461"/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 t="s">
        <v>116</v>
      </c>
      <c r="B65" s="456"/>
      <c r="C65" s="381" t="s">
        <v>225</v>
      </c>
      <c r="D65" s="381" t="s">
        <v>157</v>
      </c>
      <c r="E65" s="382" t="s">
        <v>587</v>
      </c>
      <c r="F65" s="457" t="s">
        <v>169</v>
      </c>
      <c r="G65" s="458"/>
      <c r="H65" s="458"/>
      <c r="I65" s="458"/>
      <c r="J65" s="458"/>
      <c r="K65" s="458"/>
      <c r="L65" s="458"/>
      <c r="M65" s="459"/>
      <c r="N65" s="365"/>
      <c r="O65" s="371"/>
      <c r="P65" s="472"/>
      <c r="Q65" s="473"/>
      <c r="R65" s="472"/>
      <c r="S65" s="474"/>
      <c r="T65" s="474"/>
      <c r="U65" s="473"/>
      <c r="V65" s="461"/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 t="s">
        <v>112</v>
      </c>
      <c r="B66" s="456"/>
      <c r="C66" s="364" t="s">
        <v>264</v>
      </c>
      <c r="D66" s="364" t="s">
        <v>468</v>
      </c>
      <c r="E66" s="366" t="s">
        <v>461</v>
      </c>
      <c r="F66" s="457" t="s">
        <v>416</v>
      </c>
      <c r="G66" s="458"/>
      <c r="H66" s="458"/>
      <c r="I66" s="458"/>
      <c r="J66" s="458"/>
      <c r="K66" s="458"/>
      <c r="L66" s="458"/>
      <c r="M66" s="459"/>
      <c r="N66" s="365"/>
      <c r="O66" s="371"/>
      <c r="P66" s="472"/>
      <c r="Q66" s="473"/>
      <c r="R66" s="472"/>
      <c r="S66" s="474"/>
      <c r="T66" s="474"/>
      <c r="U66" s="473"/>
      <c r="V66" s="461"/>
      <c r="W66" s="462"/>
      <c r="X66" s="462"/>
      <c r="Y66" s="462"/>
      <c r="Z66" s="462"/>
      <c r="AA66" s="462"/>
      <c r="AB66" s="462"/>
      <c r="AC66" s="462"/>
      <c r="AD66" s="463"/>
    </row>
    <row r="67" spans="1:32" ht="27" customHeight="1">
      <c r="A67" s="455" t="s">
        <v>854</v>
      </c>
      <c r="B67" s="456"/>
      <c r="C67" s="364" t="s">
        <v>851</v>
      </c>
      <c r="D67" s="364" t="s">
        <v>855</v>
      </c>
      <c r="E67" s="366" t="s">
        <v>853</v>
      </c>
      <c r="F67" s="457" t="s">
        <v>187</v>
      </c>
      <c r="G67" s="458"/>
      <c r="H67" s="458"/>
      <c r="I67" s="458"/>
      <c r="J67" s="458"/>
      <c r="K67" s="458"/>
      <c r="L67" s="458"/>
      <c r="M67" s="459"/>
      <c r="N67" s="365"/>
      <c r="O67" s="371"/>
      <c r="P67" s="472"/>
      <c r="Q67" s="473"/>
      <c r="R67" s="472"/>
      <c r="S67" s="474"/>
      <c r="T67" s="474"/>
      <c r="U67" s="473"/>
      <c r="V67" s="461"/>
      <c r="W67" s="462"/>
      <c r="X67" s="462"/>
      <c r="Y67" s="462"/>
      <c r="Z67" s="462"/>
      <c r="AA67" s="462"/>
      <c r="AB67" s="462"/>
      <c r="AC67" s="462"/>
      <c r="AD67" s="463"/>
    </row>
    <row r="68" spans="1:32" ht="27" customHeight="1">
      <c r="A68" s="455"/>
      <c r="B68" s="456"/>
      <c r="C68" s="364"/>
      <c r="D68" s="364"/>
      <c r="E68" s="366"/>
      <c r="F68" s="457"/>
      <c r="G68" s="458"/>
      <c r="H68" s="458"/>
      <c r="I68" s="458"/>
      <c r="J68" s="458"/>
      <c r="K68" s="458"/>
      <c r="L68" s="458"/>
      <c r="M68" s="459"/>
      <c r="N68" s="365"/>
      <c r="O68" s="371"/>
      <c r="P68" s="472"/>
      <c r="Q68" s="473"/>
      <c r="R68" s="472"/>
      <c r="S68" s="474"/>
      <c r="T68" s="474"/>
      <c r="U68" s="473"/>
      <c r="V68" s="461"/>
      <c r="W68" s="462"/>
      <c r="X68" s="462"/>
      <c r="Y68" s="462"/>
      <c r="Z68" s="462"/>
      <c r="AA68" s="462"/>
      <c r="AB68" s="462"/>
      <c r="AC68" s="462"/>
      <c r="AD68" s="463"/>
    </row>
    <row r="69" spans="1:32" ht="27" customHeight="1">
      <c r="A69" s="455"/>
      <c r="B69" s="456"/>
      <c r="C69" s="364"/>
      <c r="D69" s="364"/>
      <c r="E69" s="366"/>
      <c r="F69" s="457"/>
      <c r="G69" s="458"/>
      <c r="H69" s="458"/>
      <c r="I69" s="458"/>
      <c r="J69" s="458"/>
      <c r="K69" s="458"/>
      <c r="L69" s="458"/>
      <c r="M69" s="459"/>
      <c r="N69" s="365"/>
      <c r="O69" s="371"/>
      <c r="P69" s="460"/>
      <c r="Q69" s="460"/>
      <c r="R69" s="460"/>
      <c r="S69" s="460"/>
      <c r="T69" s="460"/>
      <c r="U69" s="460"/>
      <c r="V69" s="461"/>
      <c r="W69" s="462"/>
      <c r="X69" s="462"/>
      <c r="Y69" s="462"/>
      <c r="Z69" s="462"/>
      <c r="AA69" s="462"/>
      <c r="AB69" s="462"/>
      <c r="AC69" s="462"/>
      <c r="AD69" s="463"/>
      <c r="AF69" s="81">
        <f>8*3000</f>
        <v>24000</v>
      </c>
    </row>
    <row r="70" spans="1:32" ht="27" customHeight="1" thickBot="1">
      <c r="A70" s="464"/>
      <c r="B70" s="465"/>
      <c r="C70" s="367"/>
      <c r="D70" s="368"/>
      <c r="E70" s="367"/>
      <c r="F70" s="466"/>
      <c r="G70" s="467"/>
      <c r="H70" s="467"/>
      <c r="I70" s="467"/>
      <c r="J70" s="467"/>
      <c r="K70" s="467"/>
      <c r="L70" s="467"/>
      <c r="M70" s="468"/>
      <c r="N70" s="105"/>
      <c r="O70" s="97"/>
      <c r="P70" s="469"/>
      <c r="Q70" s="469"/>
      <c r="R70" s="469"/>
      <c r="S70" s="469"/>
      <c r="T70" s="469"/>
      <c r="U70" s="469"/>
      <c r="V70" s="470"/>
      <c r="W70" s="470"/>
      <c r="X70" s="470"/>
      <c r="Y70" s="470"/>
      <c r="Z70" s="470"/>
      <c r="AA70" s="470"/>
      <c r="AB70" s="470"/>
      <c r="AC70" s="470"/>
      <c r="AD70" s="471"/>
      <c r="AF70" s="81">
        <f>16*3000</f>
        <v>48000</v>
      </c>
    </row>
    <row r="71" spans="1:32" ht="27.75" thickBot="1">
      <c r="A71" s="453" t="s">
        <v>856</v>
      </c>
      <c r="B71" s="453"/>
      <c r="C71" s="453"/>
      <c r="D71" s="453"/>
      <c r="E71" s="453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81">
        <v>24000</v>
      </c>
    </row>
    <row r="72" spans="1:32" ht="29.25" customHeight="1" thickBot="1">
      <c r="A72" s="454" t="s">
        <v>111</v>
      </c>
      <c r="B72" s="451"/>
      <c r="C72" s="369" t="s">
        <v>2</v>
      </c>
      <c r="D72" s="369" t="s">
        <v>37</v>
      </c>
      <c r="E72" s="369" t="s">
        <v>3</v>
      </c>
      <c r="F72" s="451" t="s">
        <v>109</v>
      </c>
      <c r="G72" s="451"/>
      <c r="H72" s="451"/>
      <c r="I72" s="451"/>
      <c r="J72" s="451"/>
      <c r="K72" s="451" t="s">
        <v>39</v>
      </c>
      <c r="L72" s="451"/>
      <c r="M72" s="369" t="s">
        <v>40</v>
      </c>
      <c r="N72" s="451" t="s">
        <v>41</v>
      </c>
      <c r="O72" s="451"/>
      <c r="P72" s="448" t="s">
        <v>42</v>
      </c>
      <c r="Q72" s="450"/>
      <c r="R72" s="448" t="s">
        <v>43</v>
      </c>
      <c r="S72" s="449"/>
      <c r="T72" s="449"/>
      <c r="U72" s="449"/>
      <c r="V72" s="449"/>
      <c r="W72" s="449"/>
      <c r="X72" s="449"/>
      <c r="Y72" s="449"/>
      <c r="Z72" s="449"/>
      <c r="AA72" s="450"/>
      <c r="AB72" s="451" t="s">
        <v>44</v>
      </c>
      <c r="AC72" s="451"/>
      <c r="AD72" s="452"/>
      <c r="AF72" s="81">
        <f>SUM(AF69:AF71)</f>
        <v>96000</v>
      </c>
    </row>
    <row r="73" spans="1:32" ht="25.5" customHeight="1">
      <c r="A73" s="439">
        <v>1</v>
      </c>
      <c r="B73" s="440"/>
      <c r="C73" s="98" t="s">
        <v>112</v>
      </c>
      <c r="D73" s="373"/>
      <c r="E73" s="370" t="s">
        <v>138</v>
      </c>
      <c r="F73" s="441" t="s">
        <v>770</v>
      </c>
      <c r="G73" s="431"/>
      <c r="H73" s="431"/>
      <c r="I73" s="431"/>
      <c r="J73" s="431"/>
      <c r="K73" s="431" t="s">
        <v>772</v>
      </c>
      <c r="L73" s="431"/>
      <c r="M73" s="51" t="s">
        <v>154</v>
      </c>
      <c r="N73" s="442" t="s">
        <v>140</v>
      </c>
      <c r="O73" s="442"/>
      <c r="P73" s="443">
        <v>120</v>
      </c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2</v>
      </c>
      <c r="B74" s="440"/>
      <c r="C74" s="98" t="s">
        <v>112</v>
      </c>
      <c r="D74" s="373"/>
      <c r="E74" s="370" t="s">
        <v>863</v>
      </c>
      <c r="F74" s="445" t="s">
        <v>857</v>
      </c>
      <c r="G74" s="446"/>
      <c r="H74" s="446"/>
      <c r="I74" s="446"/>
      <c r="J74" s="447"/>
      <c r="K74" s="431" t="s">
        <v>868</v>
      </c>
      <c r="L74" s="431"/>
      <c r="M74" s="51" t="s">
        <v>872</v>
      </c>
      <c r="N74" s="442" t="s">
        <v>873</v>
      </c>
      <c r="O74" s="442"/>
      <c r="P74" s="443">
        <v>100</v>
      </c>
      <c r="Q74" s="443"/>
      <c r="R74" s="444"/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3</v>
      </c>
      <c r="B75" s="440"/>
      <c r="C75" s="98" t="s">
        <v>112</v>
      </c>
      <c r="D75" s="373"/>
      <c r="E75" s="370" t="s">
        <v>864</v>
      </c>
      <c r="F75" s="441" t="s">
        <v>858</v>
      </c>
      <c r="G75" s="431"/>
      <c r="H75" s="431"/>
      <c r="I75" s="431"/>
      <c r="J75" s="431"/>
      <c r="K75" s="431" t="s">
        <v>868</v>
      </c>
      <c r="L75" s="431"/>
      <c r="M75" s="51" t="s">
        <v>872</v>
      </c>
      <c r="N75" s="442" t="s">
        <v>873</v>
      </c>
      <c r="O75" s="442"/>
      <c r="P75" s="443">
        <v>100</v>
      </c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4</v>
      </c>
      <c r="B76" s="440"/>
      <c r="C76" s="98" t="s">
        <v>112</v>
      </c>
      <c r="D76" s="373"/>
      <c r="E76" s="370" t="s">
        <v>865</v>
      </c>
      <c r="F76" s="445" t="s">
        <v>859</v>
      </c>
      <c r="G76" s="446"/>
      <c r="H76" s="446"/>
      <c r="I76" s="446"/>
      <c r="J76" s="447"/>
      <c r="K76" s="431" t="s">
        <v>869</v>
      </c>
      <c r="L76" s="431"/>
      <c r="M76" s="51" t="s">
        <v>872</v>
      </c>
      <c r="N76" s="442" t="s">
        <v>873</v>
      </c>
      <c r="O76" s="442"/>
      <c r="P76" s="443">
        <v>100</v>
      </c>
      <c r="Q76" s="443"/>
      <c r="R76" s="444" t="s">
        <v>877</v>
      </c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5</v>
      </c>
      <c r="B77" s="440"/>
      <c r="C77" s="98" t="s">
        <v>112</v>
      </c>
      <c r="D77" s="373"/>
      <c r="E77" s="370" t="s">
        <v>855</v>
      </c>
      <c r="F77" s="445" t="s">
        <v>860</v>
      </c>
      <c r="G77" s="446"/>
      <c r="H77" s="446"/>
      <c r="I77" s="446"/>
      <c r="J77" s="447"/>
      <c r="K77" s="431" t="s">
        <v>870</v>
      </c>
      <c r="L77" s="431"/>
      <c r="M77" s="51" t="s">
        <v>154</v>
      </c>
      <c r="N77" s="442" t="s">
        <v>874</v>
      </c>
      <c r="O77" s="442"/>
      <c r="P77" s="443">
        <v>20</v>
      </c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6</v>
      </c>
      <c r="B78" s="440"/>
      <c r="C78" s="98" t="s">
        <v>112</v>
      </c>
      <c r="D78" s="373"/>
      <c r="E78" s="370" t="s">
        <v>866</v>
      </c>
      <c r="F78" s="445" t="s">
        <v>861</v>
      </c>
      <c r="G78" s="446"/>
      <c r="H78" s="446"/>
      <c r="I78" s="446"/>
      <c r="J78" s="447"/>
      <c r="K78" s="431" t="s">
        <v>870</v>
      </c>
      <c r="L78" s="431"/>
      <c r="M78" s="51" t="s">
        <v>154</v>
      </c>
      <c r="N78" s="442" t="s">
        <v>874</v>
      </c>
      <c r="O78" s="442"/>
      <c r="P78" s="443">
        <v>20</v>
      </c>
      <c r="Q78" s="443"/>
      <c r="R78" s="444"/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7</v>
      </c>
      <c r="B79" s="440"/>
      <c r="C79" s="98" t="s">
        <v>112</v>
      </c>
      <c r="D79" s="373"/>
      <c r="E79" s="370" t="s">
        <v>867</v>
      </c>
      <c r="F79" s="445" t="s">
        <v>862</v>
      </c>
      <c r="G79" s="446"/>
      <c r="H79" s="446"/>
      <c r="I79" s="446"/>
      <c r="J79" s="447"/>
      <c r="K79" s="431" t="s">
        <v>871</v>
      </c>
      <c r="L79" s="431"/>
      <c r="M79" s="51" t="s">
        <v>872</v>
      </c>
      <c r="N79" s="442" t="s">
        <v>875</v>
      </c>
      <c r="O79" s="442"/>
      <c r="P79" s="443">
        <v>100</v>
      </c>
      <c r="Q79" s="443"/>
      <c r="R79" s="444" t="s">
        <v>876</v>
      </c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5.5" customHeight="1">
      <c r="A80" s="439">
        <v>8</v>
      </c>
      <c r="B80" s="440"/>
      <c r="C80" s="98"/>
      <c r="D80" s="373"/>
      <c r="E80" s="370"/>
      <c r="F80" s="441"/>
      <c r="G80" s="431"/>
      <c r="H80" s="431"/>
      <c r="I80" s="431"/>
      <c r="J80" s="431"/>
      <c r="K80" s="431"/>
      <c r="L80" s="431"/>
      <c r="M80" s="51"/>
      <c r="N80" s="442"/>
      <c r="O80" s="442"/>
      <c r="P80" s="443"/>
      <c r="Q80" s="443"/>
      <c r="R80" s="444"/>
      <c r="S80" s="444"/>
      <c r="T80" s="444"/>
      <c r="U80" s="444"/>
      <c r="V80" s="444"/>
      <c r="W80" s="444"/>
      <c r="X80" s="444"/>
      <c r="Y80" s="444"/>
      <c r="Z80" s="444"/>
      <c r="AA80" s="444"/>
      <c r="AB80" s="431"/>
      <c r="AC80" s="431"/>
      <c r="AD80" s="432"/>
      <c r="AF80" s="50"/>
    </row>
    <row r="81" spans="1:32" ht="25.5" customHeight="1">
      <c r="A81" s="439">
        <v>9</v>
      </c>
      <c r="B81" s="440"/>
      <c r="C81" s="98"/>
      <c r="D81" s="373"/>
      <c r="E81" s="370"/>
      <c r="F81" s="441"/>
      <c r="G81" s="431"/>
      <c r="H81" s="431"/>
      <c r="I81" s="431"/>
      <c r="J81" s="431"/>
      <c r="K81" s="431"/>
      <c r="L81" s="431"/>
      <c r="M81" s="51"/>
      <c r="N81" s="442"/>
      <c r="O81" s="442"/>
      <c r="P81" s="443"/>
      <c r="Q81" s="443"/>
      <c r="R81" s="444"/>
      <c r="S81" s="444"/>
      <c r="T81" s="444"/>
      <c r="U81" s="444"/>
      <c r="V81" s="444"/>
      <c r="W81" s="444"/>
      <c r="X81" s="444"/>
      <c r="Y81" s="444"/>
      <c r="Z81" s="444"/>
      <c r="AA81" s="444"/>
      <c r="AB81" s="431"/>
      <c r="AC81" s="431"/>
      <c r="AD81" s="432"/>
      <c r="AF81" s="50"/>
    </row>
    <row r="82" spans="1:32" ht="25.5" customHeight="1">
      <c r="A82" s="439">
        <v>10</v>
      </c>
      <c r="B82" s="440"/>
      <c r="C82" s="98"/>
      <c r="D82" s="373"/>
      <c r="E82" s="370"/>
      <c r="F82" s="441"/>
      <c r="G82" s="431"/>
      <c r="H82" s="431"/>
      <c r="I82" s="431"/>
      <c r="J82" s="431"/>
      <c r="K82" s="431"/>
      <c r="L82" s="431"/>
      <c r="M82" s="51"/>
      <c r="N82" s="442"/>
      <c r="O82" s="442"/>
      <c r="P82" s="443"/>
      <c r="Q82" s="443"/>
      <c r="R82" s="444"/>
      <c r="S82" s="444"/>
      <c r="T82" s="444"/>
      <c r="U82" s="444"/>
      <c r="V82" s="444"/>
      <c r="W82" s="444"/>
      <c r="X82" s="444"/>
      <c r="Y82" s="444"/>
      <c r="Z82" s="444"/>
      <c r="AA82" s="444"/>
      <c r="AB82" s="431"/>
      <c r="AC82" s="431"/>
      <c r="AD82" s="432"/>
      <c r="AF82" s="50"/>
    </row>
    <row r="83" spans="1:32" ht="26.25" customHeight="1" thickBot="1">
      <c r="A83" s="411" t="s">
        <v>878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23.25" thickBot="1">
      <c r="A84" s="433" t="s">
        <v>111</v>
      </c>
      <c r="B84" s="434"/>
      <c r="C84" s="372" t="s">
        <v>2</v>
      </c>
      <c r="D84" s="372" t="s">
        <v>37</v>
      </c>
      <c r="E84" s="372" t="s">
        <v>120</v>
      </c>
      <c r="F84" s="413" t="s">
        <v>38</v>
      </c>
      <c r="G84" s="413"/>
      <c r="H84" s="413"/>
      <c r="I84" s="413"/>
      <c r="J84" s="413"/>
      <c r="K84" s="435" t="s">
        <v>58</v>
      </c>
      <c r="L84" s="436"/>
      <c r="M84" s="436"/>
      <c r="N84" s="436"/>
      <c r="O84" s="436"/>
      <c r="P84" s="436"/>
      <c r="Q84" s="436"/>
      <c r="R84" s="436"/>
      <c r="S84" s="437"/>
      <c r="T84" s="413" t="s">
        <v>49</v>
      </c>
      <c r="U84" s="413"/>
      <c r="V84" s="435" t="s">
        <v>50</v>
      </c>
      <c r="W84" s="437"/>
      <c r="X84" s="436" t="s">
        <v>51</v>
      </c>
      <c r="Y84" s="436"/>
      <c r="Z84" s="436"/>
      <c r="AA84" s="436"/>
      <c r="AB84" s="436"/>
      <c r="AC84" s="436"/>
      <c r="AD84" s="438"/>
      <c r="AF84" s="50"/>
    </row>
    <row r="85" spans="1:32" ht="33.75" customHeight="1">
      <c r="A85" s="405">
        <v>1</v>
      </c>
      <c r="B85" s="406"/>
      <c r="C85" s="374"/>
      <c r="D85" s="374"/>
      <c r="E85" s="65"/>
      <c r="F85" s="420"/>
      <c r="G85" s="421"/>
      <c r="H85" s="421"/>
      <c r="I85" s="421"/>
      <c r="J85" s="422"/>
      <c r="K85" s="423"/>
      <c r="L85" s="424"/>
      <c r="M85" s="424"/>
      <c r="N85" s="424"/>
      <c r="O85" s="424"/>
      <c r="P85" s="424"/>
      <c r="Q85" s="424"/>
      <c r="R85" s="424"/>
      <c r="S85" s="425"/>
      <c r="T85" s="426"/>
      <c r="U85" s="427"/>
      <c r="V85" s="428"/>
      <c r="W85" s="428"/>
      <c r="X85" s="429"/>
      <c r="Y85" s="429"/>
      <c r="Z85" s="429"/>
      <c r="AA85" s="429"/>
      <c r="AB85" s="429"/>
      <c r="AC85" s="429"/>
      <c r="AD85" s="430"/>
      <c r="AF85" s="50"/>
    </row>
    <row r="86" spans="1:32" ht="30" customHeight="1">
      <c r="A86" s="398">
        <f>A85+1</f>
        <v>2</v>
      </c>
      <c r="B86" s="399"/>
      <c r="C86" s="373"/>
      <c r="D86" s="373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ref="A87:A91" si="19">A86+1</f>
        <v>3</v>
      </c>
      <c r="B87" s="399"/>
      <c r="C87" s="373"/>
      <c r="D87" s="373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19"/>
        <v>4</v>
      </c>
      <c r="B88" s="399"/>
      <c r="C88" s="373"/>
      <c r="D88" s="373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0" customHeight="1">
      <c r="A89" s="398">
        <f t="shared" si="19"/>
        <v>5</v>
      </c>
      <c r="B89" s="399"/>
      <c r="C89" s="373"/>
      <c r="D89" s="373"/>
      <c r="E89" s="32"/>
      <c r="F89" s="399"/>
      <c r="G89" s="399"/>
      <c r="H89" s="399"/>
      <c r="I89" s="399"/>
      <c r="J89" s="399"/>
      <c r="K89" s="414"/>
      <c r="L89" s="415"/>
      <c r="M89" s="415"/>
      <c r="N89" s="415"/>
      <c r="O89" s="415"/>
      <c r="P89" s="415"/>
      <c r="Q89" s="415"/>
      <c r="R89" s="415"/>
      <c r="S89" s="416"/>
      <c r="T89" s="417"/>
      <c r="U89" s="417"/>
      <c r="V89" s="417"/>
      <c r="W89" s="417"/>
      <c r="X89" s="418"/>
      <c r="Y89" s="418"/>
      <c r="Z89" s="418"/>
      <c r="AA89" s="418"/>
      <c r="AB89" s="418"/>
      <c r="AC89" s="418"/>
      <c r="AD89" s="419"/>
      <c r="AF89" s="50"/>
    </row>
    <row r="90" spans="1:32" ht="30" customHeight="1">
      <c r="A90" s="398">
        <f t="shared" si="19"/>
        <v>6</v>
      </c>
      <c r="B90" s="399"/>
      <c r="C90" s="373"/>
      <c r="D90" s="373"/>
      <c r="E90" s="32"/>
      <c r="F90" s="399"/>
      <c r="G90" s="399"/>
      <c r="H90" s="399"/>
      <c r="I90" s="399"/>
      <c r="J90" s="399"/>
      <c r="K90" s="414"/>
      <c r="L90" s="415"/>
      <c r="M90" s="415"/>
      <c r="N90" s="415"/>
      <c r="O90" s="415"/>
      <c r="P90" s="415"/>
      <c r="Q90" s="415"/>
      <c r="R90" s="415"/>
      <c r="S90" s="416"/>
      <c r="T90" s="417"/>
      <c r="U90" s="417"/>
      <c r="V90" s="417"/>
      <c r="W90" s="417"/>
      <c r="X90" s="418"/>
      <c r="Y90" s="418"/>
      <c r="Z90" s="418"/>
      <c r="AA90" s="418"/>
      <c r="AB90" s="418"/>
      <c r="AC90" s="418"/>
      <c r="AD90" s="419"/>
      <c r="AF90" s="50"/>
    </row>
    <row r="91" spans="1:32" ht="30" customHeight="1">
      <c r="A91" s="398">
        <f t="shared" si="19"/>
        <v>7</v>
      </c>
      <c r="B91" s="399"/>
      <c r="C91" s="373"/>
      <c r="D91" s="373"/>
      <c r="E91" s="32"/>
      <c r="F91" s="399"/>
      <c r="G91" s="399"/>
      <c r="H91" s="399"/>
      <c r="I91" s="399"/>
      <c r="J91" s="399"/>
      <c r="K91" s="414"/>
      <c r="L91" s="415"/>
      <c r="M91" s="415"/>
      <c r="N91" s="415"/>
      <c r="O91" s="415"/>
      <c r="P91" s="415"/>
      <c r="Q91" s="415"/>
      <c r="R91" s="415"/>
      <c r="S91" s="416"/>
      <c r="T91" s="417"/>
      <c r="U91" s="417"/>
      <c r="V91" s="417"/>
      <c r="W91" s="417"/>
      <c r="X91" s="418"/>
      <c r="Y91" s="418"/>
      <c r="Z91" s="418"/>
      <c r="AA91" s="418"/>
      <c r="AB91" s="418"/>
      <c r="AC91" s="418"/>
      <c r="AD91" s="419"/>
      <c r="AF91" s="50"/>
    </row>
    <row r="92" spans="1:32" ht="36" thickBot="1">
      <c r="A92" s="411" t="s">
        <v>879</v>
      </c>
      <c r="B92" s="411"/>
      <c r="C92" s="411"/>
      <c r="D92" s="411"/>
      <c r="E92" s="411"/>
      <c r="F92" s="37"/>
      <c r="G92" s="37"/>
      <c r="H92" s="38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F92" s="50"/>
    </row>
    <row r="93" spans="1:32" ht="30.75" customHeight="1" thickBot="1">
      <c r="A93" s="412" t="s">
        <v>111</v>
      </c>
      <c r="B93" s="413"/>
      <c r="C93" s="403" t="s">
        <v>52</v>
      </c>
      <c r="D93" s="403"/>
      <c r="E93" s="403" t="s">
        <v>53</v>
      </c>
      <c r="F93" s="403"/>
      <c r="G93" s="403"/>
      <c r="H93" s="403"/>
      <c r="I93" s="403"/>
      <c r="J93" s="403"/>
      <c r="K93" s="403" t="s">
        <v>54</v>
      </c>
      <c r="L93" s="403"/>
      <c r="M93" s="403"/>
      <c r="N93" s="403"/>
      <c r="O93" s="403"/>
      <c r="P93" s="403"/>
      <c r="Q93" s="403"/>
      <c r="R93" s="403"/>
      <c r="S93" s="403"/>
      <c r="T93" s="403" t="s">
        <v>55</v>
      </c>
      <c r="U93" s="403"/>
      <c r="V93" s="403" t="s">
        <v>56</v>
      </c>
      <c r="W93" s="403"/>
      <c r="X93" s="403"/>
      <c r="Y93" s="403" t="s">
        <v>51</v>
      </c>
      <c r="Z93" s="403"/>
      <c r="AA93" s="403"/>
      <c r="AB93" s="403"/>
      <c r="AC93" s="403"/>
      <c r="AD93" s="404"/>
      <c r="AF93" s="50"/>
    </row>
    <row r="94" spans="1:32" ht="30.75" customHeight="1">
      <c r="A94" s="405">
        <v>1</v>
      </c>
      <c r="B94" s="406"/>
      <c r="C94" s="407"/>
      <c r="D94" s="407"/>
      <c r="E94" s="407"/>
      <c r="F94" s="407"/>
      <c r="G94" s="407"/>
      <c r="H94" s="407"/>
      <c r="I94" s="407"/>
      <c r="J94" s="407"/>
      <c r="K94" s="407"/>
      <c r="L94" s="407"/>
      <c r="M94" s="407"/>
      <c r="N94" s="407"/>
      <c r="O94" s="407"/>
      <c r="P94" s="407"/>
      <c r="Q94" s="407"/>
      <c r="R94" s="407"/>
      <c r="S94" s="407"/>
      <c r="T94" s="407"/>
      <c r="U94" s="407"/>
      <c r="V94" s="408"/>
      <c r="W94" s="408"/>
      <c r="X94" s="408"/>
      <c r="Y94" s="409"/>
      <c r="Z94" s="409"/>
      <c r="AA94" s="409"/>
      <c r="AB94" s="409"/>
      <c r="AC94" s="409"/>
      <c r="AD94" s="410"/>
      <c r="AF94" s="50"/>
    </row>
    <row r="95" spans="1:32" ht="30.75" customHeight="1">
      <c r="A95" s="398">
        <v>2</v>
      </c>
      <c r="B95" s="399"/>
      <c r="C95" s="400"/>
      <c r="D95" s="400"/>
      <c r="E95" s="400"/>
      <c r="F95" s="400"/>
      <c r="G95" s="400"/>
      <c r="H95" s="400"/>
      <c r="I95" s="400"/>
      <c r="J95" s="400"/>
      <c r="K95" s="400"/>
      <c r="L95" s="400"/>
      <c r="M95" s="400"/>
      <c r="N95" s="400"/>
      <c r="O95" s="400"/>
      <c r="P95" s="400"/>
      <c r="Q95" s="400"/>
      <c r="R95" s="400"/>
      <c r="S95" s="400"/>
      <c r="T95" s="401"/>
      <c r="U95" s="401"/>
      <c r="V95" s="402"/>
      <c r="W95" s="402"/>
      <c r="X95" s="402"/>
      <c r="Y95" s="390"/>
      <c r="Z95" s="390"/>
      <c r="AA95" s="390"/>
      <c r="AB95" s="390"/>
      <c r="AC95" s="390"/>
      <c r="AD95" s="391"/>
      <c r="AF95" s="50"/>
    </row>
    <row r="96" spans="1:32" ht="30.75" customHeight="1" thickBot="1">
      <c r="A96" s="392">
        <v>3</v>
      </c>
      <c r="B96" s="393"/>
      <c r="C96" s="394"/>
      <c r="D96" s="394"/>
      <c r="E96" s="394"/>
      <c r="F96" s="394"/>
      <c r="G96" s="394"/>
      <c r="H96" s="394"/>
      <c r="I96" s="394"/>
      <c r="J96" s="394"/>
      <c r="K96" s="394"/>
      <c r="L96" s="394"/>
      <c r="M96" s="394"/>
      <c r="N96" s="394"/>
      <c r="O96" s="394"/>
      <c r="P96" s="394"/>
      <c r="Q96" s="394"/>
      <c r="R96" s="394"/>
      <c r="S96" s="394"/>
      <c r="T96" s="394"/>
      <c r="U96" s="394"/>
      <c r="V96" s="395"/>
      <c r="W96" s="395"/>
      <c r="X96" s="395"/>
      <c r="Y96" s="396"/>
      <c r="Z96" s="396"/>
      <c r="AA96" s="396"/>
      <c r="AB96" s="396"/>
      <c r="AC96" s="396"/>
      <c r="AD96" s="397"/>
      <c r="AF96" s="50"/>
    </row>
  </sheetData>
  <mergeCells count="232">
    <mergeCell ref="Y95:AD95"/>
    <mergeCell ref="A96:B96"/>
    <mergeCell ref="C96:D96"/>
    <mergeCell ref="E96:J96"/>
    <mergeCell ref="K96:S96"/>
    <mergeCell ref="T96:U96"/>
    <mergeCell ref="V96:X96"/>
    <mergeCell ref="Y96:AD96"/>
    <mergeCell ref="A95:B95"/>
    <mergeCell ref="C95:D95"/>
    <mergeCell ref="E95:J95"/>
    <mergeCell ref="K95:S95"/>
    <mergeCell ref="T95:U95"/>
    <mergeCell ref="V95:X95"/>
    <mergeCell ref="V93:X93"/>
    <mergeCell ref="Y93:AD93"/>
    <mergeCell ref="A94:B94"/>
    <mergeCell ref="C94:D94"/>
    <mergeCell ref="E94:J94"/>
    <mergeCell ref="K94:S94"/>
    <mergeCell ref="T94:U94"/>
    <mergeCell ref="V94:X94"/>
    <mergeCell ref="Y94:AD94"/>
    <mergeCell ref="A92:E92"/>
    <mergeCell ref="A93:B93"/>
    <mergeCell ref="C93:D93"/>
    <mergeCell ref="E93:J93"/>
    <mergeCell ref="K93:S93"/>
    <mergeCell ref="T93:U93"/>
    <mergeCell ref="A91:B91"/>
    <mergeCell ref="F91:J91"/>
    <mergeCell ref="K91:S91"/>
    <mergeCell ref="T91:U91"/>
    <mergeCell ref="V91:W91"/>
    <mergeCell ref="X91:AD91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B82:AD82"/>
    <mergeCell ref="A83:E83"/>
    <mergeCell ref="A84:B84"/>
    <mergeCell ref="F84:J84"/>
    <mergeCell ref="K84:S84"/>
    <mergeCell ref="T84:U84"/>
    <mergeCell ref="V84:W84"/>
    <mergeCell ref="X84:AD84"/>
    <mergeCell ref="A82:B82"/>
    <mergeCell ref="F82:J82"/>
    <mergeCell ref="K82:L82"/>
    <mergeCell ref="N82:O82"/>
    <mergeCell ref="P82:Q82"/>
    <mergeCell ref="R82:AA82"/>
    <mergeCell ref="AB80:AD80"/>
    <mergeCell ref="A81:B81"/>
    <mergeCell ref="F81:J81"/>
    <mergeCell ref="K81:L81"/>
    <mergeCell ref="N81:O81"/>
    <mergeCell ref="P81:Q81"/>
    <mergeCell ref="R81:AA81"/>
    <mergeCell ref="AB81:AD81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R72:AA72"/>
    <mergeCell ref="AB72:AD72"/>
    <mergeCell ref="A73:B73"/>
    <mergeCell ref="F73:J73"/>
    <mergeCell ref="K73:L73"/>
    <mergeCell ref="N73:O73"/>
    <mergeCell ref="P73:Q73"/>
    <mergeCell ref="R73:AA73"/>
    <mergeCell ref="AB73:AD73"/>
    <mergeCell ref="A71:E71"/>
    <mergeCell ref="A72:B72"/>
    <mergeCell ref="F72:J72"/>
    <mergeCell ref="K72:L72"/>
    <mergeCell ref="N72:O72"/>
    <mergeCell ref="P72:Q72"/>
    <mergeCell ref="A69:B69"/>
    <mergeCell ref="F69:M69"/>
    <mergeCell ref="P69:Q69"/>
    <mergeCell ref="R69:U69"/>
    <mergeCell ref="V69:AD69"/>
    <mergeCell ref="A70:B70"/>
    <mergeCell ref="F70:M70"/>
    <mergeCell ref="P70:Q70"/>
    <mergeCell ref="R70:U70"/>
    <mergeCell ref="V70:AD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D4:AD5"/>
    <mergeCell ref="A31:H31"/>
    <mergeCell ref="A58:E58"/>
    <mergeCell ref="A59:M59"/>
    <mergeCell ref="N59:AD59"/>
    <mergeCell ref="A60:B60"/>
    <mergeCell ref="F60:M60"/>
    <mergeCell ref="P60:Q60"/>
    <mergeCell ref="R60:U60"/>
    <mergeCell ref="V60:AD6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6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A2C7-C37B-443F-BB7B-580ECE124C4A}">
  <sheetPr codeName="Sheet25">
    <pageSetUpPr fitToPage="1"/>
  </sheetPr>
  <dimension ref="A1:AF95"/>
  <sheetViews>
    <sheetView tabSelected="1" view="pageBreakPreview" zoomScale="70" zoomScaleNormal="72" zoomScaleSheetLayoutView="70" workbookViewId="0">
      <selection activeCell="F87" sqref="F87:J8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504" t="s">
        <v>880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04"/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05"/>
      <c r="B3" s="505"/>
      <c r="C3" s="505"/>
      <c r="D3" s="505"/>
      <c r="E3" s="505"/>
      <c r="F3" s="505"/>
      <c r="G3" s="50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06" t="s">
        <v>0</v>
      </c>
      <c r="B4" s="508" t="s">
        <v>1</v>
      </c>
      <c r="C4" s="508" t="s">
        <v>2</v>
      </c>
      <c r="D4" s="511" t="s">
        <v>3</v>
      </c>
      <c r="E4" s="513" t="s">
        <v>4</v>
      </c>
      <c r="F4" s="511" t="s">
        <v>5</v>
      </c>
      <c r="G4" s="508" t="s">
        <v>6</v>
      </c>
      <c r="H4" s="514" t="s">
        <v>7</v>
      </c>
      <c r="I4" s="494" t="s">
        <v>8</v>
      </c>
      <c r="J4" s="495"/>
      <c r="K4" s="495"/>
      <c r="L4" s="495"/>
      <c r="M4" s="495"/>
      <c r="N4" s="495"/>
      <c r="O4" s="496"/>
      <c r="P4" s="497" t="s">
        <v>9</v>
      </c>
      <c r="Q4" s="498"/>
      <c r="R4" s="499" t="s">
        <v>10</v>
      </c>
      <c r="S4" s="500"/>
      <c r="T4" s="500"/>
      <c r="U4" s="500"/>
      <c r="V4" s="501"/>
      <c r="W4" s="500" t="s">
        <v>11</v>
      </c>
      <c r="X4" s="500"/>
      <c r="Y4" s="500"/>
      <c r="Z4" s="500"/>
      <c r="AA4" s="501"/>
      <c r="AB4" s="502" t="s">
        <v>12</v>
      </c>
      <c r="AC4" s="476" t="s">
        <v>13</v>
      </c>
      <c r="AD4" s="476" t="s">
        <v>14</v>
      </c>
      <c r="AE4" s="54"/>
    </row>
    <row r="5" spans="1:32" ht="51" customHeight="1" thickBot="1">
      <c r="A5" s="507"/>
      <c r="B5" s="509"/>
      <c r="C5" s="510"/>
      <c r="D5" s="512"/>
      <c r="E5" s="512"/>
      <c r="F5" s="512"/>
      <c r="G5" s="509"/>
      <c r="H5" s="515"/>
      <c r="I5" s="55" t="s">
        <v>15</v>
      </c>
      <c r="J5" s="56" t="s">
        <v>16</v>
      </c>
      <c r="K5" s="387" t="s">
        <v>17</v>
      </c>
      <c r="L5" s="387" t="s">
        <v>18</v>
      </c>
      <c r="M5" s="387" t="s">
        <v>19</v>
      </c>
      <c r="N5" s="38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03"/>
      <c r="AC5" s="477"/>
      <c r="AD5" s="477"/>
      <c r="AE5" s="54"/>
    </row>
    <row r="6" spans="1:32" ht="27" customHeight="1">
      <c r="A6" s="106">
        <v>1</v>
      </c>
      <c r="B6" s="11" t="s">
        <v>57</v>
      </c>
      <c r="C6" s="34" t="s">
        <v>112</v>
      </c>
      <c r="D6" s="52" t="s">
        <v>138</v>
      </c>
      <c r="E6" s="53" t="s">
        <v>770</v>
      </c>
      <c r="F6" s="30" t="s">
        <v>845</v>
      </c>
      <c r="G6" s="12">
        <v>4</v>
      </c>
      <c r="H6" s="13">
        <v>24</v>
      </c>
      <c r="I6" s="31">
        <v>12000</v>
      </c>
      <c r="J6" s="14">
        <v>20731</v>
      </c>
      <c r="K6" s="15">
        <f>L6+5404</f>
        <v>26135</v>
      </c>
      <c r="L6" s="15">
        <f>1750*4+587+3286*4</f>
        <v>20731</v>
      </c>
      <c r="M6" s="15">
        <f t="shared" ref="M6:M29" si="0">L6-N6</f>
        <v>20731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24</v>
      </c>
      <c r="Q6" s="40">
        <f t="shared" ref="Q6:Q29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1</v>
      </c>
      <c r="AD6" s="10">
        <f>AC6*AB6*(1-O6)</f>
        <v>1</v>
      </c>
      <c r="AE6" s="36">
        <f>$AD$30</f>
        <v>0.44270833333333343</v>
      </c>
      <c r="AF6" s="81">
        <f t="shared" ref="AF6:AF29" si="6">A6</f>
        <v>1</v>
      </c>
    </row>
    <row r="7" spans="1:32" ht="27" customHeight="1">
      <c r="A7" s="106">
        <v>2</v>
      </c>
      <c r="B7" s="11" t="s">
        <v>57</v>
      </c>
      <c r="C7" s="34" t="s">
        <v>116</v>
      </c>
      <c r="D7" s="52" t="s">
        <v>138</v>
      </c>
      <c r="E7" s="53" t="s">
        <v>465</v>
      </c>
      <c r="F7" s="30" t="s">
        <v>139</v>
      </c>
      <c r="G7" s="12">
        <v>1</v>
      </c>
      <c r="H7" s="13">
        <v>24</v>
      </c>
      <c r="I7" s="31">
        <v>200</v>
      </c>
      <c r="J7" s="14">
        <v>200</v>
      </c>
      <c r="K7" s="15">
        <f>L7</f>
        <v>200</v>
      </c>
      <c r="L7" s="15">
        <v>200</v>
      </c>
      <c r="M7" s="15">
        <f t="shared" si="0"/>
        <v>200</v>
      </c>
      <c r="N7" s="15">
        <v>0</v>
      </c>
      <c r="O7" s="58">
        <f t="shared" si="1"/>
        <v>0</v>
      </c>
      <c r="P7" s="39">
        <f t="shared" si="2"/>
        <v>4</v>
      </c>
      <c r="Q7" s="40">
        <f t="shared" si="3"/>
        <v>20</v>
      </c>
      <c r="R7" s="7"/>
      <c r="S7" s="6"/>
      <c r="T7" s="16"/>
      <c r="U7" s="16"/>
      <c r="V7" s="17"/>
      <c r="W7" s="5"/>
      <c r="X7" s="16"/>
      <c r="Y7" s="16"/>
      <c r="Z7" s="16"/>
      <c r="AA7" s="18">
        <v>20</v>
      </c>
      <c r="AB7" s="8">
        <f t="shared" si="4"/>
        <v>1</v>
      </c>
      <c r="AC7" s="9">
        <f t="shared" si="5"/>
        <v>0.16666666666666666</v>
      </c>
      <c r="AD7" s="10">
        <f t="shared" ref="AD7:AD29" si="7">AC7*AB7*(1-O7)</f>
        <v>0.16666666666666666</v>
      </c>
      <c r="AE7" s="36">
        <f>$AD$30</f>
        <v>0.44270833333333343</v>
      </c>
      <c r="AF7" s="81">
        <f t="shared" si="6"/>
        <v>2</v>
      </c>
    </row>
    <row r="8" spans="1:32" ht="27" customHeight="1">
      <c r="A8" s="92">
        <v>3</v>
      </c>
      <c r="B8" s="11" t="s">
        <v>57</v>
      </c>
      <c r="C8" s="34" t="s">
        <v>112</v>
      </c>
      <c r="D8" s="52" t="s">
        <v>121</v>
      </c>
      <c r="E8" s="53" t="s">
        <v>783</v>
      </c>
      <c r="F8" s="30" t="s">
        <v>235</v>
      </c>
      <c r="G8" s="12">
        <v>1</v>
      </c>
      <c r="H8" s="13">
        <v>22</v>
      </c>
      <c r="I8" s="31">
        <v>250</v>
      </c>
      <c r="J8" s="5">
        <v>300</v>
      </c>
      <c r="K8" s="15">
        <f>L8+300</f>
        <v>300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7"/>
        <v>0</v>
      </c>
      <c r="AE8" s="36">
        <f>$AD$30</f>
        <v>0.44270833333333343</v>
      </c>
      <c r="AF8" s="81">
        <f t="shared" si="6"/>
        <v>3</v>
      </c>
    </row>
    <row r="9" spans="1:32" ht="27" customHeight="1">
      <c r="A9" s="92">
        <v>4</v>
      </c>
      <c r="B9" s="11" t="s">
        <v>57</v>
      </c>
      <c r="C9" s="34" t="s">
        <v>126</v>
      </c>
      <c r="D9" s="52" t="s">
        <v>157</v>
      </c>
      <c r="E9" s="53" t="s">
        <v>766</v>
      </c>
      <c r="F9" s="30" t="s">
        <v>267</v>
      </c>
      <c r="G9" s="12">
        <v>2</v>
      </c>
      <c r="H9" s="13">
        <v>24</v>
      </c>
      <c r="I9" s="7">
        <v>30000</v>
      </c>
      <c r="J9" s="14">
        <v>10192</v>
      </c>
      <c r="K9" s="15">
        <f>L9+10848+11598+11484</f>
        <v>44122</v>
      </c>
      <c r="L9" s="15">
        <f>2890*2+2206*2</f>
        <v>10192</v>
      </c>
      <c r="M9" s="15">
        <f t="shared" si="0"/>
        <v>10192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7"/>
        <v>1</v>
      </c>
      <c r="AE9" s="36">
        <f>$AD$30</f>
        <v>0.44270833333333343</v>
      </c>
      <c r="AF9" s="81">
        <f t="shared" si="6"/>
        <v>4</v>
      </c>
    </row>
    <row r="10" spans="1:32" ht="27" customHeight="1">
      <c r="A10" s="92">
        <v>5</v>
      </c>
      <c r="B10" s="11" t="s">
        <v>57</v>
      </c>
      <c r="C10" s="11" t="s">
        <v>112</v>
      </c>
      <c r="D10" s="52" t="s">
        <v>121</v>
      </c>
      <c r="E10" s="53" t="s">
        <v>152</v>
      </c>
      <c r="F10" s="30" t="s">
        <v>123</v>
      </c>
      <c r="G10" s="33">
        <v>1</v>
      </c>
      <c r="H10" s="35">
        <v>24</v>
      </c>
      <c r="I10" s="7">
        <v>115000</v>
      </c>
      <c r="J10" s="14">
        <v>4871</v>
      </c>
      <c r="K10" s="15">
        <f>L10+5338+5669+5744+4980+3619+1932+309+2790+5660+4715+1739+3127+5884+1203+3638+5732+5658+5217+2430+1897+5596+5715+3707+799+2709+2266+5086+3381+4392+5682+5705+5451+2998+2865+4585+5706</f>
        <v>148795</v>
      </c>
      <c r="L10" s="15">
        <f>2877+1994</f>
        <v>4871</v>
      </c>
      <c r="M10" s="15">
        <f t="shared" si="0"/>
        <v>4871</v>
      </c>
      <c r="N10" s="15">
        <v>0</v>
      </c>
      <c r="O10" s="58">
        <f t="shared" si="1"/>
        <v>0</v>
      </c>
      <c r="P10" s="39">
        <f t="shared" si="2"/>
        <v>22</v>
      </c>
      <c r="Q10" s="40">
        <f t="shared" si="3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0.91666666666666663</v>
      </c>
      <c r="AD10" s="10">
        <f t="shared" si="7"/>
        <v>0.91666666666666663</v>
      </c>
      <c r="AE10" s="36">
        <f>$AD$30</f>
        <v>0.44270833333333343</v>
      </c>
      <c r="AF10" s="81">
        <f t="shared" si="6"/>
        <v>5</v>
      </c>
    </row>
    <row r="11" spans="1:32" ht="27" customHeight="1">
      <c r="A11" s="92">
        <v>6</v>
      </c>
      <c r="B11" s="11" t="s">
        <v>57</v>
      </c>
      <c r="C11" s="11" t="s">
        <v>126</v>
      </c>
      <c r="D11" s="52" t="s">
        <v>121</v>
      </c>
      <c r="E11" s="53" t="s">
        <v>368</v>
      </c>
      <c r="F11" s="30" t="s">
        <v>123</v>
      </c>
      <c r="G11" s="33">
        <v>3</v>
      </c>
      <c r="H11" s="35">
        <v>24</v>
      </c>
      <c r="I11" s="7">
        <v>20000</v>
      </c>
      <c r="J11" s="14">
        <v>15201</v>
      </c>
      <c r="K11" s="15">
        <f>L11+8796</f>
        <v>23997</v>
      </c>
      <c r="L11" s="15">
        <f>2403*3+2664*3</f>
        <v>15201</v>
      </c>
      <c r="M11" s="15">
        <f t="shared" si="0"/>
        <v>15201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7"/>
        <v>1</v>
      </c>
      <c r="AE11" s="36">
        <f>$AD$30</f>
        <v>0.44270833333333343</v>
      </c>
      <c r="AF11" s="81">
        <f t="shared" si="6"/>
        <v>6</v>
      </c>
    </row>
    <row r="12" spans="1:32" ht="27" customHeight="1">
      <c r="A12" s="92">
        <v>7</v>
      </c>
      <c r="B12" s="11" t="s">
        <v>57</v>
      </c>
      <c r="C12" s="34" t="s">
        <v>116</v>
      </c>
      <c r="D12" s="52" t="s">
        <v>115</v>
      </c>
      <c r="E12" s="53" t="s">
        <v>222</v>
      </c>
      <c r="F12" s="30" t="s">
        <v>205</v>
      </c>
      <c r="G12" s="12">
        <v>1</v>
      </c>
      <c r="H12" s="13">
        <v>22</v>
      </c>
      <c r="I12" s="31">
        <v>40000</v>
      </c>
      <c r="J12" s="5">
        <v>4996</v>
      </c>
      <c r="K12" s="15">
        <f>L12+2299+960+4314+5153</f>
        <v>17722</v>
      </c>
      <c r="L12" s="15">
        <f>2385+2611</f>
        <v>4996</v>
      </c>
      <c r="M12" s="15">
        <f t="shared" si="0"/>
        <v>4996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7"/>
        <v>1</v>
      </c>
      <c r="AE12" s="36">
        <f>$AD$30</f>
        <v>0.44270833333333343</v>
      </c>
      <c r="AF12" s="81">
        <f t="shared" si="6"/>
        <v>7</v>
      </c>
    </row>
    <row r="13" spans="1:32" ht="27" customHeight="1">
      <c r="A13" s="92">
        <v>8</v>
      </c>
      <c r="B13" s="11" t="s">
        <v>57</v>
      </c>
      <c r="C13" s="11" t="s">
        <v>126</v>
      </c>
      <c r="D13" s="52" t="s">
        <v>680</v>
      </c>
      <c r="E13" s="53" t="s">
        <v>810</v>
      </c>
      <c r="F13" s="30" t="s">
        <v>267</v>
      </c>
      <c r="G13" s="33" t="s">
        <v>302</v>
      </c>
      <c r="H13" s="35">
        <v>22</v>
      </c>
      <c r="I13" s="7">
        <v>2000</v>
      </c>
      <c r="J13" s="14">
        <v>2884</v>
      </c>
      <c r="K13" s="15">
        <f>L13+1815+2884</f>
        <v>4699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7"/>
        <v>0</v>
      </c>
      <c r="AE13" s="36">
        <f>$AD$30</f>
        <v>0.44270833333333343</v>
      </c>
      <c r="AF13" s="81">
        <f t="shared" si="6"/>
        <v>8</v>
      </c>
    </row>
    <row r="14" spans="1:32" ht="27" customHeight="1">
      <c r="A14" s="99">
        <v>9</v>
      </c>
      <c r="B14" s="11" t="s">
        <v>57</v>
      </c>
      <c r="C14" s="34" t="s">
        <v>112</v>
      </c>
      <c r="D14" s="52" t="s">
        <v>121</v>
      </c>
      <c r="E14" s="53" t="s">
        <v>462</v>
      </c>
      <c r="F14" s="30" t="s">
        <v>472</v>
      </c>
      <c r="G14" s="33">
        <v>1</v>
      </c>
      <c r="H14" s="35">
        <v>50</v>
      </c>
      <c r="I14" s="7">
        <v>200</v>
      </c>
      <c r="J14" s="5">
        <v>211</v>
      </c>
      <c r="K14" s="15">
        <f>L14</f>
        <v>211</v>
      </c>
      <c r="L14" s="15">
        <f>211</f>
        <v>211</v>
      </c>
      <c r="M14" s="15">
        <f t="shared" si="0"/>
        <v>211</v>
      </c>
      <c r="N14" s="15">
        <v>0</v>
      </c>
      <c r="O14" s="58">
        <f t="shared" si="1"/>
        <v>0</v>
      </c>
      <c r="P14" s="39">
        <f t="shared" si="2"/>
        <v>5</v>
      </c>
      <c r="Q14" s="40">
        <f t="shared" si="3"/>
        <v>19</v>
      </c>
      <c r="R14" s="7"/>
      <c r="S14" s="6"/>
      <c r="T14" s="16"/>
      <c r="U14" s="16"/>
      <c r="V14" s="17"/>
      <c r="W14" s="5">
        <v>19</v>
      </c>
      <c r="X14" s="16"/>
      <c r="Y14" s="16"/>
      <c r="Z14" s="16"/>
      <c r="AA14" s="18"/>
      <c r="AB14" s="8">
        <f t="shared" si="4"/>
        <v>1</v>
      </c>
      <c r="AC14" s="9">
        <f t="shared" si="5"/>
        <v>0.20833333333333334</v>
      </c>
      <c r="AD14" s="10">
        <f t="shared" si="7"/>
        <v>0.20833333333333334</v>
      </c>
      <c r="AE14" s="36">
        <f>$AD$30</f>
        <v>0.44270833333333343</v>
      </c>
      <c r="AF14" s="81">
        <f t="shared" si="6"/>
        <v>9</v>
      </c>
    </row>
    <row r="15" spans="1:32" ht="27" customHeight="1">
      <c r="A15" s="106">
        <v>10</v>
      </c>
      <c r="B15" s="11" t="s">
        <v>57</v>
      </c>
      <c r="C15" s="34" t="s">
        <v>112</v>
      </c>
      <c r="D15" s="52" t="s">
        <v>138</v>
      </c>
      <c r="E15" s="53" t="s">
        <v>599</v>
      </c>
      <c r="F15" s="30" t="s">
        <v>139</v>
      </c>
      <c r="G15" s="12">
        <v>2</v>
      </c>
      <c r="H15" s="13">
        <v>24</v>
      </c>
      <c r="I15" s="31">
        <f>74000+25000+40000</f>
        <v>139000</v>
      </c>
      <c r="J15" s="14">
        <v>11968</v>
      </c>
      <c r="K15" s="15">
        <f>L15+8206+11870+12258+12474+11882+10946+12064+12086+11982</f>
        <v>115736</v>
      </c>
      <c r="L15" s="15">
        <f>3053*2+2931*2</f>
        <v>11968</v>
      </c>
      <c r="M15" s="15">
        <f t="shared" si="0"/>
        <v>11968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7"/>
        <v>1</v>
      </c>
      <c r="AE15" s="36">
        <f>$AD$30</f>
        <v>0.44270833333333343</v>
      </c>
      <c r="AF15" s="81">
        <f t="shared" si="6"/>
        <v>10</v>
      </c>
    </row>
    <row r="16" spans="1:32" ht="27" customHeight="1">
      <c r="A16" s="92">
        <v>11</v>
      </c>
      <c r="B16" s="11" t="s">
        <v>57</v>
      </c>
      <c r="C16" s="34" t="s">
        <v>112</v>
      </c>
      <c r="D16" s="52" t="s">
        <v>159</v>
      </c>
      <c r="E16" s="53" t="s">
        <v>234</v>
      </c>
      <c r="F16" s="30" t="s">
        <v>235</v>
      </c>
      <c r="G16" s="12">
        <v>2</v>
      </c>
      <c r="H16" s="13">
        <v>22</v>
      </c>
      <c r="I16" s="31">
        <f>72000+40000</f>
        <v>112000</v>
      </c>
      <c r="J16" s="5">
        <v>10764</v>
      </c>
      <c r="K16" s="15">
        <f>L16+4453+8440+10782+9098+8530+6582+6076+10824+10810+10874</f>
        <v>97233</v>
      </c>
      <c r="L16" s="15">
        <f>2629*2+2753*2</f>
        <v>10764</v>
      </c>
      <c r="M16" s="15">
        <f t="shared" si="0"/>
        <v>10764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7"/>
        <v>1</v>
      </c>
      <c r="AE16" s="36">
        <f>$AD$30</f>
        <v>0.44270833333333343</v>
      </c>
      <c r="AF16" s="81">
        <f t="shared" si="6"/>
        <v>11</v>
      </c>
    </row>
    <row r="17" spans="1:32" ht="27" customHeight="1">
      <c r="A17" s="106">
        <v>12</v>
      </c>
      <c r="B17" s="11" t="s">
        <v>57</v>
      </c>
      <c r="C17" s="34" t="s">
        <v>668</v>
      </c>
      <c r="D17" s="52"/>
      <c r="E17" s="53" t="s">
        <v>667</v>
      </c>
      <c r="F17" s="30" t="s">
        <v>683</v>
      </c>
      <c r="G17" s="12">
        <v>1</v>
      </c>
      <c r="H17" s="13">
        <v>24</v>
      </c>
      <c r="I17" s="7">
        <f>7000+19000</f>
        <v>26000</v>
      </c>
      <c r="J17" s="14">
        <v>4781</v>
      </c>
      <c r="K17" s="15">
        <f>L17+3864+5352+5158+5637+5649+5601</f>
        <v>36042</v>
      </c>
      <c r="L17" s="15">
        <f>1949+2832</f>
        <v>4781</v>
      </c>
      <c r="M17" s="15">
        <f t="shared" si="0"/>
        <v>4781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7"/>
        <v>1</v>
      </c>
      <c r="AE17" s="36">
        <f>$AD$30</f>
        <v>0.44270833333333343</v>
      </c>
      <c r="AF17" s="81">
        <f t="shared" si="6"/>
        <v>12</v>
      </c>
    </row>
    <row r="18" spans="1:32" ht="27" customHeight="1">
      <c r="A18" s="92">
        <v>13</v>
      </c>
      <c r="B18" s="11" t="s">
        <v>57</v>
      </c>
      <c r="C18" s="34" t="s">
        <v>668</v>
      </c>
      <c r="D18" s="52"/>
      <c r="E18" s="53" t="s">
        <v>786</v>
      </c>
      <c r="F18" s="30" t="s">
        <v>136</v>
      </c>
      <c r="G18" s="12">
        <v>1</v>
      </c>
      <c r="H18" s="13">
        <v>22</v>
      </c>
      <c r="I18" s="31">
        <v>3000</v>
      </c>
      <c r="J18" s="5">
        <v>3980</v>
      </c>
      <c r="K18" s="15">
        <f>L18+4406+3980</f>
        <v>8386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7"/>
        <v>0</v>
      </c>
      <c r="AE18" s="36">
        <f>$AD$30</f>
        <v>0.44270833333333343</v>
      </c>
      <c r="AF18" s="81">
        <f t="shared" si="6"/>
        <v>13</v>
      </c>
    </row>
    <row r="19" spans="1:32" ht="27" customHeight="1">
      <c r="A19" s="92">
        <v>14</v>
      </c>
      <c r="B19" s="11" t="s">
        <v>57</v>
      </c>
      <c r="C19" s="11" t="s">
        <v>116</v>
      </c>
      <c r="D19" s="52" t="s">
        <v>157</v>
      </c>
      <c r="E19" s="53" t="s">
        <v>587</v>
      </c>
      <c r="F19" s="30" t="s">
        <v>158</v>
      </c>
      <c r="G19" s="33">
        <v>1</v>
      </c>
      <c r="H19" s="35">
        <v>24</v>
      </c>
      <c r="I19" s="7">
        <v>20000</v>
      </c>
      <c r="J19" s="14">
        <v>3103</v>
      </c>
      <c r="K19" s="15">
        <f>L19+4287+5676+5081+1352</f>
        <v>19499</v>
      </c>
      <c r="L19" s="15">
        <f>406+2697</f>
        <v>3103</v>
      </c>
      <c r="M19" s="15">
        <f t="shared" si="0"/>
        <v>3103</v>
      </c>
      <c r="N19" s="15">
        <v>0</v>
      </c>
      <c r="O19" s="58">
        <f t="shared" si="1"/>
        <v>0</v>
      </c>
      <c r="P19" s="39">
        <f t="shared" si="2"/>
        <v>14</v>
      </c>
      <c r="Q19" s="40">
        <f t="shared" si="3"/>
        <v>10</v>
      </c>
      <c r="R19" s="7"/>
      <c r="S19" s="6">
        <v>10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0.58333333333333337</v>
      </c>
      <c r="AD19" s="10">
        <f t="shared" si="7"/>
        <v>0.58333333333333337</v>
      </c>
      <c r="AE19" s="36">
        <f>$AD$30</f>
        <v>0.44270833333333343</v>
      </c>
      <c r="AF19" s="81">
        <f t="shared" si="6"/>
        <v>14</v>
      </c>
    </row>
    <row r="20" spans="1:32" ht="27" customHeight="1">
      <c r="A20" s="106">
        <v>15</v>
      </c>
      <c r="B20" s="11" t="s">
        <v>57</v>
      </c>
      <c r="C20" s="11" t="s">
        <v>112</v>
      </c>
      <c r="D20" s="52" t="s">
        <v>115</v>
      </c>
      <c r="E20" s="53" t="s">
        <v>143</v>
      </c>
      <c r="F20" s="30" t="s">
        <v>136</v>
      </c>
      <c r="G20" s="33">
        <v>1</v>
      </c>
      <c r="H20" s="35">
        <v>24</v>
      </c>
      <c r="I20" s="7">
        <v>70000</v>
      </c>
      <c r="J20" s="14">
        <v>1986</v>
      </c>
      <c r="K20" s="15">
        <f>L20+3150+7466+4534+7764+11032+11156+11220+10030+4886+5156+5465+5493</f>
        <v>89338</v>
      </c>
      <c r="L20" s="15">
        <f>1986</f>
        <v>1986</v>
      </c>
      <c r="M20" s="15">
        <f t="shared" si="0"/>
        <v>1986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>
        <v>14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7"/>
        <v>0.41666666666666669</v>
      </c>
      <c r="AE20" s="36">
        <f>$AD$30</f>
        <v>0.44270833333333343</v>
      </c>
      <c r="AF20" s="81">
        <f t="shared" si="6"/>
        <v>15</v>
      </c>
    </row>
    <row r="21" spans="1:32" ht="26.25" customHeight="1">
      <c r="A21" s="92">
        <v>16</v>
      </c>
      <c r="B21" s="11" t="s">
        <v>57</v>
      </c>
      <c r="C21" s="11" t="s">
        <v>113</v>
      </c>
      <c r="D21" s="52"/>
      <c r="E21" s="53" t="s">
        <v>146</v>
      </c>
      <c r="F21" s="12" t="s">
        <v>114</v>
      </c>
      <c r="G21" s="12">
        <v>3</v>
      </c>
      <c r="H21" s="35">
        <v>20</v>
      </c>
      <c r="I21" s="7">
        <v>2000000</v>
      </c>
      <c r="J21" s="14">
        <v>42452</v>
      </c>
      <c r="K21" s="15">
        <f>L21+57172+63944+63948+58884+57396+63564+64736+63568+59200+55380+64440+64704+64216</f>
        <v>843604</v>
      </c>
      <c r="L21" s="15">
        <f>2568*4+8045*4</f>
        <v>42452</v>
      </c>
      <c r="M21" s="15">
        <f t="shared" si="0"/>
        <v>42452</v>
      </c>
      <c r="N21" s="15">
        <v>0</v>
      </c>
      <c r="O21" s="58">
        <f t="shared" si="1"/>
        <v>0</v>
      </c>
      <c r="P21" s="39">
        <f t="shared" si="2"/>
        <v>18</v>
      </c>
      <c r="Q21" s="40">
        <f t="shared" si="3"/>
        <v>6</v>
      </c>
      <c r="R21" s="7"/>
      <c r="S21" s="6">
        <v>6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0.75</v>
      </c>
      <c r="AD21" s="10">
        <f t="shared" si="7"/>
        <v>0.75</v>
      </c>
      <c r="AE21" s="36">
        <f>$AD$30</f>
        <v>0.44270833333333343</v>
      </c>
      <c r="AF21" s="81">
        <f t="shared" si="6"/>
        <v>16</v>
      </c>
    </row>
    <row r="22" spans="1:32" ht="26.25" customHeight="1">
      <c r="A22" s="307">
        <v>17</v>
      </c>
      <c r="B22" s="11" t="s">
        <v>57</v>
      </c>
      <c r="C22" s="11"/>
      <c r="D22" s="52"/>
      <c r="E22" s="53"/>
      <c r="F22" s="12"/>
      <c r="G22" s="12"/>
      <c r="H22" s="35"/>
      <c r="I22" s="7">
        <v>0</v>
      </c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7"/>
        <v>0</v>
      </c>
      <c r="AE22" s="36">
        <f>$AD$30</f>
        <v>0.44270833333333343</v>
      </c>
      <c r="AF22" s="81">
        <f t="shared" si="6"/>
        <v>17</v>
      </c>
    </row>
    <row r="23" spans="1:32" ht="26.25" customHeight="1">
      <c r="A23" s="307">
        <v>18</v>
      </c>
      <c r="B23" s="11" t="s">
        <v>57</v>
      </c>
      <c r="C23" s="11" t="s">
        <v>116</v>
      </c>
      <c r="D23" s="52" t="s">
        <v>600</v>
      </c>
      <c r="E23" s="53" t="s">
        <v>601</v>
      </c>
      <c r="F23" s="12" t="s">
        <v>602</v>
      </c>
      <c r="G23" s="12">
        <v>4</v>
      </c>
      <c r="H23" s="35">
        <v>15</v>
      </c>
      <c r="I23" s="7">
        <v>6000</v>
      </c>
      <c r="J23" s="14">
        <v>7513</v>
      </c>
      <c r="K23" s="15">
        <f>L23+2732+12588+7513</f>
        <v>22833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>
        <f t="shared" si="4"/>
        <v>0</v>
      </c>
      <c r="AC23" s="9">
        <f t="shared" si="5"/>
        <v>0</v>
      </c>
      <c r="AD23" s="10">
        <f t="shared" si="7"/>
        <v>0</v>
      </c>
      <c r="AE23" s="36">
        <f>$AD$30</f>
        <v>0.44270833333333343</v>
      </c>
      <c r="AF23" s="81">
        <f t="shared" si="6"/>
        <v>18</v>
      </c>
    </row>
    <row r="24" spans="1:32" ht="21.75" customHeight="1">
      <c r="A24" s="92">
        <v>31</v>
      </c>
      <c r="B24" s="11" t="s">
        <v>57</v>
      </c>
      <c r="C24" s="11" t="s">
        <v>116</v>
      </c>
      <c r="D24" s="52" t="s">
        <v>115</v>
      </c>
      <c r="E24" s="53" t="s">
        <v>149</v>
      </c>
      <c r="F24" s="12" t="s">
        <v>136</v>
      </c>
      <c r="G24" s="12">
        <v>4</v>
      </c>
      <c r="H24" s="35">
        <v>20</v>
      </c>
      <c r="I24" s="7">
        <v>70000</v>
      </c>
      <c r="J24" s="14">
        <v>22300</v>
      </c>
      <c r="K24" s="15">
        <f>L24+22300</f>
        <v>22300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7"/>
        <v>0</v>
      </c>
      <c r="AE24" s="36">
        <f>$AD$30</f>
        <v>0.44270833333333343</v>
      </c>
      <c r="AF24" s="81">
        <f t="shared" si="6"/>
        <v>31</v>
      </c>
    </row>
    <row r="25" spans="1:32" ht="21.75" customHeight="1">
      <c r="A25" s="92">
        <v>32</v>
      </c>
      <c r="B25" s="11" t="s">
        <v>57</v>
      </c>
      <c r="C25" s="11" t="s">
        <v>404</v>
      </c>
      <c r="D25" s="52"/>
      <c r="E25" s="53" t="s">
        <v>403</v>
      </c>
      <c r="F25" s="12" t="s">
        <v>410</v>
      </c>
      <c r="G25" s="12">
        <v>32</v>
      </c>
      <c r="H25" s="35">
        <v>20</v>
      </c>
      <c r="I25" s="7">
        <v>1000000</v>
      </c>
      <c r="J25" s="14">
        <v>206080</v>
      </c>
      <c r="K25" s="15">
        <f>L25+75400+283575</f>
        <v>565055</v>
      </c>
      <c r="L25" s="15">
        <f>7360*28</f>
        <v>206080</v>
      </c>
      <c r="M25" s="15">
        <f t="shared" si="0"/>
        <v>206080</v>
      </c>
      <c r="N25" s="15">
        <v>0</v>
      </c>
      <c r="O25" s="58">
        <f t="shared" si="1"/>
        <v>0</v>
      </c>
      <c r="P25" s="39">
        <f t="shared" si="2"/>
        <v>14</v>
      </c>
      <c r="Q25" s="40">
        <f t="shared" si="3"/>
        <v>10</v>
      </c>
      <c r="R25" s="7"/>
      <c r="S25" s="6"/>
      <c r="T25" s="16"/>
      <c r="U25" s="16"/>
      <c r="V25" s="17">
        <v>10</v>
      </c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0.58333333333333337</v>
      </c>
      <c r="AD25" s="10">
        <f t="shared" si="7"/>
        <v>0.58333333333333337</v>
      </c>
      <c r="AE25" s="36">
        <f>$AD$30</f>
        <v>0.44270833333333343</v>
      </c>
      <c r="AF25" s="81">
        <f t="shared" si="6"/>
        <v>32</v>
      </c>
    </row>
    <row r="26" spans="1:32" ht="21.75" customHeight="1">
      <c r="A26" s="92">
        <v>33</v>
      </c>
      <c r="B26" s="11" t="s">
        <v>57</v>
      </c>
      <c r="C26" s="11" t="s">
        <v>116</v>
      </c>
      <c r="D26" s="52" t="s">
        <v>121</v>
      </c>
      <c r="E26" s="53" t="s">
        <v>804</v>
      </c>
      <c r="F26" s="12" t="s">
        <v>136</v>
      </c>
      <c r="G26" s="12">
        <v>3</v>
      </c>
      <c r="H26" s="35">
        <v>20</v>
      </c>
      <c r="I26" s="7">
        <v>4000</v>
      </c>
      <c r="J26" s="14">
        <v>13428</v>
      </c>
      <c r="K26" s="15">
        <f>L26+3951+13428</f>
        <v>17379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4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7"/>
        <v>0</v>
      </c>
      <c r="AE26" s="36">
        <f>$AD$30</f>
        <v>0.44270833333333343</v>
      </c>
      <c r="AF26" s="81">
        <f t="shared" si="6"/>
        <v>33</v>
      </c>
    </row>
    <row r="27" spans="1:32" ht="21.75" customHeight="1">
      <c r="A27" s="92">
        <v>34</v>
      </c>
      <c r="B27" s="11" t="s">
        <v>57</v>
      </c>
      <c r="C27" s="11" t="s">
        <v>116</v>
      </c>
      <c r="D27" s="52" t="s">
        <v>115</v>
      </c>
      <c r="E27" s="53" t="s">
        <v>805</v>
      </c>
      <c r="F27" s="12" t="s">
        <v>124</v>
      </c>
      <c r="G27" s="12">
        <v>4</v>
      </c>
      <c r="H27" s="35">
        <v>20</v>
      </c>
      <c r="I27" s="7">
        <v>4000</v>
      </c>
      <c r="J27" s="14">
        <v>8984</v>
      </c>
      <c r="K27" s="15">
        <f>L27+8984</f>
        <v>8984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4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7"/>
        <v>0</v>
      </c>
      <c r="AE27" s="36">
        <f>$AD$30</f>
        <v>0.44270833333333343</v>
      </c>
      <c r="AF27" s="81">
        <f t="shared" si="6"/>
        <v>34</v>
      </c>
    </row>
    <row r="28" spans="1:32" ht="21.75" customHeight="1">
      <c r="A28" s="92">
        <v>35</v>
      </c>
      <c r="B28" s="11" t="s">
        <v>57</v>
      </c>
      <c r="C28" s="11" t="s">
        <v>116</v>
      </c>
      <c r="D28" s="52" t="s">
        <v>121</v>
      </c>
      <c r="E28" s="53" t="s">
        <v>125</v>
      </c>
      <c r="F28" s="12" t="s">
        <v>124</v>
      </c>
      <c r="G28" s="12">
        <v>4</v>
      </c>
      <c r="H28" s="35">
        <v>20</v>
      </c>
      <c r="I28" s="7">
        <v>50000</v>
      </c>
      <c r="J28" s="14">
        <v>26944</v>
      </c>
      <c r="K28" s="15">
        <f>L28+24592+26944+21716</f>
        <v>73252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4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7"/>
        <v>0</v>
      </c>
      <c r="AE28" s="36">
        <f>$AD$30</f>
        <v>0.44270833333333343</v>
      </c>
      <c r="AF28" s="81">
        <f t="shared" si="6"/>
        <v>35</v>
      </c>
    </row>
    <row r="29" spans="1:32" ht="21.75" customHeight="1" thickBot="1">
      <c r="A29" s="92">
        <v>36</v>
      </c>
      <c r="B29" s="11" t="s">
        <v>57</v>
      </c>
      <c r="C29" s="11" t="s">
        <v>113</v>
      </c>
      <c r="D29" s="52"/>
      <c r="E29" s="53" t="s">
        <v>150</v>
      </c>
      <c r="F29" s="12" t="s">
        <v>114</v>
      </c>
      <c r="G29" s="12">
        <v>4</v>
      </c>
      <c r="H29" s="35">
        <v>20</v>
      </c>
      <c r="I29" s="7">
        <v>1000000</v>
      </c>
      <c r="J29" s="14">
        <v>79328</v>
      </c>
      <c r="K29" s="15">
        <f>L29+28388+70816+76368+81764+83428+47688+53180+83092+82192+79328</f>
        <v>686244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4">
        <v>24</v>
      </c>
      <c r="W29" s="5"/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7"/>
        <v>0</v>
      </c>
      <c r="AE29" s="36">
        <f>$AD$30</f>
        <v>0.44270833333333343</v>
      </c>
      <c r="AF29" s="81">
        <f t="shared" si="6"/>
        <v>36</v>
      </c>
    </row>
    <row r="30" spans="1:32" ht="19.5" thickBot="1">
      <c r="A30" s="478" t="s">
        <v>34</v>
      </c>
      <c r="B30" s="479"/>
      <c r="C30" s="479"/>
      <c r="D30" s="479"/>
      <c r="E30" s="479"/>
      <c r="F30" s="479"/>
      <c r="G30" s="479"/>
      <c r="H30" s="480"/>
      <c r="I30" s="22">
        <f>SUM(I6:I29)</f>
        <v>4723650</v>
      </c>
      <c r="J30" s="19">
        <f>SUM(J6:J29)</f>
        <v>503197</v>
      </c>
      <c r="K30" s="20">
        <f>SUM(K6:K29)</f>
        <v>2872066</v>
      </c>
      <c r="L30" s="21">
        <f>SUM(L6:L29)</f>
        <v>337536</v>
      </c>
      <c r="M30" s="20">
        <f>SUM(M6:M29)</f>
        <v>337536</v>
      </c>
      <c r="N30" s="21">
        <f>SUM(N6:N29)</f>
        <v>0</v>
      </c>
      <c r="O30" s="41">
        <f t="shared" si="1"/>
        <v>0</v>
      </c>
      <c r="P30" s="42">
        <f>SUM(P6:P29)</f>
        <v>255</v>
      </c>
      <c r="Q30" s="43">
        <f>SUM(Q6:Q29)</f>
        <v>321</v>
      </c>
      <c r="R30" s="23">
        <f>SUM(R6:R29)</f>
        <v>0</v>
      </c>
      <c r="S30" s="24">
        <f>SUM(S6:S29)</f>
        <v>56</v>
      </c>
      <c r="T30" s="24">
        <f>SUM(T6:T29)</f>
        <v>0</v>
      </c>
      <c r="U30" s="24">
        <f>SUM(U6:U29)</f>
        <v>0</v>
      </c>
      <c r="V30" s="25">
        <f>SUM(V6:V29)</f>
        <v>58</v>
      </c>
      <c r="W30" s="26">
        <f>SUM(W6:W29)</f>
        <v>163</v>
      </c>
      <c r="X30" s="27">
        <f>SUM(X6:X29)</f>
        <v>0</v>
      </c>
      <c r="Y30" s="27">
        <f>SUM(Y6:Y29)</f>
        <v>0</v>
      </c>
      <c r="Z30" s="27">
        <f>SUM(Z6:Z29)</f>
        <v>0</v>
      </c>
      <c r="AA30" s="27">
        <f>SUM(AA6:AA29)</f>
        <v>44</v>
      </c>
      <c r="AB30" s="28">
        <f>AVERAGE(AB6:AB29)</f>
        <v>0.60869565217391308</v>
      </c>
      <c r="AC30" s="4">
        <f>AVERAGE(AC6:AC29)</f>
        <v>0.44270833333333343</v>
      </c>
      <c r="AD30" s="4">
        <f>AVERAGE(AD6:AD29)</f>
        <v>0.44270833333333343</v>
      </c>
      <c r="AE30" s="29"/>
    </row>
    <row r="31" spans="1:32">
      <c r="T31" s="50" t="s">
        <v>128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 t="s">
        <v>129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27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29.25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81" t="s">
        <v>45</v>
      </c>
      <c r="B57" s="481"/>
      <c r="C57" s="481"/>
      <c r="D57" s="481"/>
      <c r="E57" s="481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82" t="s">
        <v>881</v>
      </c>
      <c r="B58" s="483"/>
      <c r="C58" s="483"/>
      <c r="D58" s="483"/>
      <c r="E58" s="483"/>
      <c r="F58" s="483"/>
      <c r="G58" s="483"/>
      <c r="H58" s="483"/>
      <c r="I58" s="483"/>
      <c r="J58" s="483"/>
      <c r="K58" s="483"/>
      <c r="L58" s="483"/>
      <c r="M58" s="484"/>
      <c r="N58" s="485" t="s">
        <v>887</v>
      </c>
      <c r="O58" s="486"/>
      <c r="P58" s="486"/>
      <c r="Q58" s="486"/>
      <c r="R58" s="486"/>
      <c r="S58" s="486"/>
      <c r="T58" s="486"/>
      <c r="U58" s="486"/>
      <c r="V58" s="486"/>
      <c r="W58" s="486"/>
      <c r="X58" s="486"/>
      <c r="Y58" s="486"/>
      <c r="Z58" s="486"/>
      <c r="AA58" s="486"/>
      <c r="AB58" s="486"/>
      <c r="AC58" s="486"/>
      <c r="AD58" s="487"/>
    </row>
    <row r="59" spans="1:32" ht="27" customHeight="1">
      <c r="A59" s="488" t="s">
        <v>2</v>
      </c>
      <c r="B59" s="489"/>
      <c r="C59" s="386" t="s">
        <v>46</v>
      </c>
      <c r="D59" s="386" t="s">
        <v>47</v>
      </c>
      <c r="E59" s="386" t="s">
        <v>107</v>
      </c>
      <c r="F59" s="490" t="s">
        <v>106</v>
      </c>
      <c r="G59" s="491"/>
      <c r="H59" s="491"/>
      <c r="I59" s="491"/>
      <c r="J59" s="491"/>
      <c r="K59" s="491"/>
      <c r="L59" s="491"/>
      <c r="M59" s="492"/>
      <c r="N59" s="67" t="s">
        <v>110</v>
      </c>
      <c r="O59" s="386" t="s">
        <v>46</v>
      </c>
      <c r="P59" s="490" t="s">
        <v>47</v>
      </c>
      <c r="Q59" s="493"/>
      <c r="R59" s="490" t="s">
        <v>38</v>
      </c>
      <c r="S59" s="491"/>
      <c r="T59" s="491"/>
      <c r="U59" s="493"/>
      <c r="V59" s="490" t="s">
        <v>48</v>
      </c>
      <c r="W59" s="491"/>
      <c r="X59" s="491"/>
      <c r="Y59" s="491"/>
      <c r="Z59" s="491"/>
      <c r="AA59" s="491"/>
      <c r="AB59" s="491"/>
      <c r="AC59" s="491"/>
      <c r="AD59" s="492"/>
    </row>
    <row r="60" spans="1:32" ht="27" customHeight="1">
      <c r="A60" s="455" t="s">
        <v>112</v>
      </c>
      <c r="B60" s="456"/>
      <c r="C60" s="381" t="s">
        <v>140</v>
      </c>
      <c r="D60" s="381" t="s">
        <v>138</v>
      </c>
      <c r="E60" s="382" t="s">
        <v>770</v>
      </c>
      <c r="F60" s="457" t="s">
        <v>882</v>
      </c>
      <c r="G60" s="458"/>
      <c r="H60" s="458"/>
      <c r="I60" s="458"/>
      <c r="J60" s="458"/>
      <c r="K60" s="458"/>
      <c r="L60" s="458"/>
      <c r="M60" s="459"/>
      <c r="N60" s="385" t="s">
        <v>163</v>
      </c>
      <c r="O60" s="379" t="s">
        <v>207</v>
      </c>
      <c r="P60" s="472" t="s">
        <v>115</v>
      </c>
      <c r="Q60" s="473"/>
      <c r="R60" s="472" t="s">
        <v>196</v>
      </c>
      <c r="S60" s="474"/>
      <c r="T60" s="474"/>
      <c r="U60" s="473"/>
      <c r="V60" s="461" t="s">
        <v>144</v>
      </c>
      <c r="W60" s="462"/>
      <c r="X60" s="462"/>
      <c r="Y60" s="462"/>
      <c r="Z60" s="462"/>
      <c r="AA60" s="462"/>
      <c r="AB60" s="462"/>
      <c r="AC60" s="462"/>
      <c r="AD60" s="463"/>
    </row>
    <row r="61" spans="1:32" ht="27" customHeight="1">
      <c r="A61" s="455" t="s">
        <v>116</v>
      </c>
      <c r="B61" s="456"/>
      <c r="C61" s="381" t="s">
        <v>207</v>
      </c>
      <c r="D61" s="381" t="s">
        <v>138</v>
      </c>
      <c r="E61" s="382" t="s">
        <v>465</v>
      </c>
      <c r="F61" s="457" t="s">
        <v>623</v>
      </c>
      <c r="G61" s="458"/>
      <c r="H61" s="458"/>
      <c r="I61" s="458"/>
      <c r="J61" s="458"/>
      <c r="K61" s="458"/>
      <c r="L61" s="458"/>
      <c r="M61" s="459"/>
      <c r="N61" s="385" t="s">
        <v>909</v>
      </c>
      <c r="O61" s="379" t="s">
        <v>893</v>
      </c>
      <c r="P61" s="472" t="s">
        <v>115</v>
      </c>
      <c r="Q61" s="473"/>
      <c r="R61" s="472" t="s">
        <v>888</v>
      </c>
      <c r="S61" s="474"/>
      <c r="T61" s="474"/>
      <c r="U61" s="473"/>
      <c r="V61" s="461" t="s">
        <v>902</v>
      </c>
      <c r="W61" s="462"/>
      <c r="X61" s="462"/>
      <c r="Y61" s="462"/>
      <c r="Z61" s="462"/>
      <c r="AA61" s="462"/>
      <c r="AB61" s="462"/>
      <c r="AC61" s="462"/>
      <c r="AD61" s="463"/>
    </row>
    <row r="62" spans="1:32" ht="27" customHeight="1">
      <c r="A62" s="455" t="s">
        <v>116</v>
      </c>
      <c r="B62" s="456"/>
      <c r="C62" s="388" t="s">
        <v>225</v>
      </c>
      <c r="D62" s="388" t="s">
        <v>157</v>
      </c>
      <c r="E62" s="389" t="s">
        <v>587</v>
      </c>
      <c r="F62" s="457" t="s">
        <v>144</v>
      </c>
      <c r="G62" s="458"/>
      <c r="H62" s="458"/>
      <c r="I62" s="458"/>
      <c r="J62" s="458"/>
      <c r="K62" s="458"/>
      <c r="L62" s="458"/>
      <c r="M62" s="459"/>
      <c r="N62" s="385" t="s">
        <v>910</v>
      </c>
      <c r="O62" s="379" t="s">
        <v>892</v>
      </c>
      <c r="P62" s="472" t="s">
        <v>115</v>
      </c>
      <c r="Q62" s="473"/>
      <c r="R62" s="472" t="s">
        <v>889</v>
      </c>
      <c r="S62" s="474"/>
      <c r="T62" s="474"/>
      <c r="U62" s="473"/>
      <c r="V62" s="461" t="s">
        <v>902</v>
      </c>
      <c r="W62" s="462"/>
      <c r="X62" s="462"/>
      <c r="Y62" s="462"/>
      <c r="Z62" s="462"/>
      <c r="AA62" s="462"/>
      <c r="AB62" s="462"/>
      <c r="AC62" s="462"/>
      <c r="AD62" s="463"/>
    </row>
    <row r="63" spans="1:32" ht="27" customHeight="1">
      <c r="A63" s="455" t="s">
        <v>112</v>
      </c>
      <c r="B63" s="456"/>
      <c r="C63" s="388" t="s">
        <v>264</v>
      </c>
      <c r="D63" s="388" t="s">
        <v>121</v>
      </c>
      <c r="E63" s="389" t="s">
        <v>462</v>
      </c>
      <c r="F63" s="457" t="s">
        <v>416</v>
      </c>
      <c r="G63" s="458"/>
      <c r="H63" s="458"/>
      <c r="I63" s="458"/>
      <c r="J63" s="458"/>
      <c r="K63" s="458"/>
      <c r="L63" s="458"/>
      <c r="M63" s="459"/>
      <c r="N63" s="385" t="s">
        <v>910</v>
      </c>
      <c r="O63" s="379" t="s">
        <v>891</v>
      </c>
      <c r="P63" s="472" t="s">
        <v>906</v>
      </c>
      <c r="Q63" s="473"/>
      <c r="R63" s="472" t="s">
        <v>890</v>
      </c>
      <c r="S63" s="474"/>
      <c r="T63" s="474"/>
      <c r="U63" s="473"/>
      <c r="V63" s="461" t="s">
        <v>902</v>
      </c>
      <c r="W63" s="462"/>
      <c r="X63" s="462"/>
      <c r="Y63" s="462"/>
      <c r="Z63" s="462"/>
      <c r="AA63" s="462"/>
      <c r="AB63" s="462"/>
      <c r="AC63" s="462"/>
      <c r="AD63" s="463"/>
    </row>
    <row r="64" spans="1:32" ht="27" customHeight="1">
      <c r="A64" s="455" t="s">
        <v>884</v>
      </c>
      <c r="B64" s="456"/>
      <c r="C64" s="381" t="s">
        <v>885</v>
      </c>
      <c r="D64" s="381" t="s">
        <v>886</v>
      </c>
      <c r="E64" s="382" t="s">
        <v>883</v>
      </c>
      <c r="F64" s="457" t="s">
        <v>215</v>
      </c>
      <c r="G64" s="458"/>
      <c r="H64" s="458"/>
      <c r="I64" s="458"/>
      <c r="J64" s="458"/>
      <c r="K64" s="458"/>
      <c r="L64" s="458"/>
      <c r="M64" s="459"/>
      <c r="N64" s="385" t="s">
        <v>909</v>
      </c>
      <c r="O64" s="379" t="s">
        <v>895</v>
      </c>
      <c r="P64" s="472" t="s">
        <v>907</v>
      </c>
      <c r="Q64" s="473"/>
      <c r="R64" s="472" t="s">
        <v>894</v>
      </c>
      <c r="S64" s="474"/>
      <c r="T64" s="474"/>
      <c r="U64" s="473"/>
      <c r="V64" s="461" t="s">
        <v>902</v>
      </c>
      <c r="W64" s="462"/>
      <c r="X64" s="462"/>
      <c r="Y64" s="462"/>
      <c r="Z64" s="462"/>
      <c r="AA64" s="462"/>
      <c r="AB64" s="462"/>
      <c r="AC64" s="462"/>
      <c r="AD64" s="463"/>
    </row>
    <row r="65" spans="1:32" ht="27" customHeight="1">
      <c r="A65" s="455" t="s">
        <v>112</v>
      </c>
      <c r="B65" s="456"/>
      <c r="C65" s="381" t="s">
        <v>900</v>
      </c>
      <c r="D65" s="381" t="s">
        <v>886</v>
      </c>
      <c r="E65" s="382" t="s">
        <v>899</v>
      </c>
      <c r="F65" s="457" t="s">
        <v>901</v>
      </c>
      <c r="G65" s="458"/>
      <c r="H65" s="458"/>
      <c r="I65" s="458"/>
      <c r="J65" s="458"/>
      <c r="K65" s="458"/>
      <c r="L65" s="458"/>
      <c r="M65" s="459"/>
      <c r="N65" s="385" t="s">
        <v>910</v>
      </c>
      <c r="O65" s="379" t="s">
        <v>897</v>
      </c>
      <c r="P65" s="472" t="s">
        <v>115</v>
      </c>
      <c r="Q65" s="473"/>
      <c r="R65" s="472" t="s">
        <v>896</v>
      </c>
      <c r="S65" s="474"/>
      <c r="T65" s="474"/>
      <c r="U65" s="473"/>
      <c r="V65" s="461" t="s">
        <v>902</v>
      </c>
      <c r="W65" s="462"/>
      <c r="X65" s="462"/>
      <c r="Y65" s="462"/>
      <c r="Z65" s="462"/>
      <c r="AA65" s="462"/>
      <c r="AB65" s="462"/>
      <c r="AC65" s="462"/>
      <c r="AD65" s="463"/>
    </row>
    <row r="66" spans="1:32" ht="27" customHeight="1">
      <c r="A66" s="455"/>
      <c r="B66" s="456"/>
      <c r="C66" s="381"/>
      <c r="D66" s="381"/>
      <c r="E66" s="382"/>
      <c r="F66" s="457"/>
      <c r="G66" s="458"/>
      <c r="H66" s="458"/>
      <c r="I66" s="458"/>
      <c r="J66" s="458"/>
      <c r="K66" s="458"/>
      <c r="L66" s="458"/>
      <c r="M66" s="459"/>
      <c r="N66" s="385" t="s">
        <v>910</v>
      </c>
      <c r="O66" s="379" t="s">
        <v>903</v>
      </c>
      <c r="P66" s="472" t="s">
        <v>908</v>
      </c>
      <c r="Q66" s="473"/>
      <c r="R66" s="472" t="s">
        <v>898</v>
      </c>
      <c r="S66" s="474"/>
      <c r="T66" s="474"/>
      <c r="U66" s="473"/>
      <c r="V66" s="461" t="s">
        <v>902</v>
      </c>
      <c r="W66" s="462"/>
      <c r="X66" s="462"/>
      <c r="Y66" s="462"/>
      <c r="Z66" s="462"/>
      <c r="AA66" s="462"/>
      <c r="AB66" s="462"/>
      <c r="AC66" s="462"/>
      <c r="AD66" s="463"/>
    </row>
    <row r="67" spans="1:32" ht="27" customHeight="1">
      <c r="A67" s="455"/>
      <c r="B67" s="456"/>
      <c r="C67" s="381"/>
      <c r="D67" s="381"/>
      <c r="E67" s="382"/>
      <c r="F67" s="457"/>
      <c r="G67" s="458"/>
      <c r="H67" s="458"/>
      <c r="I67" s="458"/>
      <c r="J67" s="458"/>
      <c r="K67" s="458"/>
      <c r="L67" s="458"/>
      <c r="M67" s="459"/>
      <c r="N67" s="385" t="s">
        <v>910</v>
      </c>
      <c r="O67" s="379" t="s">
        <v>900</v>
      </c>
      <c r="P67" s="472" t="s">
        <v>115</v>
      </c>
      <c r="Q67" s="473"/>
      <c r="R67" s="472" t="s">
        <v>899</v>
      </c>
      <c r="S67" s="474"/>
      <c r="T67" s="474"/>
      <c r="U67" s="473"/>
      <c r="V67" s="461" t="s">
        <v>144</v>
      </c>
      <c r="W67" s="462"/>
      <c r="X67" s="462"/>
      <c r="Y67" s="462"/>
      <c r="Z67" s="462"/>
      <c r="AA67" s="462"/>
      <c r="AB67" s="462"/>
      <c r="AC67" s="462"/>
      <c r="AD67" s="463"/>
    </row>
    <row r="68" spans="1:32" ht="27" customHeight="1">
      <c r="A68" s="455"/>
      <c r="B68" s="456"/>
      <c r="C68" s="381"/>
      <c r="D68" s="381"/>
      <c r="E68" s="382"/>
      <c r="F68" s="457"/>
      <c r="G68" s="458"/>
      <c r="H68" s="458"/>
      <c r="I68" s="458"/>
      <c r="J68" s="458"/>
      <c r="K68" s="458"/>
      <c r="L68" s="458"/>
      <c r="M68" s="459"/>
      <c r="N68" s="385" t="s">
        <v>911</v>
      </c>
      <c r="O68" s="379" t="s">
        <v>905</v>
      </c>
      <c r="P68" s="460"/>
      <c r="Q68" s="460"/>
      <c r="R68" s="460" t="s">
        <v>904</v>
      </c>
      <c r="S68" s="460"/>
      <c r="T68" s="460"/>
      <c r="U68" s="460"/>
      <c r="V68" s="461" t="s">
        <v>902</v>
      </c>
      <c r="W68" s="462"/>
      <c r="X68" s="462"/>
      <c r="Y68" s="462"/>
      <c r="Z68" s="462"/>
      <c r="AA68" s="462"/>
      <c r="AB68" s="462"/>
      <c r="AC68" s="462"/>
      <c r="AD68" s="463"/>
      <c r="AF68" s="81">
        <f>8*3000</f>
        <v>24000</v>
      </c>
    </row>
    <row r="69" spans="1:32" ht="27" customHeight="1" thickBot="1">
      <c r="A69" s="464"/>
      <c r="B69" s="465"/>
      <c r="C69" s="383"/>
      <c r="D69" s="384"/>
      <c r="E69" s="383"/>
      <c r="F69" s="466"/>
      <c r="G69" s="467"/>
      <c r="H69" s="467"/>
      <c r="I69" s="467"/>
      <c r="J69" s="467"/>
      <c r="K69" s="467"/>
      <c r="L69" s="467"/>
      <c r="M69" s="468"/>
      <c r="N69" s="105"/>
      <c r="O69" s="97"/>
      <c r="P69" s="469"/>
      <c r="Q69" s="469"/>
      <c r="R69" s="469"/>
      <c r="S69" s="469"/>
      <c r="T69" s="469"/>
      <c r="U69" s="469"/>
      <c r="V69" s="470"/>
      <c r="W69" s="470"/>
      <c r="X69" s="470"/>
      <c r="Y69" s="470"/>
      <c r="Z69" s="470"/>
      <c r="AA69" s="470"/>
      <c r="AB69" s="470"/>
      <c r="AC69" s="470"/>
      <c r="AD69" s="471"/>
      <c r="AF69" s="81">
        <f>16*3000</f>
        <v>48000</v>
      </c>
    </row>
    <row r="70" spans="1:32" ht="27.75" thickBot="1">
      <c r="A70" s="453" t="s">
        <v>912</v>
      </c>
      <c r="B70" s="453"/>
      <c r="C70" s="453"/>
      <c r="D70" s="453"/>
      <c r="E70" s="453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54" t="s">
        <v>111</v>
      </c>
      <c r="B71" s="451"/>
      <c r="C71" s="380" t="s">
        <v>2</v>
      </c>
      <c r="D71" s="380" t="s">
        <v>37</v>
      </c>
      <c r="E71" s="380" t="s">
        <v>3</v>
      </c>
      <c r="F71" s="451" t="s">
        <v>109</v>
      </c>
      <c r="G71" s="451"/>
      <c r="H71" s="451"/>
      <c r="I71" s="451"/>
      <c r="J71" s="451"/>
      <c r="K71" s="451" t="s">
        <v>39</v>
      </c>
      <c r="L71" s="451"/>
      <c r="M71" s="380" t="s">
        <v>40</v>
      </c>
      <c r="N71" s="451" t="s">
        <v>41</v>
      </c>
      <c r="O71" s="451"/>
      <c r="P71" s="448" t="s">
        <v>42</v>
      </c>
      <c r="Q71" s="450"/>
      <c r="R71" s="448" t="s">
        <v>43</v>
      </c>
      <c r="S71" s="449"/>
      <c r="T71" s="449"/>
      <c r="U71" s="449"/>
      <c r="V71" s="449"/>
      <c r="W71" s="449"/>
      <c r="X71" s="449"/>
      <c r="Y71" s="449"/>
      <c r="Z71" s="449"/>
      <c r="AA71" s="450"/>
      <c r="AB71" s="451" t="s">
        <v>44</v>
      </c>
      <c r="AC71" s="451"/>
      <c r="AD71" s="452"/>
      <c r="AF71" s="81">
        <f>SUM(AF68:AF70)</f>
        <v>96000</v>
      </c>
    </row>
    <row r="72" spans="1:32" ht="25.5" customHeight="1">
      <c r="A72" s="439">
        <v>1</v>
      </c>
      <c r="B72" s="440"/>
      <c r="C72" s="98" t="s">
        <v>920</v>
      </c>
      <c r="D72" s="375"/>
      <c r="E72" s="378" t="s">
        <v>922</v>
      </c>
      <c r="F72" s="441" t="s">
        <v>913</v>
      </c>
      <c r="G72" s="431"/>
      <c r="H72" s="431"/>
      <c r="I72" s="431"/>
      <c r="J72" s="431"/>
      <c r="K72" s="431">
        <v>8301</v>
      </c>
      <c r="L72" s="431"/>
      <c r="M72" s="51" t="s">
        <v>930</v>
      </c>
      <c r="N72" s="442" t="s">
        <v>885</v>
      </c>
      <c r="O72" s="442"/>
      <c r="P72" s="443">
        <v>50</v>
      </c>
      <c r="Q72" s="443"/>
      <c r="R72" s="444"/>
      <c r="S72" s="444"/>
      <c r="T72" s="444"/>
      <c r="U72" s="444"/>
      <c r="V72" s="444"/>
      <c r="W72" s="444"/>
      <c r="X72" s="444"/>
      <c r="Y72" s="444"/>
      <c r="Z72" s="444"/>
      <c r="AA72" s="444"/>
      <c r="AB72" s="431"/>
      <c r="AC72" s="431"/>
      <c r="AD72" s="432"/>
      <c r="AF72" s="50"/>
    </row>
    <row r="73" spans="1:32" ht="25.5" customHeight="1">
      <c r="A73" s="439">
        <v>2</v>
      </c>
      <c r="B73" s="440"/>
      <c r="C73" s="98" t="s">
        <v>910</v>
      </c>
      <c r="D73" s="375"/>
      <c r="E73" s="378" t="s">
        <v>923</v>
      </c>
      <c r="F73" s="445" t="s">
        <v>914</v>
      </c>
      <c r="G73" s="446"/>
      <c r="H73" s="446"/>
      <c r="I73" s="446"/>
      <c r="J73" s="447"/>
      <c r="K73" s="431">
        <v>8301</v>
      </c>
      <c r="L73" s="431"/>
      <c r="M73" s="51" t="s">
        <v>930</v>
      </c>
      <c r="N73" s="442" t="s">
        <v>885</v>
      </c>
      <c r="O73" s="442"/>
      <c r="P73" s="443">
        <v>50</v>
      </c>
      <c r="Q73" s="443"/>
      <c r="R73" s="444"/>
      <c r="S73" s="444"/>
      <c r="T73" s="444"/>
      <c r="U73" s="444"/>
      <c r="V73" s="444"/>
      <c r="W73" s="444"/>
      <c r="X73" s="444"/>
      <c r="Y73" s="444"/>
      <c r="Z73" s="444"/>
      <c r="AA73" s="444"/>
      <c r="AB73" s="431"/>
      <c r="AC73" s="431"/>
      <c r="AD73" s="432"/>
      <c r="AF73" s="50"/>
    </row>
    <row r="74" spans="1:32" ht="25.5" customHeight="1">
      <c r="A74" s="439">
        <v>3</v>
      </c>
      <c r="B74" s="440"/>
      <c r="C74" s="98" t="s">
        <v>910</v>
      </c>
      <c r="D74" s="375"/>
      <c r="E74" s="378" t="s">
        <v>924</v>
      </c>
      <c r="F74" s="441" t="s">
        <v>915</v>
      </c>
      <c r="G74" s="431"/>
      <c r="H74" s="431"/>
      <c r="I74" s="431"/>
      <c r="J74" s="431"/>
      <c r="K74" s="431" t="s">
        <v>927</v>
      </c>
      <c r="L74" s="431"/>
      <c r="M74" s="51" t="s">
        <v>931</v>
      </c>
      <c r="N74" s="442" t="s">
        <v>934</v>
      </c>
      <c r="O74" s="442"/>
      <c r="P74" s="443">
        <v>50</v>
      </c>
      <c r="Q74" s="443"/>
      <c r="R74" s="444" t="s">
        <v>937</v>
      </c>
      <c r="S74" s="444"/>
      <c r="T74" s="444"/>
      <c r="U74" s="444"/>
      <c r="V74" s="444"/>
      <c r="W74" s="444"/>
      <c r="X74" s="444"/>
      <c r="Y74" s="444"/>
      <c r="Z74" s="444"/>
      <c r="AA74" s="444"/>
      <c r="AB74" s="431"/>
      <c r="AC74" s="431"/>
      <c r="AD74" s="432"/>
      <c r="AF74" s="50"/>
    </row>
    <row r="75" spans="1:32" ht="25.5" customHeight="1">
      <c r="A75" s="439">
        <v>4</v>
      </c>
      <c r="B75" s="440"/>
      <c r="C75" s="98" t="s">
        <v>921</v>
      </c>
      <c r="D75" s="375"/>
      <c r="E75" s="378"/>
      <c r="F75" s="445" t="s">
        <v>916</v>
      </c>
      <c r="G75" s="446"/>
      <c r="H75" s="446"/>
      <c r="I75" s="446"/>
      <c r="J75" s="447"/>
      <c r="K75" s="431" t="s">
        <v>928</v>
      </c>
      <c r="L75" s="431"/>
      <c r="M75" s="51" t="s">
        <v>932</v>
      </c>
      <c r="N75" s="442" t="s">
        <v>934</v>
      </c>
      <c r="O75" s="442"/>
      <c r="P75" s="443">
        <v>2500</v>
      </c>
      <c r="Q75" s="443"/>
      <c r="R75" s="444"/>
      <c r="S75" s="444"/>
      <c r="T75" s="444"/>
      <c r="U75" s="444"/>
      <c r="V75" s="444"/>
      <c r="W75" s="444"/>
      <c r="X75" s="444"/>
      <c r="Y75" s="444"/>
      <c r="Z75" s="444"/>
      <c r="AA75" s="444"/>
      <c r="AB75" s="431"/>
      <c r="AC75" s="431"/>
      <c r="AD75" s="432"/>
      <c r="AF75" s="50"/>
    </row>
    <row r="76" spans="1:32" ht="25.5" customHeight="1">
      <c r="A76" s="439">
        <v>5</v>
      </c>
      <c r="B76" s="440"/>
      <c r="C76" s="98" t="s">
        <v>921</v>
      </c>
      <c r="D76" s="375"/>
      <c r="E76" s="378"/>
      <c r="F76" s="445" t="s">
        <v>917</v>
      </c>
      <c r="G76" s="446"/>
      <c r="H76" s="446"/>
      <c r="I76" s="446"/>
      <c r="J76" s="447"/>
      <c r="K76" s="431" t="s">
        <v>928</v>
      </c>
      <c r="L76" s="431"/>
      <c r="M76" s="51" t="s">
        <v>932</v>
      </c>
      <c r="N76" s="442" t="s">
        <v>934</v>
      </c>
      <c r="O76" s="442"/>
      <c r="P76" s="443">
        <v>2500</v>
      </c>
      <c r="Q76" s="443"/>
      <c r="R76" s="444"/>
      <c r="S76" s="444"/>
      <c r="T76" s="444"/>
      <c r="U76" s="444"/>
      <c r="V76" s="444"/>
      <c r="W76" s="444"/>
      <c r="X76" s="444"/>
      <c r="Y76" s="444"/>
      <c r="Z76" s="444"/>
      <c r="AA76" s="444"/>
      <c r="AB76" s="431"/>
      <c r="AC76" s="431"/>
      <c r="AD76" s="432"/>
      <c r="AF76" s="50"/>
    </row>
    <row r="77" spans="1:32" ht="25.5" customHeight="1">
      <c r="A77" s="439">
        <v>6</v>
      </c>
      <c r="B77" s="440"/>
      <c r="C77" s="98" t="s">
        <v>909</v>
      </c>
      <c r="D77" s="375"/>
      <c r="E77" s="378" t="s">
        <v>925</v>
      </c>
      <c r="F77" s="445" t="s">
        <v>918</v>
      </c>
      <c r="G77" s="446"/>
      <c r="H77" s="446"/>
      <c r="I77" s="446"/>
      <c r="J77" s="447"/>
      <c r="K77" s="431" t="s">
        <v>927</v>
      </c>
      <c r="L77" s="431"/>
      <c r="M77" s="51" t="s">
        <v>930</v>
      </c>
      <c r="N77" s="442" t="s">
        <v>897</v>
      </c>
      <c r="O77" s="442"/>
      <c r="P77" s="443">
        <v>200</v>
      </c>
      <c r="Q77" s="443"/>
      <c r="R77" s="444"/>
      <c r="S77" s="444"/>
      <c r="T77" s="444"/>
      <c r="U77" s="444"/>
      <c r="V77" s="444"/>
      <c r="W77" s="444"/>
      <c r="X77" s="444"/>
      <c r="Y77" s="444"/>
      <c r="Z77" s="444"/>
      <c r="AA77" s="444"/>
      <c r="AB77" s="431"/>
      <c r="AC77" s="431"/>
      <c r="AD77" s="432"/>
      <c r="AF77" s="50"/>
    </row>
    <row r="78" spans="1:32" ht="25.5" customHeight="1">
      <c r="A78" s="439">
        <v>7</v>
      </c>
      <c r="B78" s="440"/>
      <c r="C78" s="98" t="s">
        <v>910</v>
      </c>
      <c r="D78" s="375"/>
      <c r="E78" s="378" t="s">
        <v>926</v>
      </c>
      <c r="F78" s="445" t="s">
        <v>919</v>
      </c>
      <c r="G78" s="446"/>
      <c r="H78" s="446"/>
      <c r="I78" s="446"/>
      <c r="J78" s="447"/>
      <c r="K78" s="431" t="s">
        <v>929</v>
      </c>
      <c r="L78" s="431"/>
      <c r="M78" s="51" t="s">
        <v>933</v>
      </c>
      <c r="N78" s="442" t="s">
        <v>935</v>
      </c>
      <c r="O78" s="442"/>
      <c r="P78" s="443">
        <v>200</v>
      </c>
      <c r="Q78" s="443"/>
      <c r="R78" s="444" t="s">
        <v>936</v>
      </c>
      <c r="S78" s="444"/>
      <c r="T78" s="444"/>
      <c r="U78" s="444"/>
      <c r="V78" s="444"/>
      <c r="W78" s="444"/>
      <c r="X78" s="444"/>
      <c r="Y78" s="444"/>
      <c r="Z78" s="444"/>
      <c r="AA78" s="444"/>
      <c r="AB78" s="431"/>
      <c r="AC78" s="431"/>
      <c r="AD78" s="432"/>
      <c r="AF78" s="50"/>
    </row>
    <row r="79" spans="1:32" ht="25.5" customHeight="1">
      <c r="A79" s="439">
        <v>8</v>
      </c>
      <c r="B79" s="440"/>
      <c r="C79" s="98"/>
      <c r="D79" s="375"/>
      <c r="E79" s="378"/>
      <c r="F79" s="441"/>
      <c r="G79" s="431"/>
      <c r="H79" s="431"/>
      <c r="I79" s="431"/>
      <c r="J79" s="431"/>
      <c r="K79" s="431"/>
      <c r="L79" s="431"/>
      <c r="M79" s="51"/>
      <c r="N79" s="442"/>
      <c r="O79" s="442"/>
      <c r="P79" s="443"/>
      <c r="Q79" s="443"/>
      <c r="R79" s="444"/>
      <c r="S79" s="444"/>
      <c r="T79" s="444"/>
      <c r="U79" s="444"/>
      <c r="V79" s="444"/>
      <c r="W79" s="444"/>
      <c r="X79" s="444"/>
      <c r="Y79" s="444"/>
      <c r="Z79" s="444"/>
      <c r="AA79" s="444"/>
      <c r="AB79" s="431"/>
      <c r="AC79" s="431"/>
      <c r="AD79" s="432"/>
      <c r="AF79" s="50"/>
    </row>
    <row r="80" spans="1:32" ht="25.5" customHeight="1">
      <c r="A80" s="439">
        <v>9</v>
      </c>
      <c r="B80" s="440"/>
      <c r="C80" s="98"/>
      <c r="D80" s="375"/>
      <c r="E80" s="378"/>
      <c r="F80" s="441"/>
      <c r="G80" s="431"/>
      <c r="H80" s="431"/>
      <c r="I80" s="431"/>
      <c r="J80" s="431"/>
      <c r="K80" s="431"/>
      <c r="L80" s="431"/>
      <c r="M80" s="51"/>
      <c r="N80" s="442"/>
      <c r="O80" s="442"/>
      <c r="P80" s="443"/>
      <c r="Q80" s="443"/>
      <c r="R80" s="444"/>
      <c r="S80" s="444"/>
      <c r="T80" s="444"/>
      <c r="U80" s="444"/>
      <c r="V80" s="444"/>
      <c r="W80" s="444"/>
      <c r="X80" s="444"/>
      <c r="Y80" s="444"/>
      <c r="Z80" s="444"/>
      <c r="AA80" s="444"/>
      <c r="AB80" s="431"/>
      <c r="AC80" s="431"/>
      <c r="AD80" s="432"/>
      <c r="AF80" s="50"/>
    </row>
    <row r="81" spans="1:32" ht="25.5" customHeight="1">
      <c r="A81" s="439">
        <v>10</v>
      </c>
      <c r="B81" s="440"/>
      <c r="C81" s="98"/>
      <c r="D81" s="375"/>
      <c r="E81" s="378"/>
      <c r="F81" s="441"/>
      <c r="G81" s="431"/>
      <c r="H81" s="431"/>
      <c r="I81" s="431"/>
      <c r="J81" s="431"/>
      <c r="K81" s="431"/>
      <c r="L81" s="431"/>
      <c r="M81" s="51"/>
      <c r="N81" s="442"/>
      <c r="O81" s="442"/>
      <c r="P81" s="443"/>
      <c r="Q81" s="443"/>
      <c r="R81" s="444"/>
      <c r="S81" s="444"/>
      <c r="T81" s="444"/>
      <c r="U81" s="444"/>
      <c r="V81" s="444"/>
      <c r="W81" s="444"/>
      <c r="X81" s="444"/>
      <c r="Y81" s="444"/>
      <c r="Z81" s="444"/>
      <c r="AA81" s="444"/>
      <c r="AB81" s="431"/>
      <c r="AC81" s="431"/>
      <c r="AD81" s="432"/>
      <c r="AF81" s="50"/>
    </row>
    <row r="82" spans="1:32" ht="26.25" customHeight="1" thickBot="1">
      <c r="A82" s="411" t="s">
        <v>938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33" t="s">
        <v>111</v>
      </c>
      <c r="B83" s="434"/>
      <c r="C83" s="377" t="s">
        <v>2</v>
      </c>
      <c r="D83" s="377" t="s">
        <v>37</v>
      </c>
      <c r="E83" s="377" t="s">
        <v>120</v>
      </c>
      <c r="F83" s="413" t="s">
        <v>38</v>
      </c>
      <c r="G83" s="413"/>
      <c r="H83" s="413"/>
      <c r="I83" s="413"/>
      <c r="J83" s="413"/>
      <c r="K83" s="435" t="s">
        <v>58</v>
      </c>
      <c r="L83" s="436"/>
      <c r="M83" s="436"/>
      <c r="N83" s="436"/>
      <c r="O83" s="436"/>
      <c r="P83" s="436"/>
      <c r="Q83" s="436"/>
      <c r="R83" s="436"/>
      <c r="S83" s="437"/>
      <c r="T83" s="413" t="s">
        <v>49</v>
      </c>
      <c r="U83" s="413"/>
      <c r="V83" s="435" t="s">
        <v>50</v>
      </c>
      <c r="W83" s="437"/>
      <c r="X83" s="436" t="s">
        <v>51</v>
      </c>
      <c r="Y83" s="436"/>
      <c r="Z83" s="436"/>
      <c r="AA83" s="436"/>
      <c r="AB83" s="436"/>
      <c r="AC83" s="436"/>
      <c r="AD83" s="438"/>
      <c r="AF83" s="50"/>
    </row>
    <row r="84" spans="1:32" ht="33.75" customHeight="1">
      <c r="A84" s="405">
        <v>1</v>
      </c>
      <c r="B84" s="406"/>
      <c r="C84" s="376"/>
      <c r="D84" s="376"/>
      <c r="E84" s="65"/>
      <c r="F84" s="420"/>
      <c r="G84" s="421"/>
      <c r="H84" s="421"/>
      <c r="I84" s="421"/>
      <c r="J84" s="422"/>
      <c r="K84" s="423"/>
      <c r="L84" s="424"/>
      <c r="M84" s="424"/>
      <c r="N84" s="424"/>
      <c r="O84" s="424"/>
      <c r="P84" s="424"/>
      <c r="Q84" s="424"/>
      <c r="R84" s="424"/>
      <c r="S84" s="425"/>
      <c r="T84" s="426"/>
      <c r="U84" s="427"/>
      <c r="V84" s="428"/>
      <c r="W84" s="428"/>
      <c r="X84" s="429"/>
      <c r="Y84" s="429"/>
      <c r="Z84" s="429"/>
      <c r="AA84" s="429"/>
      <c r="AB84" s="429"/>
      <c r="AC84" s="429"/>
      <c r="AD84" s="430"/>
      <c r="AF84" s="50"/>
    </row>
    <row r="85" spans="1:32" ht="30" customHeight="1">
      <c r="A85" s="398">
        <f>A84+1</f>
        <v>2</v>
      </c>
      <c r="B85" s="399"/>
      <c r="C85" s="375"/>
      <c r="D85" s="375"/>
      <c r="E85" s="32"/>
      <c r="F85" s="399"/>
      <c r="G85" s="399"/>
      <c r="H85" s="399"/>
      <c r="I85" s="399"/>
      <c r="J85" s="399"/>
      <c r="K85" s="414"/>
      <c r="L85" s="415"/>
      <c r="M85" s="415"/>
      <c r="N85" s="415"/>
      <c r="O85" s="415"/>
      <c r="P85" s="415"/>
      <c r="Q85" s="415"/>
      <c r="R85" s="415"/>
      <c r="S85" s="416"/>
      <c r="T85" s="417"/>
      <c r="U85" s="417"/>
      <c r="V85" s="417"/>
      <c r="W85" s="417"/>
      <c r="X85" s="418"/>
      <c r="Y85" s="418"/>
      <c r="Z85" s="418"/>
      <c r="AA85" s="418"/>
      <c r="AB85" s="418"/>
      <c r="AC85" s="418"/>
      <c r="AD85" s="419"/>
      <c r="AF85" s="50"/>
    </row>
    <row r="86" spans="1:32" ht="30" customHeight="1">
      <c r="A86" s="398">
        <f t="shared" ref="A86:A90" si="8">A85+1</f>
        <v>3</v>
      </c>
      <c r="B86" s="399"/>
      <c r="C86" s="375"/>
      <c r="D86" s="375"/>
      <c r="E86" s="32"/>
      <c r="F86" s="399"/>
      <c r="G86" s="399"/>
      <c r="H86" s="399"/>
      <c r="I86" s="399"/>
      <c r="J86" s="399"/>
      <c r="K86" s="414"/>
      <c r="L86" s="415"/>
      <c r="M86" s="415"/>
      <c r="N86" s="415"/>
      <c r="O86" s="415"/>
      <c r="P86" s="415"/>
      <c r="Q86" s="415"/>
      <c r="R86" s="415"/>
      <c r="S86" s="416"/>
      <c r="T86" s="417"/>
      <c r="U86" s="417"/>
      <c r="V86" s="417"/>
      <c r="W86" s="417"/>
      <c r="X86" s="418"/>
      <c r="Y86" s="418"/>
      <c r="Z86" s="418"/>
      <c r="AA86" s="418"/>
      <c r="AB86" s="418"/>
      <c r="AC86" s="418"/>
      <c r="AD86" s="419"/>
      <c r="AF86" s="50"/>
    </row>
    <row r="87" spans="1:32" ht="30" customHeight="1">
      <c r="A87" s="398">
        <f t="shared" si="8"/>
        <v>4</v>
      </c>
      <c r="B87" s="399"/>
      <c r="C87" s="375"/>
      <c r="D87" s="375"/>
      <c r="E87" s="32"/>
      <c r="F87" s="399"/>
      <c r="G87" s="399"/>
      <c r="H87" s="399"/>
      <c r="I87" s="399"/>
      <c r="J87" s="399"/>
      <c r="K87" s="414"/>
      <c r="L87" s="415"/>
      <c r="M87" s="415"/>
      <c r="N87" s="415"/>
      <c r="O87" s="415"/>
      <c r="P87" s="415"/>
      <c r="Q87" s="415"/>
      <c r="R87" s="415"/>
      <c r="S87" s="416"/>
      <c r="T87" s="417"/>
      <c r="U87" s="417"/>
      <c r="V87" s="417"/>
      <c r="W87" s="417"/>
      <c r="X87" s="418"/>
      <c r="Y87" s="418"/>
      <c r="Z87" s="418"/>
      <c r="AA87" s="418"/>
      <c r="AB87" s="418"/>
      <c r="AC87" s="418"/>
      <c r="AD87" s="419"/>
      <c r="AF87" s="50"/>
    </row>
    <row r="88" spans="1:32" ht="30" customHeight="1">
      <c r="A88" s="398">
        <f t="shared" si="8"/>
        <v>5</v>
      </c>
      <c r="B88" s="399"/>
      <c r="C88" s="375"/>
      <c r="D88" s="375"/>
      <c r="E88" s="32"/>
      <c r="F88" s="399"/>
      <c r="G88" s="399"/>
      <c r="H88" s="399"/>
      <c r="I88" s="399"/>
      <c r="J88" s="399"/>
      <c r="K88" s="414"/>
      <c r="L88" s="415"/>
      <c r="M88" s="415"/>
      <c r="N88" s="415"/>
      <c r="O88" s="415"/>
      <c r="P88" s="415"/>
      <c r="Q88" s="415"/>
      <c r="R88" s="415"/>
      <c r="S88" s="416"/>
      <c r="T88" s="417"/>
      <c r="U88" s="417"/>
      <c r="V88" s="417"/>
      <c r="W88" s="417"/>
      <c r="X88" s="418"/>
      <c r="Y88" s="418"/>
      <c r="Z88" s="418"/>
      <c r="AA88" s="418"/>
      <c r="AB88" s="418"/>
      <c r="AC88" s="418"/>
      <c r="AD88" s="419"/>
      <c r="AF88" s="50"/>
    </row>
    <row r="89" spans="1:32" ht="30" customHeight="1">
      <c r="A89" s="398">
        <f t="shared" si="8"/>
        <v>6</v>
      </c>
      <c r="B89" s="399"/>
      <c r="C89" s="375"/>
      <c r="D89" s="375"/>
      <c r="E89" s="32"/>
      <c r="F89" s="399"/>
      <c r="G89" s="399"/>
      <c r="H89" s="399"/>
      <c r="I89" s="399"/>
      <c r="J89" s="399"/>
      <c r="K89" s="414"/>
      <c r="L89" s="415"/>
      <c r="M89" s="415"/>
      <c r="N89" s="415"/>
      <c r="O89" s="415"/>
      <c r="P89" s="415"/>
      <c r="Q89" s="415"/>
      <c r="R89" s="415"/>
      <c r="S89" s="416"/>
      <c r="T89" s="417"/>
      <c r="U89" s="417"/>
      <c r="V89" s="417"/>
      <c r="W89" s="417"/>
      <c r="X89" s="418"/>
      <c r="Y89" s="418"/>
      <c r="Z89" s="418"/>
      <c r="AA89" s="418"/>
      <c r="AB89" s="418"/>
      <c r="AC89" s="418"/>
      <c r="AD89" s="419"/>
      <c r="AF89" s="50"/>
    </row>
    <row r="90" spans="1:32" ht="30" customHeight="1">
      <c r="A90" s="398">
        <f t="shared" si="8"/>
        <v>7</v>
      </c>
      <c r="B90" s="399"/>
      <c r="C90" s="375"/>
      <c r="D90" s="375"/>
      <c r="E90" s="32"/>
      <c r="F90" s="399"/>
      <c r="G90" s="399"/>
      <c r="H90" s="399"/>
      <c r="I90" s="399"/>
      <c r="J90" s="399"/>
      <c r="K90" s="414"/>
      <c r="L90" s="415"/>
      <c r="M90" s="415"/>
      <c r="N90" s="415"/>
      <c r="O90" s="415"/>
      <c r="P90" s="415"/>
      <c r="Q90" s="415"/>
      <c r="R90" s="415"/>
      <c r="S90" s="416"/>
      <c r="T90" s="417"/>
      <c r="U90" s="417"/>
      <c r="V90" s="417"/>
      <c r="W90" s="417"/>
      <c r="X90" s="418"/>
      <c r="Y90" s="418"/>
      <c r="Z90" s="418"/>
      <c r="AA90" s="418"/>
      <c r="AB90" s="418"/>
      <c r="AC90" s="418"/>
      <c r="AD90" s="419"/>
      <c r="AF90" s="50"/>
    </row>
    <row r="91" spans="1:32" ht="36" thickBot="1">
      <c r="A91" s="411" t="s">
        <v>939</v>
      </c>
      <c r="B91" s="411"/>
      <c r="C91" s="411"/>
      <c r="D91" s="411"/>
      <c r="E91" s="411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412" t="s">
        <v>111</v>
      </c>
      <c r="B92" s="413"/>
      <c r="C92" s="403" t="s">
        <v>52</v>
      </c>
      <c r="D92" s="403"/>
      <c r="E92" s="403" t="s">
        <v>53</v>
      </c>
      <c r="F92" s="403"/>
      <c r="G92" s="403"/>
      <c r="H92" s="403"/>
      <c r="I92" s="403"/>
      <c r="J92" s="403"/>
      <c r="K92" s="403" t="s">
        <v>54</v>
      </c>
      <c r="L92" s="403"/>
      <c r="M92" s="403"/>
      <c r="N92" s="403"/>
      <c r="O92" s="403"/>
      <c r="P92" s="403"/>
      <c r="Q92" s="403"/>
      <c r="R92" s="403"/>
      <c r="S92" s="403"/>
      <c r="T92" s="403" t="s">
        <v>55</v>
      </c>
      <c r="U92" s="403"/>
      <c r="V92" s="403" t="s">
        <v>56</v>
      </c>
      <c r="W92" s="403"/>
      <c r="X92" s="403"/>
      <c r="Y92" s="403" t="s">
        <v>51</v>
      </c>
      <c r="Z92" s="403"/>
      <c r="AA92" s="403"/>
      <c r="AB92" s="403"/>
      <c r="AC92" s="403"/>
      <c r="AD92" s="404"/>
      <c r="AF92" s="50"/>
    </row>
    <row r="93" spans="1:32" ht="30.75" customHeight="1">
      <c r="A93" s="405">
        <v>1</v>
      </c>
      <c r="B93" s="406"/>
      <c r="C93" s="407"/>
      <c r="D93" s="407"/>
      <c r="E93" s="407"/>
      <c r="F93" s="407"/>
      <c r="G93" s="407"/>
      <c r="H93" s="407"/>
      <c r="I93" s="407"/>
      <c r="J93" s="407"/>
      <c r="K93" s="407"/>
      <c r="L93" s="407"/>
      <c r="M93" s="407"/>
      <c r="N93" s="407"/>
      <c r="O93" s="407"/>
      <c r="P93" s="407"/>
      <c r="Q93" s="407"/>
      <c r="R93" s="407"/>
      <c r="S93" s="407"/>
      <c r="T93" s="407"/>
      <c r="U93" s="407"/>
      <c r="V93" s="408"/>
      <c r="W93" s="408"/>
      <c r="X93" s="408"/>
      <c r="Y93" s="409"/>
      <c r="Z93" s="409"/>
      <c r="AA93" s="409"/>
      <c r="AB93" s="409"/>
      <c r="AC93" s="409"/>
      <c r="AD93" s="410"/>
      <c r="AF93" s="50"/>
    </row>
    <row r="94" spans="1:32" ht="30.75" customHeight="1">
      <c r="A94" s="398">
        <v>2</v>
      </c>
      <c r="B94" s="399"/>
      <c r="C94" s="400"/>
      <c r="D94" s="400"/>
      <c r="E94" s="400"/>
      <c r="F94" s="400"/>
      <c r="G94" s="400"/>
      <c r="H94" s="400"/>
      <c r="I94" s="400"/>
      <c r="J94" s="400"/>
      <c r="K94" s="400"/>
      <c r="L94" s="400"/>
      <c r="M94" s="400"/>
      <c r="N94" s="400"/>
      <c r="O94" s="400"/>
      <c r="P94" s="400"/>
      <c r="Q94" s="400"/>
      <c r="R94" s="400"/>
      <c r="S94" s="400"/>
      <c r="T94" s="401"/>
      <c r="U94" s="401"/>
      <c r="V94" s="402"/>
      <c r="W94" s="402"/>
      <c r="X94" s="402"/>
      <c r="Y94" s="390"/>
      <c r="Z94" s="390"/>
      <c r="AA94" s="390"/>
      <c r="AB94" s="390"/>
      <c r="AC94" s="390"/>
      <c r="AD94" s="391"/>
      <c r="AF94" s="50"/>
    </row>
    <row r="95" spans="1:32" ht="30.75" customHeight="1" thickBot="1">
      <c r="A95" s="392">
        <v>3</v>
      </c>
      <c r="B95" s="393"/>
      <c r="C95" s="394"/>
      <c r="D95" s="394"/>
      <c r="E95" s="394"/>
      <c r="F95" s="394"/>
      <c r="G95" s="394"/>
      <c r="H95" s="394"/>
      <c r="I95" s="394"/>
      <c r="J95" s="394"/>
      <c r="K95" s="394"/>
      <c r="L95" s="394"/>
      <c r="M95" s="394"/>
      <c r="N95" s="394"/>
      <c r="O95" s="394"/>
      <c r="P95" s="394"/>
      <c r="Q95" s="394"/>
      <c r="R95" s="394"/>
      <c r="S95" s="394"/>
      <c r="T95" s="394"/>
      <c r="U95" s="394"/>
      <c r="V95" s="395"/>
      <c r="W95" s="395"/>
      <c r="X95" s="395"/>
      <c r="Y95" s="396"/>
      <c r="Z95" s="396"/>
      <c r="AA95" s="396"/>
      <c r="AB95" s="396"/>
      <c r="AC95" s="396"/>
      <c r="AD95" s="397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5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8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F16" sqref="AF16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16" t="s">
        <v>183</v>
      </c>
      <c r="B1" s="516"/>
      <c r="C1" s="516"/>
      <c r="D1" s="516"/>
      <c r="E1" s="516"/>
      <c r="F1" s="516"/>
      <c r="G1" s="516"/>
      <c r="H1" s="516"/>
    </row>
    <row r="2" spans="1:33" ht="21.75" customHeight="1" thickBot="1">
      <c r="A2" s="83" t="s">
        <v>59</v>
      </c>
      <c r="B2" s="85" t="s">
        <v>73</v>
      </c>
      <c r="C2" s="86" t="s">
        <v>74</v>
      </c>
      <c r="D2" s="86" t="s">
        <v>75</v>
      </c>
      <c r="E2" s="86" t="s">
        <v>76</v>
      </c>
      <c r="F2" s="86" t="s">
        <v>77</v>
      </c>
      <c r="G2" s="86" t="s">
        <v>78</v>
      </c>
      <c r="H2" s="86" t="s">
        <v>79</v>
      </c>
      <c r="I2" s="86" t="s">
        <v>80</v>
      </c>
      <c r="J2" s="86" t="s">
        <v>81</v>
      </c>
      <c r="K2" s="86" t="s">
        <v>82</v>
      </c>
      <c r="L2" s="86" t="s">
        <v>83</v>
      </c>
      <c r="M2" s="86" t="s">
        <v>84</v>
      </c>
      <c r="N2" s="86" t="s">
        <v>85</v>
      </c>
      <c r="O2" s="86" t="s">
        <v>86</v>
      </c>
      <c r="P2" s="86" t="s">
        <v>87</v>
      </c>
      <c r="Q2" s="86" t="s">
        <v>88</v>
      </c>
      <c r="R2" s="86" t="s">
        <v>89</v>
      </c>
      <c r="S2" s="86" t="s">
        <v>90</v>
      </c>
      <c r="T2" s="86" t="s">
        <v>91</v>
      </c>
      <c r="U2" s="86" t="s">
        <v>92</v>
      </c>
      <c r="V2" s="86" t="s">
        <v>93</v>
      </c>
      <c r="W2" s="86" t="s">
        <v>94</v>
      </c>
      <c r="X2" s="86" t="s">
        <v>95</v>
      </c>
      <c r="Y2" s="86" t="s">
        <v>96</v>
      </c>
      <c r="Z2" s="86" t="s">
        <v>97</v>
      </c>
      <c r="AA2" s="86" t="s">
        <v>98</v>
      </c>
      <c r="AB2" s="86" t="s">
        <v>99</v>
      </c>
      <c r="AC2" s="86" t="s">
        <v>100</v>
      </c>
      <c r="AD2" s="86" t="s">
        <v>101</v>
      </c>
      <c r="AE2" s="86" t="s">
        <v>102</v>
      </c>
      <c r="AF2" s="87" t="s">
        <v>103</v>
      </c>
      <c r="AG2" s="83" t="s">
        <v>105</v>
      </c>
    </row>
    <row r="3" spans="1:33" ht="21.75" customHeight="1">
      <c r="A3" s="107" t="s">
        <v>60</v>
      </c>
      <c r="B3" s="108">
        <f>'01'!AD6</f>
        <v>0.91666666666666663</v>
      </c>
      <c r="C3" s="108">
        <f>'02'!AD6</f>
        <v>0</v>
      </c>
      <c r="D3" s="109"/>
      <c r="E3" s="109">
        <f>'04'!AD6</f>
        <v>0</v>
      </c>
      <c r="F3" s="109">
        <f>'05'!AD6</f>
        <v>0</v>
      </c>
      <c r="G3" s="109">
        <f>'06'!AD6</f>
        <v>0</v>
      </c>
      <c r="H3" s="109">
        <f>'07'!AD6</f>
        <v>0</v>
      </c>
      <c r="I3" s="109">
        <f>'08'!AD6</f>
        <v>0</v>
      </c>
      <c r="J3" s="109">
        <f>'09'!AD6</f>
        <v>0</v>
      </c>
      <c r="K3" s="109">
        <f>'10'!AD6</f>
        <v>0</v>
      </c>
      <c r="L3" s="109">
        <f>'11'!AD6</f>
        <v>0</v>
      </c>
      <c r="M3" s="109">
        <f>'12'!AD6</f>
        <v>0.20833333333333334</v>
      </c>
      <c r="N3" s="110">
        <f>'13'!AD6</f>
        <v>0</v>
      </c>
      <c r="O3" s="109">
        <f>'14'!AD6</f>
        <v>0</v>
      </c>
      <c r="P3" s="109">
        <f>'15'!AD6</f>
        <v>0</v>
      </c>
      <c r="Q3" s="109"/>
      <c r="R3" s="109"/>
      <c r="S3" s="109">
        <f>'18'!AD6</f>
        <v>1</v>
      </c>
      <c r="T3" s="109">
        <f>'19'!AD6</f>
        <v>1</v>
      </c>
      <c r="U3" s="109">
        <f>'20'!AD6</f>
        <v>1</v>
      </c>
      <c r="V3" s="109">
        <f>'21'!AD6</f>
        <v>1</v>
      </c>
      <c r="W3" s="110">
        <f>'22'!AD6</f>
        <v>0.125</v>
      </c>
      <c r="X3" s="110"/>
      <c r="Y3" s="109"/>
      <c r="Z3" s="109">
        <f>'25'!AD6</f>
        <v>0</v>
      </c>
      <c r="AA3" s="109">
        <f>'26'!AD6</f>
        <v>0</v>
      </c>
      <c r="AB3" s="109">
        <f>'27'!AD6</f>
        <v>0</v>
      </c>
      <c r="AC3" s="109">
        <f>'28'!AD6</f>
        <v>0.41666666666666669</v>
      </c>
      <c r="AD3" s="109">
        <f>'29'!AD6</f>
        <v>1</v>
      </c>
      <c r="AE3" s="109"/>
      <c r="AF3" s="111"/>
      <c r="AG3" s="112">
        <f>SUM(B3:AF3)/31</f>
        <v>0.21505376344086022</v>
      </c>
    </row>
    <row r="4" spans="1:33" ht="21.75" customHeight="1">
      <c r="A4" s="95" t="s">
        <v>61</v>
      </c>
      <c r="B4" s="93">
        <f>'01'!AD7</f>
        <v>0</v>
      </c>
      <c r="C4" s="93">
        <f>'02'!AD7</f>
        <v>0</v>
      </c>
      <c r="D4" s="74"/>
      <c r="E4" s="74">
        <f>'04'!AD7</f>
        <v>0.94746317512274958</v>
      </c>
      <c r="F4" s="74">
        <f>'05'!AD7</f>
        <v>1</v>
      </c>
      <c r="G4" s="113">
        <f>'06'!AD7</f>
        <v>1</v>
      </c>
      <c r="H4" s="74">
        <f>'07'!AD7</f>
        <v>1</v>
      </c>
      <c r="I4" s="74">
        <f>'08'!AD7</f>
        <v>0.70833333333333337</v>
      </c>
      <c r="J4" s="74">
        <f>'09'!AD7</f>
        <v>1</v>
      </c>
      <c r="K4" s="74">
        <f>'10'!AD7</f>
        <v>0</v>
      </c>
      <c r="L4" s="74">
        <f>'11'!AD7</f>
        <v>1</v>
      </c>
      <c r="M4" s="74">
        <f>'12'!AD7</f>
        <v>1</v>
      </c>
      <c r="N4" s="74">
        <f>'13'!AD7</f>
        <v>1</v>
      </c>
      <c r="O4" s="74">
        <f>'14'!AD7</f>
        <v>1</v>
      </c>
      <c r="P4" s="74">
        <f>'15'!AD7</f>
        <v>1</v>
      </c>
      <c r="Q4" s="74"/>
      <c r="R4" s="74"/>
      <c r="S4" s="74">
        <f>'18'!AD7</f>
        <v>0</v>
      </c>
      <c r="T4" s="74">
        <f>'19'!AD7</f>
        <v>0.41666666666666669</v>
      </c>
      <c r="U4" s="74">
        <f>'20'!AD7</f>
        <v>0.91666666666666663</v>
      </c>
      <c r="V4" s="74">
        <f>'21'!AD7</f>
        <v>1</v>
      </c>
      <c r="W4" s="74">
        <f>'22'!AD7</f>
        <v>1</v>
      </c>
      <c r="X4" s="74"/>
      <c r="Y4" s="74"/>
      <c r="Z4" s="74">
        <f>'25'!AD7</f>
        <v>1</v>
      </c>
      <c r="AA4" s="74">
        <f>'26'!AD7</f>
        <v>0</v>
      </c>
      <c r="AB4" s="74">
        <f>'27'!AD7</f>
        <v>0</v>
      </c>
      <c r="AC4" s="74">
        <f>'28'!AD7</f>
        <v>0.20833333333333334</v>
      </c>
      <c r="AD4" s="74">
        <f>'29'!AD7</f>
        <v>0.16666666666666666</v>
      </c>
      <c r="AE4" s="74"/>
      <c r="AF4" s="75"/>
      <c r="AG4" s="76">
        <f t="shared" ref="AG4:AG27" si="0">SUM(B4:AF4)/31</f>
        <v>0.49561709167062629</v>
      </c>
    </row>
    <row r="5" spans="1:33" ht="21.75" customHeight="1">
      <c r="A5" s="95" t="s">
        <v>62</v>
      </c>
      <c r="B5" s="93">
        <f>'01'!AD8</f>
        <v>0.54166666666666663</v>
      </c>
      <c r="C5" s="93">
        <f>'02'!AD8</f>
        <v>0.16666666666666666</v>
      </c>
      <c r="D5" s="74"/>
      <c r="E5" s="74">
        <f>'04'!AD8</f>
        <v>0</v>
      </c>
      <c r="F5" s="74">
        <f>'05'!AD8</f>
        <v>0.83333333333333337</v>
      </c>
      <c r="G5" s="74">
        <f>'06'!AD8</f>
        <v>0.54166666666666663</v>
      </c>
      <c r="H5" s="74">
        <f>'07'!AD8</f>
        <v>0.5</v>
      </c>
      <c r="I5" s="74">
        <f>'08'!AD8</f>
        <v>0.875</v>
      </c>
      <c r="J5" s="74">
        <f>'09'!AD8</f>
        <v>0.625</v>
      </c>
      <c r="K5" s="74">
        <f>'10'!AD8</f>
        <v>0</v>
      </c>
      <c r="L5" s="74">
        <f>'11'!AD8</f>
        <v>0</v>
      </c>
      <c r="M5" s="74">
        <f>'12'!AD8</f>
        <v>0</v>
      </c>
      <c r="N5" s="74">
        <f>'13'!AD8</f>
        <v>0</v>
      </c>
      <c r="O5" s="74">
        <f>'14'!AD8</f>
        <v>0</v>
      </c>
      <c r="P5" s="74">
        <f>'15'!AD8</f>
        <v>0.5</v>
      </c>
      <c r="Q5" s="74"/>
      <c r="R5" s="74"/>
      <c r="S5" s="74">
        <f>'18'!AD8</f>
        <v>1</v>
      </c>
      <c r="T5" s="74">
        <f>'19'!AD8+'19'!AD9</f>
        <v>0.1875</v>
      </c>
      <c r="U5" s="74">
        <f>'20'!AD8</f>
        <v>0.95833333333333337</v>
      </c>
      <c r="V5" s="74">
        <f>'21'!AD8+'21'!AD9</f>
        <v>0.91666666666666674</v>
      </c>
      <c r="W5" s="113">
        <f>'22'!AD8</f>
        <v>1</v>
      </c>
      <c r="X5" s="74"/>
      <c r="Y5" s="74"/>
      <c r="Z5" s="74">
        <f>'25'!AD8</f>
        <v>0</v>
      </c>
      <c r="AA5" s="74">
        <f>'26'!AD8</f>
        <v>0.16666666666666666</v>
      </c>
      <c r="AB5" s="74">
        <f>'27'!AD8+'27'!AD9</f>
        <v>0.875</v>
      </c>
      <c r="AC5" s="74">
        <f>'28'!AD8</f>
        <v>0</v>
      </c>
      <c r="AD5" s="74">
        <f>'29'!AD8</f>
        <v>0</v>
      </c>
      <c r="AE5" s="74"/>
      <c r="AF5" s="75"/>
      <c r="AG5" s="76">
        <f t="shared" si="0"/>
        <v>0.31249999999999994</v>
      </c>
    </row>
    <row r="6" spans="1:33" ht="21.75" customHeight="1">
      <c r="A6" s="95" t="s">
        <v>63</v>
      </c>
      <c r="B6" s="93">
        <f>'01'!AD9</f>
        <v>0.91666666666666663</v>
      </c>
      <c r="C6" s="93">
        <f>'02'!AD9</f>
        <v>0.83333333333333337</v>
      </c>
      <c r="D6" s="74"/>
      <c r="E6" s="74">
        <f>'04'!AD9</f>
        <v>1</v>
      </c>
      <c r="F6" s="74">
        <f>'05'!AD9</f>
        <v>1</v>
      </c>
      <c r="G6" s="74">
        <f>'06'!AD9</f>
        <v>1</v>
      </c>
      <c r="H6" s="74">
        <f>'07'!AD9</f>
        <v>1</v>
      </c>
      <c r="I6" s="74">
        <f>'08'!AD9</f>
        <v>0.625</v>
      </c>
      <c r="J6" s="74">
        <f>'09'!AD9</f>
        <v>0</v>
      </c>
      <c r="K6" s="74">
        <f>'10'!AD9</f>
        <v>0</v>
      </c>
      <c r="L6" s="74">
        <f>'11'!AD9</f>
        <v>0.70833333333333337</v>
      </c>
      <c r="M6" s="74">
        <f>'12'!AD9</f>
        <v>1</v>
      </c>
      <c r="N6" s="74">
        <f>'13'!AD9</f>
        <v>1</v>
      </c>
      <c r="O6" s="74">
        <f>'14'!AD9</f>
        <v>0.875</v>
      </c>
      <c r="P6" s="74">
        <f>'15'!AD9</f>
        <v>0.16666666666666666</v>
      </c>
      <c r="Q6" s="74"/>
      <c r="R6" s="74"/>
      <c r="S6" s="74">
        <f>'18'!AD9</f>
        <v>1</v>
      </c>
      <c r="T6" s="74">
        <f>'19'!AD10</f>
        <v>1</v>
      </c>
      <c r="U6" s="74">
        <f>'20'!AD9</f>
        <v>1</v>
      </c>
      <c r="V6" s="74">
        <f>'21'!AD10</f>
        <v>1</v>
      </c>
      <c r="W6" s="74">
        <f>'22'!AD9</f>
        <v>0.16666666666666666</v>
      </c>
      <c r="X6" s="74"/>
      <c r="Y6" s="74"/>
      <c r="Z6" s="74">
        <f>'25'!AD9+'25'!AD10</f>
        <v>0.41666666666666669</v>
      </c>
      <c r="AA6" s="74">
        <f>'26'!AD9</f>
        <v>1</v>
      </c>
      <c r="AB6" s="74">
        <f>'27'!AD10</f>
        <v>1</v>
      </c>
      <c r="AC6" s="74">
        <f>'28'!AD9</f>
        <v>1</v>
      </c>
      <c r="AD6" s="74">
        <f>'29'!AD9</f>
        <v>1</v>
      </c>
      <c r="AE6" s="74"/>
      <c r="AF6" s="75"/>
      <c r="AG6" s="76">
        <f t="shared" si="0"/>
        <v>0.60349462365591378</v>
      </c>
    </row>
    <row r="7" spans="1:33" ht="21.75" customHeight="1">
      <c r="A7" s="95" t="s">
        <v>64</v>
      </c>
      <c r="B7" s="93">
        <f>'01'!AD10</f>
        <v>1</v>
      </c>
      <c r="C7" s="93">
        <f>'02'!AD10</f>
        <v>0</v>
      </c>
      <c r="D7" s="74"/>
      <c r="E7" s="74">
        <f>'04'!AD10</f>
        <v>1</v>
      </c>
      <c r="F7" s="74">
        <f>'05'!AD10</f>
        <v>0.45833333333333331</v>
      </c>
      <c r="G7" s="74">
        <f>'06'!AD10</f>
        <v>0.41666666666666669</v>
      </c>
      <c r="H7" s="74">
        <f>'07'!AD10</f>
        <v>1</v>
      </c>
      <c r="I7" s="74">
        <f>'08'!AD10</f>
        <v>1</v>
      </c>
      <c r="J7" s="74">
        <f>'09'!AD10</f>
        <v>0.79166666666666663</v>
      </c>
      <c r="K7" s="74">
        <f>'10'!AD10</f>
        <v>0.16666666666666666</v>
      </c>
      <c r="L7" s="74">
        <f>'11'!AD10</f>
        <v>0.5</v>
      </c>
      <c r="M7" s="74">
        <f>'12'!AD10</f>
        <v>0.5</v>
      </c>
      <c r="N7" s="74">
        <f>'13'!AD10</f>
        <v>0.95833333333333337</v>
      </c>
      <c r="O7" s="74">
        <f>'14'!AD10</f>
        <v>0.75</v>
      </c>
      <c r="P7" s="74">
        <f>'15'!AD10</f>
        <v>0</v>
      </c>
      <c r="Q7" s="74"/>
      <c r="R7" s="74"/>
      <c r="S7" s="74">
        <f>'18'!AD10</f>
        <v>0</v>
      </c>
      <c r="T7" s="74">
        <f>'19'!AD11</f>
        <v>0.83333333333333337</v>
      </c>
      <c r="U7" s="74">
        <f>'20'!AD10</f>
        <v>1</v>
      </c>
      <c r="V7" s="74">
        <f>'21'!AD11</f>
        <v>1</v>
      </c>
      <c r="W7" s="74">
        <f>'22'!AD10</f>
        <v>1</v>
      </c>
      <c r="X7" s="74"/>
      <c r="Y7" s="74"/>
      <c r="Z7" s="74">
        <f>'25'!AD11</f>
        <v>0.625</v>
      </c>
      <c r="AA7" s="74">
        <f>'26'!AD10</f>
        <v>0.58333333333333337</v>
      </c>
      <c r="AB7" s="74">
        <f>'27'!AD11</f>
        <v>0.875</v>
      </c>
      <c r="AC7" s="74">
        <f>'28'!AD10</f>
        <v>1</v>
      </c>
      <c r="AD7" s="74">
        <f>'29'!AD10</f>
        <v>0.91666666666666663</v>
      </c>
      <c r="AE7" s="74"/>
      <c r="AF7" s="75"/>
      <c r="AG7" s="76">
        <f t="shared" si="0"/>
        <v>0.52822580645161299</v>
      </c>
    </row>
    <row r="8" spans="1:33" ht="21.75" customHeight="1">
      <c r="A8" s="95" t="s">
        <v>65</v>
      </c>
      <c r="B8" s="93">
        <f>'01'!AD11</f>
        <v>1</v>
      </c>
      <c r="C8" s="93">
        <f>'02'!AD11</f>
        <v>0.875</v>
      </c>
      <c r="D8" s="74"/>
      <c r="E8" s="74">
        <f>'04'!AD11</f>
        <v>1</v>
      </c>
      <c r="F8" s="74">
        <f>'05'!AD11</f>
        <v>0.91666666666666663</v>
      </c>
      <c r="G8" s="74">
        <f>'06'!AD11</f>
        <v>0.375</v>
      </c>
      <c r="H8" s="74">
        <f>'07'!AD11</f>
        <v>0.83333333333333337</v>
      </c>
      <c r="I8" s="74">
        <f>'08'!AD11</f>
        <v>0.875</v>
      </c>
      <c r="J8" s="74">
        <f>'09'!AD11</f>
        <v>1</v>
      </c>
      <c r="K8" s="74">
        <f>'10'!AD11</f>
        <v>0</v>
      </c>
      <c r="L8" s="74">
        <f>'11'!AD11</f>
        <v>0.41666666666666669</v>
      </c>
      <c r="M8" s="74">
        <f>'12'!AD11</f>
        <v>0</v>
      </c>
      <c r="N8" s="74">
        <f>'13'!AD11</f>
        <v>0</v>
      </c>
      <c r="O8" s="74">
        <f>'14'!AD11</f>
        <v>0.75</v>
      </c>
      <c r="P8" s="74">
        <f>'15'!AD11</f>
        <v>1</v>
      </c>
      <c r="Q8" s="74"/>
      <c r="R8" s="74"/>
      <c r="S8" s="74">
        <f>'18'!AD11</f>
        <v>0.79166666666666663</v>
      </c>
      <c r="T8" s="74">
        <f>'19'!AD12</f>
        <v>0.91666666666666663</v>
      </c>
      <c r="U8" s="74">
        <f>'20'!AD11</f>
        <v>1</v>
      </c>
      <c r="V8" s="74">
        <f>'21'!AD12</f>
        <v>1</v>
      </c>
      <c r="W8" s="74">
        <f>'22'!AD11</f>
        <v>1</v>
      </c>
      <c r="X8" s="74"/>
      <c r="Y8" s="74"/>
      <c r="Z8" s="74">
        <f>'25'!AD12</f>
        <v>1</v>
      </c>
      <c r="AA8" s="74">
        <f>'26'!AD11</f>
        <v>1</v>
      </c>
      <c r="AB8" s="74">
        <f>'27'!AD12</f>
        <v>1</v>
      </c>
      <c r="AC8" s="74">
        <f>'28'!AD11+'28'!AD12</f>
        <v>0.91666666666666674</v>
      </c>
      <c r="AD8" s="74">
        <f>'29'!AD11</f>
        <v>1</v>
      </c>
      <c r="AE8" s="74"/>
      <c r="AF8" s="75"/>
      <c r="AG8" s="76">
        <f t="shared" si="0"/>
        <v>0.60215053763440862</v>
      </c>
    </row>
    <row r="9" spans="1:33" ht="21.75" customHeight="1">
      <c r="A9" s="95" t="s">
        <v>66</v>
      </c>
      <c r="B9" s="93">
        <f>'01'!AD12</f>
        <v>1</v>
      </c>
      <c r="C9" s="93">
        <f>'02'!AD12</f>
        <v>0</v>
      </c>
      <c r="D9" s="74"/>
      <c r="E9" s="74">
        <f>'04'!AD12</f>
        <v>0.75</v>
      </c>
      <c r="F9" s="74">
        <f>'05'!AD12</f>
        <v>1</v>
      </c>
      <c r="G9" s="74">
        <f>'06'!AD12</f>
        <v>0.54166666666666663</v>
      </c>
      <c r="H9" s="74">
        <f>'07'!AD12</f>
        <v>0.25</v>
      </c>
      <c r="I9" s="74">
        <f>'08'!AD12</f>
        <v>0.66666666666666663</v>
      </c>
      <c r="J9" s="74">
        <f>'09'!AD12</f>
        <v>1</v>
      </c>
      <c r="K9" s="74">
        <f>'10'!AD12</f>
        <v>0.41666666666666669</v>
      </c>
      <c r="L9" s="74">
        <f>'11'!AD12</f>
        <v>0.75</v>
      </c>
      <c r="M9" s="74">
        <f>'12'!AD12</f>
        <v>0.75</v>
      </c>
      <c r="N9" s="74">
        <f>'13'!AD12</f>
        <v>1</v>
      </c>
      <c r="O9" s="74">
        <f>'14'!AD12</f>
        <v>1</v>
      </c>
      <c r="P9" s="74">
        <f>'15'!AD12</f>
        <v>0.83333333333333337</v>
      </c>
      <c r="Q9" s="74"/>
      <c r="R9" s="74"/>
      <c r="S9" s="74">
        <f>'18'!AD12</f>
        <v>1</v>
      </c>
      <c r="T9" s="74">
        <f>'19'!AD13</f>
        <v>1</v>
      </c>
      <c r="U9" s="74">
        <f>'20'!AD12</f>
        <v>1</v>
      </c>
      <c r="V9" s="74">
        <f>'21'!AD13</f>
        <v>1</v>
      </c>
      <c r="W9" s="74">
        <f>'22'!AD12</f>
        <v>0</v>
      </c>
      <c r="X9" s="74"/>
      <c r="Y9" s="74"/>
      <c r="Z9" s="74">
        <f>'25'!AD13</f>
        <v>0.45833333333333331</v>
      </c>
      <c r="AA9" s="74">
        <f>'26'!AD12</f>
        <v>0.20833333333333334</v>
      </c>
      <c r="AB9" s="74">
        <f>'27'!AD13</f>
        <v>0.83333333333333337</v>
      </c>
      <c r="AC9" s="74">
        <f>'28'!AD13</f>
        <v>1</v>
      </c>
      <c r="AD9" s="74">
        <f>'29'!AD12</f>
        <v>1</v>
      </c>
      <c r="AE9" s="74"/>
      <c r="AF9" s="75"/>
      <c r="AG9" s="76">
        <f t="shared" si="0"/>
        <v>0.56317204301075274</v>
      </c>
    </row>
    <row r="10" spans="1:33" ht="21.75" customHeight="1">
      <c r="A10" s="95" t="s">
        <v>67</v>
      </c>
      <c r="B10" s="93">
        <f>'01'!AD13</f>
        <v>1</v>
      </c>
      <c r="C10" s="93">
        <f>'02'!AD13</f>
        <v>0</v>
      </c>
      <c r="D10" s="74"/>
      <c r="E10" s="74">
        <f>'04'!AD13</f>
        <v>1</v>
      </c>
      <c r="F10" s="74">
        <f>'05'!AD13</f>
        <v>1</v>
      </c>
      <c r="G10" s="74">
        <f>'06'!AD13</f>
        <v>1</v>
      </c>
      <c r="H10" s="74">
        <f>'07'!AD13</f>
        <v>1</v>
      </c>
      <c r="I10" s="74">
        <f>'08'!AD13</f>
        <v>0.5</v>
      </c>
      <c r="J10" s="74">
        <f>'09'!AD13</f>
        <v>0</v>
      </c>
      <c r="K10" s="74">
        <f>'10'!AD13</f>
        <v>0</v>
      </c>
      <c r="L10" s="74">
        <f>'11'!AD13</f>
        <v>1</v>
      </c>
      <c r="M10" s="74">
        <f>'12'!AD13</f>
        <v>0.83333333333333337</v>
      </c>
      <c r="N10" s="74">
        <f>'13'!AD13</f>
        <v>0.54166666666666663</v>
      </c>
      <c r="O10" s="74">
        <f>'14'!AD13</f>
        <v>1</v>
      </c>
      <c r="P10" s="74">
        <f>'15'!AD13</f>
        <v>1</v>
      </c>
      <c r="Q10" s="74"/>
      <c r="R10" s="74"/>
      <c r="S10" s="74">
        <f>'18'!AD13</f>
        <v>0.58333333333333337</v>
      </c>
      <c r="T10" s="74">
        <f>'19'!AD14</f>
        <v>1</v>
      </c>
      <c r="U10" s="74">
        <f>'20'!AD13</f>
        <v>0.91666666666666663</v>
      </c>
      <c r="V10" s="74">
        <f>'21'!AD14</f>
        <v>0.29166666666666669</v>
      </c>
      <c r="W10" s="74">
        <f>'22'!AD13</f>
        <v>0</v>
      </c>
      <c r="X10" s="74"/>
      <c r="Y10" s="74"/>
      <c r="Z10" s="74">
        <f>'25'!AD14</f>
        <v>0.625</v>
      </c>
      <c r="AA10" s="74">
        <f>'26'!AD13</f>
        <v>0.16666666666666666</v>
      </c>
      <c r="AB10" s="74">
        <f>'27'!AD14+'27'!AD15</f>
        <v>0.91666666666666663</v>
      </c>
      <c r="AC10" s="74">
        <f>'28'!AD14</f>
        <v>0.625</v>
      </c>
      <c r="AD10" s="74">
        <f>'29'!AD13</f>
        <v>0</v>
      </c>
      <c r="AE10" s="74"/>
      <c r="AF10" s="75"/>
      <c r="AG10" s="76">
        <f t="shared" si="0"/>
        <v>0.48387096774193544</v>
      </c>
    </row>
    <row r="11" spans="1:33" ht="21.75" customHeight="1">
      <c r="A11" s="100" t="s">
        <v>68</v>
      </c>
      <c r="B11" s="101">
        <f>'01'!AD14</f>
        <v>0</v>
      </c>
      <c r="C11" s="101">
        <f>'02'!AD14</f>
        <v>0</v>
      </c>
      <c r="D11" s="102"/>
      <c r="E11" s="102">
        <f>'04'!AD14</f>
        <v>0</v>
      </c>
      <c r="F11" s="102">
        <f>'05'!AD14</f>
        <v>0</v>
      </c>
      <c r="G11" s="102">
        <f>'06'!AD14</f>
        <v>0.79166666666666663</v>
      </c>
      <c r="H11" s="102">
        <f>'07'!AD14</f>
        <v>0.875</v>
      </c>
      <c r="I11" s="102">
        <f>'08'!AD14</f>
        <v>0.5</v>
      </c>
      <c r="J11" s="102">
        <f>'09'!AD14</f>
        <v>0</v>
      </c>
      <c r="K11" s="102">
        <f>'10'!AD14</f>
        <v>0</v>
      </c>
      <c r="L11" s="102">
        <f>'11'!AD14</f>
        <v>0</v>
      </c>
      <c r="M11" s="102">
        <f>'12'!AD14</f>
        <v>0</v>
      </c>
      <c r="N11" s="102">
        <f>'13'!AD14</f>
        <v>0.25</v>
      </c>
      <c r="O11" s="102">
        <f>'14'!AD14</f>
        <v>0</v>
      </c>
      <c r="P11" s="102">
        <f>'15'!AD14</f>
        <v>0.16666666666666666</v>
      </c>
      <c r="Q11" s="102"/>
      <c r="R11" s="102"/>
      <c r="S11" s="102">
        <f>'18'!AD14</f>
        <v>0</v>
      </c>
      <c r="T11" s="102">
        <f>'19'!AD15</f>
        <v>0</v>
      </c>
      <c r="U11" s="102">
        <f>'20'!AD14</f>
        <v>0</v>
      </c>
      <c r="V11" s="102">
        <f>'21'!AD15</f>
        <v>0</v>
      </c>
      <c r="W11" s="102">
        <f>'22'!AD14</f>
        <v>0</v>
      </c>
      <c r="X11" s="102"/>
      <c r="Y11" s="102"/>
      <c r="Z11" s="102">
        <f>'25'!AD15+'25'!AD16</f>
        <v>0.29166666666666663</v>
      </c>
      <c r="AA11" s="102">
        <f>'26'!AD14</f>
        <v>0</v>
      </c>
      <c r="AB11" s="102">
        <f>'27'!AD16</f>
        <v>0</v>
      </c>
      <c r="AC11" s="102">
        <f>'28'!AD15</f>
        <v>0.58333333333333337</v>
      </c>
      <c r="AD11" s="102">
        <f>'29'!AD14</f>
        <v>0.20833333333333334</v>
      </c>
      <c r="AE11" s="102"/>
      <c r="AF11" s="103"/>
      <c r="AG11" s="104">
        <f t="shared" si="0"/>
        <v>0.11827956989247311</v>
      </c>
    </row>
    <row r="12" spans="1:33" ht="21.75" customHeight="1">
      <c r="A12" s="95" t="s">
        <v>69</v>
      </c>
      <c r="B12" s="93">
        <f>'01'!AD15</f>
        <v>1</v>
      </c>
      <c r="C12" s="93">
        <f>'02'!AD15</f>
        <v>0</v>
      </c>
      <c r="D12" s="74"/>
      <c r="E12" s="74">
        <f>'04'!AD15</f>
        <v>0</v>
      </c>
      <c r="F12" s="74">
        <f>'05'!AD15</f>
        <v>0</v>
      </c>
      <c r="G12" s="74">
        <f>'06'!AD15</f>
        <v>0.41666666666666669</v>
      </c>
      <c r="H12" s="74">
        <f>'07'!AD15</f>
        <v>0.75</v>
      </c>
      <c r="I12" s="74">
        <f>'08'!AD15</f>
        <v>1</v>
      </c>
      <c r="J12" s="74">
        <f>'09'!AD15</f>
        <v>0.125</v>
      </c>
      <c r="K12" s="74">
        <f>'10'!AD15</f>
        <v>0</v>
      </c>
      <c r="L12" s="74">
        <f>'11'!AD15</f>
        <v>1</v>
      </c>
      <c r="M12" s="74">
        <f>'12'!AD15</f>
        <v>0.66666666666666663</v>
      </c>
      <c r="N12" s="74">
        <f>'13'!AD15</f>
        <v>1</v>
      </c>
      <c r="O12" s="74">
        <f>'14'!AD15</f>
        <v>1</v>
      </c>
      <c r="P12" s="74">
        <f>'15'!AD15</f>
        <v>0.25</v>
      </c>
      <c r="Q12" s="74"/>
      <c r="R12" s="74"/>
      <c r="S12" s="74">
        <f>'18'!AD15</f>
        <v>0.83333333333333337</v>
      </c>
      <c r="T12" s="74">
        <f>'19'!AD16</f>
        <v>1</v>
      </c>
      <c r="U12" s="74">
        <f>'20'!AD15</f>
        <v>1</v>
      </c>
      <c r="V12" s="74">
        <f>'21'!AD16</f>
        <v>1</v>
      </c>
      <c r="W12" s="74">
        <f>'22'!AD15</f>
        <v>1</v>
      </c>
      <c r="X12" s="74"/>
      <c r="Y12" s="74"/>
      <c r="Z12" s="74">
        <f>'25'!AD17</f>
        <v>1</v>
      </c>
      <c r="AA12" s="74">
        <f>'26'!AD15</f>
        <v>1</v>
      </c>
      <c r="AB12" s="74">
        <f>'27'!AD17</f>
        <v>1</v>
      </c>
      <c r="AC12" s="74">
        <f>'28'!AD16</f>
        <v>1</v>
      </c>
      <c r="AD12" s="74">
        <f>'29'!AD15</f>
        <v>1</v>
      </c>
      <c r="AE12" s="74"/>
      <c r="AF12" s="75"/>
      <c r="AG12" s="76">
        <f t="shared" si="0"/>
        <v>0.54973118279569899</v>
      </c>
    </row>
    <row r="13" spans="1:33" ht="21.75" customHeight="1">
      <c r="A13" s="95" t="s">
        <v>70</v>
      </c>
      <c r="B13" s="93">
        <f>'01'!AD16</f>
        <v>1</v>
      </c>
      <c r="C13" s="93">
        <f>'02'!AD16</f>
        <v>0</v>
      </c>
      <c r="D13" s="74"/>
      <c r="E13" s="74">
        <f>'04'!AD16</f>
        <v>0.54166666666666663</v>
      </c>
      <c r="F13" s="74">
        <f>'05'!AD16</f>
        <v>1</v>
      </c>
      <c r="G13" s="74">
        <f>'06'!AD16</f>
        <v>0.41666666666666669</v>
      </c>
      <c r="H13" s="74">
        <f>'07'!AD16</f>
        <v>1</v>
      </c>
      <c r="I13" s="74">
        <f>'08'!AD16</f>
        <v>1</v>
      </c>
      <c r="J13" s="74">
        <f>'09'!AD16</f>
        <v>1</v>
      </c>
      <c r="K13" s="74">
        <f>'10'!AD16</f>
        <v>0</v>
      </c>
      <c r="L13" s="74">
        <f>'11'!AD16</f>
        <v>0.91666666666666663</v>
      </c>
      <c r="M13" s="74">
        <f>'12'!AD16</f>
        <v>1</v>
      </c>
      <c r="N13" s="74">
        <f>'13'!AD16</f>
        <v>0</v>
      </c>
      <c r="O13" s="74">
        <f>'14'!AD16</f>
        <v>0.79166666666666663</v>
      </c>
      <c r="P13" s="74">
        <f>'15'!AD16+'15'!AD17</f>
        <v>0.70833333333333337</v>
      </c>
      <c r="Q13" s="74"/>
      <c r="R13" s="74"/>
      <c r="S13" s="74">
        <f>'18'!AD16</f>
        <v>0.875</v>
      </c>
      <c r="T13" s="74">
        <f>'19'!AD17</f>
        <v>1</v>
      </c>
      <c r="U13" s="74">
        <f>'20'!AD16</f>
        <v>1</v>
      </c>
      <c r="V13" s="74">
        <f>'21'!AD17</f>
        <v>0.83333333333333337</v>
      </c>
      <c r="W13" s="74">
        <f>'22'!AD16</f>
        <v>0.79166666666666663</v>
      </c>
      <c r="X13" s="74"/>
      <c r="Y13" s="74"/>
      <c r="Z13" s="74">
        <f>'25'!AD18</f>
        <v>0.625</v>
      </c>
      <c r="AA13" s="74">
        <f>'26'!AD16</f>
        <v>1</v>
      </c>
      <c r="AB13" s="74">
        <f>'27'!AD18</f>
        <v>1</v>
      </c>
      <c r="AC13" s="74">
        <f>'28'!AD17</f>
        <v>1</v>
      </c>
      <c r="AD13" s="74">
        <f>'29'!AD16</f>
        <v>1</v>
      </c>
      <c r="AE13" s="74"/>
      <c r="AF13" s="75"/>
      <c r="AG13" s="76">
        <f t="shared" si="0"/>
        <v>0.59677419354838712</v>
      </c>
    </row>
    <row r="14" spans="1:33" ht="21.75" customHeight="1">
      <c r="A14" s="95" t="s">
        <v>71</v>
      </c>
      <c r="B14" s="93">
        <f>'01'!AD17</f>
        <v>0.79166666666666663</v>
      </c>
      <c r="C14" s="93">
        <f>'02'!AD17</f>
        <v>0.875</v>
      </c>
      <c r="D14" s="74"/>
      <c r="E14" s="74">
        <f>'04'!AD17</f>
        <v>0.83333333333333337</v>
      </c>
      <c r="F14" s="74">
        <f>'05'!AD17</f>
        <v>0</v>
      </c>
      <c r="G14" s="74">
        <f>'06'!AD17</f>
        <v>0</v>
      </c>
      <c r="H14" s="74">
        <f>'07'!AD17</f>
        <v>0.29166666666666669</v>
      </c>
      <c r="I14" s="74">
        <f>'08'!AD17</f>
        <v>0</v>
      </c>
      <c r="J14" s="74">
        <f>'09'!AD17</f>
        <v>0</v>
      </c>
      <c r="K14" s="74">
        <f>'10'!AD17</f>
        <v>0</v>
      </c>
      <c r="L14" s="74">
        <f>'11'!AD17</f>
        <v>0</v>
      </c>
      <c r="M14" s="74">
        <f>'12'!AD17</f>
        <v>0</v>
      </c>
      <c r="N14" s="74">
        <f>'13'!AD17</f>
        <v>0.91666666666666663</v>
      </c>
      <c r="O14" s="74">
        <f>'14'!AD17</f>
        <v>1</v>
      </c>
      <c r="P14" s="74">
        <f>'15'!AD18</f>
        <v>0</v>
      </c>
      <c r="Q14" s="74"/>
      <c r="R14" s="74"/>
      <c r="S14" s="74">
        <f>'18'!AD17</f>
        <v>0</v>
      </c>
      <c r="T14" s="74">
        <f>'19'!AD18</f>
        <v>0</v>
      </c>
      <c r="U14" s="74">
        <f>'20'!AD17</f>
        <v>0.125</v>
      </c>
      <c r="V14" s="74">
        <f>'21'!AD18</f>
        <v>0.79166666666666663</v>
      </c>
      <c r="W14" s="74">
        <f>'22'!AD17</f>
        <v>1</v>
      </c>
      <c r="X14" s="74"/>
      <c r="Y14" s="74"/>
      <c r="Z14" s="74">
        <f>'25'!AD19</f>
        <v>1</v>
      </c>
      <c r="AA14" s="74">
        <f>'26'!AD17</f>
        <v>1</v>
      </c>
      <c r="AB14" s="74">
        <f>'27'!AD19</f>
        <v>1</v>
      </c>
      <c r="AC14" s="74">
        <f>'28'!AD18</f>
        <v>1</v>
      </c>
      <c r="AD14" s="74">
        <f>'29'!AD17</f>
        <v>1</v>
      </c>
      <c r="AE14" s="74"/>
      <c r="AF14" s="75"/>
      <c r="AG14" s="76">
        <f t="shared" si="0"/>
        <v>0.375</v>
      </c>
    </row>
    <row r="15" spans="1:33" ht="21.75" customHeight="1">
      <c r="A15" s="95" t="s">
        <v>72</v>
      </c>
      <c r="B15" s="93">
        <f>'01'!AD18</f>
        <v>0.45833333333333331</v>
      </c>
      <c r="C15" s="93">
        <f>'02'!AD18</f>
        <v>0.75</v>
      </c>
      <c r="D15" s="74"/>
      <c r="E15" s="74">
        <f>'04'!AD18</f>
        <v>0.16666666666666666</v>
      </c>
      <c r="F15" s="74">
        <f>'05'!AD18</f>
        <v>0.25</v>
      </c>
      <c r="G15" s="74">
        <f>'06'!AD18</f>
        <v>1</v>
      </c>
      <c r="H15" s="74">
        <f>'07'!AD18</f>
        <v>0.33333333333333331</v>
      </c>
      <c r="I15" s="74">
        <f>'08'!AD18</f>
        <v>0.20833333333333334</v>
      </c>
      <c r="J15" s="74">
        <f>'09'!AD18</f>
        <v>0.20833333333333334</v>
      </c>
      <c r="K15" s="74">
        <f>'10'!AD18</f>
        <v>0.29166666666666669</v>
      </c>
      <c r="L15" s="74">
        <f>'11'!AD18</f>
        <v>0.875</v>
      </c>
      <c r="M15" s="74">
        <f>'12'!AD18</f>
        <v>0.70833333333333337</v>
      </c>
      <c r="N15" s="74">
        <f>'13'!AD18</f>
        <v>1</v>
      </c>
      <c r="O15" s="74">
        <f>'14'!AD18</f>
        <v>0.875</v>
      </c>
      <c r="P15" s="74">
        <f>'15'!AD19+'15'!AD20+'15'!AD21</f>
        <v>0.95833333333333337</v>
      </c>
      <c r="Q15" s="74"/>
      <c r="R15" s="74"/>
      <c r="S15" s="74">
        <f>'18'!AD18</f>
        <v>0.91666666666666663</v>
      </c>
      <c r="T15" s="74">
        <f>'19'!AD19</f>
        <v>0.54166666666666663</v>
      </c>
      <c r="U15" s="74">
        <f>'20'!AD18</f>
        <v>0.875</v>
      </c>
      <c r="V15" s="74">
        <f>'21'!AD19</f>
        <v>0.875</v>
      </c>
      <c r="W15" s="74">
        <f>'22'!AD18</f>
        <v>1</v>
      </c>
      <c r="X15" s="74"/>
      <c r="Y15" s="74"/>
      <c r="Z15" s="74">
        <f>'25'!AD20</f>
        <v>1</v>
      </c>
      <c r="AA15" s="74">
        <f>'26'!AD18+'26'!AD19</f>
        <v>0.29166666666666663</v>
      </c>
      <c r="AB15" s="74">
        <f>'27'!AD20</f>
        <v>0.875</v>
      </c>
      <c r="AC15" s="74">
        <f>'28'!AD19</f>
        <v>0.83333333333333337</v>
      </c>
      <c r="AD15" s="74">
        <f>'29'!AD18</f>
        <v>0</v>
      </c>
      <c r="AE15" s="74"/>
      <c r="AF15" s="75"/>
      <c r="AG15" s="76">
        <f t="shared" si="0"/>
        <v>0.49327956989247312</v>
      </c>
    </row>
    <row r="16" spans="1:33" ht="21.75" customHeight="1">
      <c r="A16" s="95" t="s">
        <v>117</v>
      </c>
      <c r="B16" s="93">
        <f>'01'!AD19</f>
        <v>0</v>
      </c>
      <c r="C16" s="93">
        <f>'02'!AD19</f>
        <v>0</v>
      </c>
      <c r="D16" s="74"/>
      <c r="E16" s="74">
        <f>'04'!AD19</f>
        <v>1</v>
      </c>
      <c r="F16" s="74">
        <f>'05'!AD19</f>
        <v>1</v>
      </c>
      <c r="G16" s="74">
        <f>'06'!AD21</f>
        <v>1</v>
      </c>
      <c r="H16" s="74">
        <f>'07'!AD19</f>
        <v>0.625</v>
      </c>
      <c r="I16" s="74">
        <f>'08'!AD19</f>
        <v>0.5</v>
      </c>
      <c r="J16" s="74">
        <f>'09'!AD19</f>
        <v>0</v>
      </c>
      <c r="K16" s="74">
        <f>'10'!AD19</f>
        <v>0</v>
      </c>
      <c r="L16" s="74">
        <f>'11'!AD19</f>
        <v>0.25</v>
      </c>
      <c r="M16" s="74">
        <f>'12'!AD19</f>
        <v>0.45833333333333331</v>
      </c>
      <c r="N16" s="74">
        <f>'13'!AD19</f>
        <v>1</v>
      </c>
      <c r="O16" s="74">
        <f>'14'!AD19</f>
        <v>0.66666666666666663</v>
      </c>
      <c r="P16" s="74">
        <f>'15'!AD22</f>
        <v>1</v>
      </c>
      <c r="Q16" s="74"/>
      <c r="R16" s="74"/>
      <c r="S16" s="74">
        <f>'18'!AD19</f>
        <v>0</v>
      </c>
      <c r="T16" s="74">
        <f>'19'!AD20</f>
        <v>0</v>
      </c>
      <c r="U16" s="74">
        <f>'20'!AD19</f>
        <v>0.875</v>
      </c>
      <c r="V16" s="74">
        <f>'21'!AD20</f>
        <v>1</v>
      </c>
      <c r="W16" s="74">
        <f>'22'!AD19</f>
        <v>1</v>
      </c>
      <c r="X16" s="74"/>
      <c r="Y16" s="74"/>
      <c r="Z16" s="74">
        <f>'25'!AD21</f>
        <v>0</v>
      </c>
      <c r="AA16" s="74">
        <f>'26'!AD20</f>
        <v>0</v>
      </c>
      <c r="AB16" s="74">
        <f>'27'!AD21</f>
        <v>0</v>
      </c>
      <c r="AC16" s="74">
        <f>'28'!AD20</f>
        <v>0.29166666666666669</v>
      </c>
      <c r="AD16" s="74">
        <f>'29'!AD19</f>
        <v>0.58333333333333337</v>
      </c>
      <c r="AE16" s="74"/>
      <c r="AF16" s="75"/>
      <c r="AG16" s="76">
        <f t="shared" si="0"/>
        <v>0.36290322580645162</v>
      </c>
    </row>
    <row r="17" spans="1:33" ht="21.75" customHeight="1">
      <c r="A17" s="95" t="s">
        <v>118</v>
      </c>
      <c r="B17" s="93">
        <f>'01'!AD20</f>
        <v>0.95833333333333337</v>
      </c>
      <c r="C17" s="93">
        <f>'02'!AD20</f>
        <v>0</v>
      </c>
      <c r="D17" s="74"/>
      <c r="E17" s="74">
        <f>'04'!AD20</f>
        <v>0.83333333333333337</v>
      </c>
      <c r="F17" s="74">
        <f>'05'!AD20</f>
        <v>0.25</v>
      </c>
      <c r="G17" s="74">
        <f>'06'!AD22</f>
        <v>0.70833333333333337</v>
      </c>
      <c r="H17" s="74">
        <f>'07'!AD20</f>
        <v>1</v>
      </c>
      <c r="I17" s="74">
        <f>'08'!AD20</f>
        <v>0.91666666666666663</v>
      </c>
      <c r="J17" s="74">
        <f>'09'!AD20</f>
        <v>1</v>
      </c>
      <c r="K17" s="74">
        <f>'10'!AD20</f>
        <v>0.29166666666666669</v>
      </c>
      <c r="L17" s="74">
        <f>'11'!AD20</f>
        <v>0.875</v>
      </c>
      <c r="M17" s="74">
        <f>'12'!AD20</f>
        <v>1</v>
      </c>
      <c r="N17" s="74">
        <f>'13'!AD20+'13'!AD21</f>
        <v>0.70833333333333326</v>
      </c>
      <c r="O17" s="74">
        <f>'14'!AD20</f>
        <v>0.91666666666666663</v>
      </c>
      <c r="P17" s="74">
        <f>'15'!AD23</f>
        <v>0.66666666666666663</v>
      </c>
      <c r="Q17" s="74"/>
      <c r="R17" s="74"/>
      <c r="S17" s="74">
        <f>'18'!AD20</f>
        <v>0.79166666666666663</v>
      </c>
      <c r="T17" s="74">
        <f>'19'!AD21</f>
        <v>1</v>
      </c>
      <c r="U17" s="74">
        <f>'20'!AD20</f>
        <v>1</v>
      </c>
      <c r="V17" s="74">
        <f>'21'!AD21</f>
        <v>1</v>
      </c>
      <c r="W17" s="74">
        <f>'22'!AD20</f>
        <v>1</v>
      </c>
      <c r="X17" s="74"/>
      <c r="Y17" s="74"/>
      <c r="Z17" s="74">
        <f>'25'!AD22</f>
        <v>0.54166666666666663</v>
      </c>
      <c r="AA17" s="74">
        <f>'26'!AD21</f>
        <v>0.79166666666666663</v>
      </c>
      <c r="AB17" s="74">
        <f>'27'!AD22</f>
        <v>1</v>
      </c>
      <c r="AC17" s="74">
        <f>'28'!AD21</f>
        <v>1</v>
      </c>
      <c r="AD17" s="74">
        <f>'29'!AD20</f>
        <v>0.41666666666666669</v>
      </c>
      <c r="AE17" s="74"/>
      <c r="AF17" s="75"/>
      <c r="AG17" s="76">
        <f t="shared" si="0"/>
        <v>0.60215053763440862</v>
      </c>
    </row>
    <row r="18" spans="1:33" ht="21.75" customHeight="1">
      <c r="A18" s="95" t="s">
        <v>119</v>
      </c>
      <c r="B18" s="93">
        <f>'01'!AD21</f>
        <v>0</v>
      </c>
      <c r="C18" s="93">
        <f>'02'!AD21</f>
        <v>0</v>
      </c>
      <c r="D18" s="74"/>
      <c r="E18" s="74">
        <f>'04'!AD21</f>
        <v>0</v>
      </c>
      <c r="F18" s="74">
        <f>'05'!AD21</f>
        <v>0</v>
      </c>
      <c r="G18" s="74">
        <f>'06'!AD23</f>
        <v>0</v>
      </c>
      <c r="H18" s="74">
        <f>'07'!AD21</f>
        <v>0.66666666666666663</v>
      </c>
      <c r="I18" s="74">
        <f>'08'!AD21</f>
        <v>1</v>
      </c>
      <c r="J18" s="74">
        <f>'09'!AD21</f>
        <v>1</v>
      </c>
      <c r="K18" s="74">
        <f>'10'!AD21</f>
        <v>0</v>
      </c>
      <c r="L18" s="74">
        <f>'11'!AD21</f>
        <v>0.83333333333333337</v>
      </c>
      <c r="M18" s="74">
        <f>'12'!AD21</f>
        <v>0.91666666666666663</v>
      </c>
      <c r="N18" s="74">
        <f>'13'!AD22</f>
        <v>1</v>
      </c>
      <c r="O18" s="74">
        <f>'14'!AD21</f>
        <v>1</v>
      </c>
      <c r="P18" s="74">
        <f>'15'!AD24</f>
        <v>1</v>
      </c>
      <c r="Q18" s="74"/>
      <c r="R18" s="74"/>
      <c r="S18" s="74">
        <f>'18'!AD21</f>
        <v>1</v>
      </c>
      <c r="T18" s="74">
        <f>'19'!AD22</f>
        <v>1</v>
      </c>
      <c r="U18" s="74">
        <f>'20'!AD21</f>
        <v>1</v>
      </c>
      <c r="V18" s="74">
        <f>'21'!AD22</f>
        <v>1</v>
      </c>
      <c r="W18" s="74">
        <f>'22'!AD21</f>
        <v>1</v>
      </c>
      <c r="X18" s="74"/>
      <c r="Y18" s="74"/>
      <c r="Z18" s="74">
        <f>'25'!AD23</f>
        <v>1</v>
      </c>
      <c r="AA18" s="74">
        <f>'26'!AD22</f>
        <v>1</v>
      </c>
      <c r="AB18" s="74">
        <f>'27'!AD23</f>
        <v>1</v>
      </c>
      <c r="AC18" s="74">
        <f>'28'!AD22</f>
        <v>1</v>
      </c>
      <c r="AD18" s="74">
        <f>'29'!AD21</f>
        <v>0.75</v>
      </c>
      <c r="AE18" s="74"/>
      <c r="AF18" s="75"/>
      <c r="AG18" s="76">
        <f t="shared" si="0"/>
        <v>0.55376344086021512</v>
      </c>
    </row>
    <row r="19" spans="1:33" ht="21.75" customHeight="1">
      <c r="A19" s="100" t="s">
        <v>603</v>
      </c>
      <c r="B19" s="101">
        <f>'01'!AD22</f>
        <v>0</v>
      </c>
      <c r="C19" s="101">
        <f>'02'!AD22</f>
        <v>0</v>
      </c>
      <c r="D19" s="102"/>
      <c r="E19" s="102">
        <f>'04'!AD22</f>
        <v>0</v>
      </c>
      <c r="F19" s="102">
        <f>'05'!AD22</f>
        <v>0</v>
      </c>
      <c r="G19" s="102">
        <f>'06'!AD24</f>
        <v>0</v>
      </c>
      <c r="H19" s="102">
        <f>'07'!AD22</f>
        <v>0</v>
      </c>
      <c r="I19" s="102">
        <f>'08'!AD22</f>
        <v>0</v>
      </c>
      <c r="J19" s="102">
        <f>'09'!AD22</f>
        <v>0</v>
      </c>
      <c r="K19" s="102">
        <f>'10'!AD22</f>
        <v>0</v>
      </c>
      <c r="L19" s="102">
        <f>'11'!AD22</f>
        <v>0</v>
      </c>
      <c r="M19" s="102">
        <f>'12'!AD22</f>
        <v>0</v>
      </c>
      <c r="N19" s="102">
        <f>'13'!AD23</f>
        <v>0</v>
      </c>
      <c r="O19" s="102">
        <f>'14'!AD22</f>
        <v>0</v>
      </c>
      <c r="P19" s="102">
        <f>'15'!AD25</f>
        <v>0</v>
      </c>
      <c r="Q19" s="102"/>
      <c r="R19" s="102"/>
      <c r="S19" s="102">
        <f>'18'!AD22</f>
        <v>0</v>
      </c>
      <c r="T19" s="102">
        <f>'19'!AD23</f>
        <v>0</v>
      </c>
      <c r="U19" s="102">
        <f>'20'!AD22</f>
        <v>0</v>
      </c>
      <c r="V19" s="102">
        <f>'21'!AD23</f>
        <v>0</v>
      </c>
      <c r="W19" s="102">
        <f>'22'!AD22</f>
        <v>0</v>
      </c>
      <c r="X19" s="102"/>
      <c r="Y19" s="102"/>
      <c r="Z19" s="102">
        <f>'25'!AD24</f>
        <v>0</v>
      </c>
      <c r="AA19" s="102">
        <f>'26'!AD23</f>
        <v>0</v>
      </c>
      <c r="AB19" s="102">
        <f>'27'!AD24</f>
        <v>0</v>
      </c>
      <c r="AC19" s="102">
        <f>'28'!AD23</f>
        <v>0</v>
      </c>
      <c r="AD19" s="102">
        <f>'29'!AD22</f>
        <v>0</v>
      </c>
      <c r="AE19" s="102"/>
      <c r="AF19" s="103"/>
      <c r="AG19" s="104">
        <f t="shared" ref="AG19:AG20" si="1">SUM(B19:AF19)/31</f>
        <v>0</v>
      </c>
    </row>
    <row r="20" spans="1:33" ht="21.75" customHeight="1">
      <c r="A20" s="100" t="s">
        <v>604</v>
      </c>
      <c r="B20" s="101">
        <f>'01'!AD23</f>
        <v>0</v>
      </c>
      <c r="C20" s="101">
        <f>'02'!AD23</f>
        <v>0</v>
      </c>
      <c r="D20" s="102"/>
      <c r="E20" s="102">
        <f>'04'!AD23</f>
        <v>0</v>
      </c>
      <c r="F20" s="102">
        <f>'05'!AD23</f>
        <v>0</v>
      </c>
      <c r="G20" s="102">
        <f>'06'!AD25</f>
        <v>0</v>
      </c>
      <c r="H20" s="102">
        <f>'07'!AD23</f>
        <v>0</v>
      </c>
      <c r="I20" s="102">
        <f>'08'!AD23</f>
        <v>0</v>
      </c>
      <c r="J20" s="102">
        <f>'09'!AD23</f>
        <v>0</v>
      </c>
      <c r="K20" s="102">
        <f>'10'!AD23</f>
        <v>0</v>
      </c>
      <c r="L20" s="102">
        <f>'11'!AD23</f>
        <v>0</v>
      </c>
      <c r="M20" s="102">
        <f>'12'!AD23</f>
        <v>0</v>
      </c>
      <c r="N20" s="102">
        <f>'13'!AD24</f>
        <v>0</v>
      </c>
      <c r="O20" s="102">
        <f>'14'!AD23</f>
        <v>0</v>
      </c>
      <c r="P20" s="102">
        <f>'15'!AD26</f>
        <v>0</v>
      </c>
      <c r="Q20" s="102"/>
      <c r="R20" s="102"/>
      <c r="S20" s="102">
        <f>'18'!AD23</f>
        <v>0</v>
      </c>
      <c r="T20" s="102">
        <f>'19'!AD24</f>
        <v>0</v>
      </c>
      <c r="U20" s="102">
        <f>'20'!AD23</f>
        <v>0</v>
      </c>
      <c r="V20" s="102">
        <f>'21'!AD24</f>
        <v>0</v>
      </c>
      <c r="W20" s="102">
        <f>'22'!AD23</f>
        <v>0</v>
      </c>
      <c r="X20" s="102"/>
      <c r="Y20" s="102"/>
      <c r="Z20" s="102">
        <f>'25'!AD25</f>
        <v>0</v>
      </c>
      <c r="AA20" s="102">
        <f>'26'!AD24</f>
        <v>0.25</v>
      </c>
      <c r="AB20" s="102">
        <f>'27'!AD25</f>
        <v>0.66666666666666663</v>
      </c>
      <c r="AC20" s="102">
        <f>'28'!AD24</f>
        <v>0.70833333333333337</v>
      </c>
      <c r="AD20" s="102">
        <f>'29'!AD23</f>
        <v>0</v>
      </c>
      <c r="AE20" s="102"/>
      <c r="AF20" s="103"/>
      <c r="AG20" s="104">
        <f t="shared" si="1"/>
        <v>5.2419354838709679E-2</v>
      </c>
    </row>
    <row r="21" spans="1:33" ht="21.75" customHeight="1">
      <c r="A21" s="95" t="s">
        <v>130</v>
      </c>
      <c r="B21" s="93">
        <f>'01'!AD22</f>
        <v>0</v>
      </c>
      <c r="C21" s="93">
        <f>'02'!AD22</f>
        <v>0</v>
      </c>
      <c r="D21" s="74"/>
      <c r="E21" s="74">
        <f>'04'!AD22</f>
        <v>0</v>
      </c>
      <c r="F21" s="74">
        <f>'05'!AD22</f>
        <v>0</v>
      </c>
      <c r="G21" s="74">
        <f>'06'!AD24</f>
        <v>0</v>
      </c>
      <c r="H21" s="74">
        <f>'07'!AD22</f>
        <v>0</v>
      </c>
      <c r="I21" s="74">
        <f>'08'!AD22</f>
        <v>0</v>
      </c>
      <c r="J21" s="74">
        <f>'09'!AD22</f>
        <v>0</v>
      </c>
      <c r="K21" s="74">
        <f>'10'!AD22</f>
        <v>0</v>
      </c>
      <c r="L21" s="74">
        <f>'11'!AD22</f>
        <v>0</v>
      </c>
      <c r="M21" s="74">
        <f>'12'!AD22</f>
        <v>0</v>
      </c>
      <c r="N21" s="74">
        <f>'13'!AD23</f>
        <v>0</v>
      </c>
      <c r="O21" s="74">
        <f>'14'!AD22</f>
        <v>0</v>
      </c>
      <c r="P21" s="74">
        <f>'15'!AD25</f>
        <v>0</v>
      </c>
      <c r="Q21" s="74"/>
      <c r="R21" s="74"/>
      <c r="S21" s="74">
        <f>'18'!AD24</f>
        <v>0</v>
      </c>
      <c r="T21" s="74">
        <f>'19'!AD25</f>
        <v>0</v>
      </c>
      <c r="U21" s="74">
        <f>'20'!AD24</f>
        <v>0</v>
      </c>
      <c r="V21" s="74">
        <f>'21'!AD25</f>
        <v>0</v>
      </c>
      <c r="W21" s="74">
        <f>'22'!AD24</f>
        <v>0</v>
      </c>
      <c r="X21" s="74"/>
      <c r="Y21" s="74"/>
      <c r="Z21" s="74">
        <f>'25'!AD26</f>
        <v>0</v>
      </c>
      <c r="AA21" s="74">
        <f>'26'!AD25</f>
        <v>0</v>
      </c>
      <c r="AB21" s="74">
        <f>'27'!AD26</f>
        <v>0</v>
      </c>
      <c r="AC21" s="74">
        <f>'28'!AD25</f>
        <v>0</v>
      </c>
      <c r="AD21" s="74">
        <f>'29'!AD24</f>
        <v>0</v>
      </c>
      <c r="AE21" s="74"/>
      <c r="AF21" s="75"/>
      <c r="AG21" s="76">
        <f t="shared" si="0"/>
        <v>0</v>
      </c>
    </row>
    <row r="22" spans="1:33" ht="21.75" customHeight="1">
      <c r="A22" s="95" t="s">
        <v>131</v>
      </c>
      <c r="B22" s="93">
        <f>'01'!AD23</f>
        <v>0</v>
      </c>
      <c r="C22" s="93">
        <f>'02'!AD23</f>
        <v>0</v>
      </c>
      <c r="D22" s="74"/>
      <c r="E22" s="74">
        <f>'04'!AD23</f>
        <v>0</v>
      </c>
      <c r="F22" s="74">
        <f>'05'!AD23</f>
        <v>0</v>
      </c>
      <c r="G22" s="74">
        <f>'06'!AD25</f>
        <v>0</v>
      </c>
      <c r="H22" s="74">
        <f>'07'!AD23</f>
        <v>0</v>
      </c>
      <c r="I22" s="74">
        <f>'08'!AD23</f>
        <v>0</v>
      </c>
      <c r="J22" s="74">
        <f>'09'!AD23</f>
        <v>0</v>
      </c>
      <c r="K22" s="74">
        <f>'10'!AD23</f>
        <v>0</v>
      </c>
      <c r="L22" s="74">
        <f>'11'!AD23</f>
        <v>0</v>
      </c>
      <c r="M22" s="74">
        <f>'12'!AD23</f>
        <v>0</v>
      </c>
      <c r="N22" s="74">
        <f>'13'!AD24</f>
        <v>0</v>
      </c>
      <c r="O22" s="74">
        <f>'14'!AD23</f>
        <v>0</v>
      </c>
      <c r="P22" s="74">
        <f>'15'!AD26</f>
        <v>0</v>
      </c>
      <c r="Q22" s="74"/>
      <c r="R22" s="74"/>
      <c r="S22" s="74">
        <f>'18'!AD25</f>
        <v>0</v>
      </c>
      <c r="T22" s="74">
        <f>'19'!AD26</f>
        <v>0</v>
      </c>
      <c r="U22" s="74">
        <f>'20'!AD25</f>
        <v>0</v>
      </c>
      <c r="V22" s="74">
        <f>'21'!AD26</f>
        <v>0</v>
      </c>
      <c r="W22" s="74">
        <f>'22'!AD25</f>
        <v>0</v>
      </c>
      <c r="X22" s="74"/>
      <c r="Y22" s="74"/>
      <c r="Z22" s="74">
        <f>'25'!AD27</f>
        <v>0</v>
      </c>
      <c r="AA22" s="74">
        <f>'26'!AD26</f>
        <v>0</v>
      </c>
      <c r="AB22" s="74">
        <f>'27'!AD27</f>
        <v>0.20833333333333334</v>
      </c>
      <c r="AC22" s="74">
        <f>'28'!AD26</f>
        <v>0.91666666666666663</v>
      </c>
      <c r="AD22" s="74">
        <f>'29'!AD25</f>
        <v>0.58333333333333337</v>
      </c>
      <c r="AE22" s="74"/>
      <c r="AF22" s="75"/>
      <c r="AG22" s="76">
        <f t="shared" si="0"/>
        <v>5.5107526881720437E-2</v>
      </c>
    </row>
    <row r="23" spans="1:33" ht="21.75" customHeight="1">
      <c r="A23" s="95" t="s">
        <v>132</v>
      </c>
      <c r="B23" s="93">
        <f>'01'!AD24</f>
        <v>0</v>
      </c>
      <c r="C23" s="93">
        <f>'02'!AD24</f>
        <v>0</v>
      </c>
      <c r="D23" s="74"/>
      <c r="E23" s="74">
        <f>'04'!AD24</f>
        <v>0</v>
      </c>
      <c r="F23" s="74">
        <f>'05'!AD24</f>
        <v>0</v>
      </c>
      <c r="G23" s="74">
        <f>'06'!AD26</f>
        <v>0</v>
      </c>
      <c r="H23" s="74">
        <f>'07'!AD24</f>
        <v>0.95833333333333337</v>
      </c>
      <c r="I23" s="74">
        <f>'08'!AD24</f>
        <v>0.5</v>
      </c>
      <c r="J23" s="74">
        <f>'09'!AD24</f>
        <v>0</v>
      </c>
      <c r="K23" s="74">
        <f>'10'!AD24</f>
        <v>0</v>
      </c>
      <c r="L23" s="74">
        <f>'11'!AD24</f>
        <v>0</v>
      </c>
      <c r="M23" s="74">
        <f>'12'!AD24</f>
        <v>1</v>
      </c>
      <c r="N23" s="74">
        <f>'13'!AD25</f>
        <v>1</v>
      </c>
      <c r="O23" s="74">
        <f>'14'!AD24</f>
        <v>1</v>
      </c>
      <c r="P23" s="74">
        <f>'15'!AD27</f>
        <v>0</v>
      </c>
      <c r="Q23" s="74"/>
      <c r="R23" s="74"/>
      <c r="S23" s="74">
        <f>'18'!AD26</f>
        <v>0</v>
      </c>
      <c r="T23" s="74">
        <f>'19'!AD27</f>
        <v>0</v>
      </c>
      <c r="U23" s="74">
        <f>'20'!AD26</f>
        <v>0</v>
      </c>
      <c r="V23" s="74">
        <f>'21'!AD27</f>
        <v>0</v>
      </c>
      <c r="W23" s="74">
        <f>'22'!AD26</f>
        <v>0</v>
      </c>
      <c r="X23" s="74"/>
      <c r="Y23" s="74"/>
      <c r="Z23" s="74">
        <f>'25'!AD28</f>
        <v>0</v>
      </c>
      <c r="AA23" s="74">
        <f>'26'!AD27</f>
        <v>0</v>
      </c>
      <c r="AB23" s="74">
        <f>'27'!AD28</f>
        <v>0.20833333333333334</v>
      </c>
      <c r="AC23" s="74">
        <f>'28'!AD27</f>
        <v>0.83333333333333337</v>
      </c>
      <c r="AD23" s="74">
        <f>'29'!AD26</f>
        <v>0</v>
      </c>
      <c r="AE23" s="74"/>
      <c r="AF23" s="75"/>
      <c r="AG23" s="76">
        <f t="shared" si="0"/>
        <v>0.17741935483870969</v>
      </c>
    </row>
    <row r="24" spans="1:33" ht="21.75" customHeight="1">
      <c r="A24" s="95" t="s">
        <v>133</v>
      </c>
      <c r="B24" s="93">
        <f>'01'!AD25</f>
        <v>0</v>
      </c>
      <c r="C24" s="93">
        <f>'02'!AD25</f>
        <v>0</v>
      </c>
      <c r="D24" s="74"/>
      <c r="E24" s="74">
        <f>'04'!AD25</f>
        <v>0</v>
      </c>
      <c r="F24" s="74">
        <f>'05'!AD25</f>
        <v>0</v>
      </c>
      <c r="G24" s="74">
        <f>'06'!AD27</f>
        <v>0</v>
      </c>
      <c r="H24" s="74">
        <f>'07'!AD25</f>
        <v>0</v>
      </c>
      <c r="I24" s="74">
        <f>'08'!AD25</f>
        <v>0</v>
      </c>
      <c r="J24" s="74">
        <f>'09'!AD25</f>
        <v>0</v>
      </c>
      <c r="K24" s="74">
        <f>'10'!AD25</f>
        <v>0</v>
      </c>
      <c r="L24" s="74">
        <f>'11'!AD25</f>
        <v>0</v>
      </c>
      <c r="M24" s="74">
        <f>'12'!AD25</f>
        <v>0.70833333333333337</v>
      </c>
      <c r="N24" s="74">
        <f>'13'!AD26</f>
        <v>1</v>
      </c>
      <c r="O24" s="74">
        <f>'14'!AD25</f>
        <v>1</v>
      </c>
      <c r="P24" s="74">
        <f>'15'!AD28</f>
        <v>1</v>
      </c>
      <c r="Q24" s="74"/>
      <c r="R24" s="74"/>
      <c r="S24" s="74">
        <f>'18'!AD27</f>
        <v>0</v>
      </c>
      <c r="T24" s="74">
        <f>'19'!AD28</f>
        <v>0</v>
      </c>
      <c r="U24" s="74">
        <f>'20'!AD27</f>
        <v>0</v>
      </c>
      <c r="V24" s="74">
        <f>'21'!AD28</f>
        <v>0</v>
      </c>
      <c r="W24" s="74">
        <f>'22'!AD27</f>
        <v>0</v>
      </c>
      <c r="X24" s="74"/>
      <c r="Y24" s="74"/>
      <c r="Z24" s="74">
        <f>'25'!AD29</f>
        <v>0</v>
      </c>
      <c r="AA24" s="74">
        <f>'26'!AD28</f>
        <v>0</v>
      </c>
      <c r="AB24" s="74">
        <f>'27'!AD29</f>
        <v>0.41666666666666669</v>
      </c>
      <c r="AC24" s="74">
        <f>'28'!AD28</f>
        <v>0</v>
      </c>
      <c r="AD24" s="74">
        <f>'29'!AD27</f>
        <v>0</v>
      </c>
      <c r="AE24" s="74"/>
      <c r="AF24" s="75"/>
      <c r="AG24" s="76">
        <f t="shared" si="0"/>
        <v>0.13306451612903225</v>
      </c>
    </row>
    <row r="25" spans="1:33" ht="21.75" customHeight="1">
      <c r="A25" s="95" t="s">
        <v>134</v>
      </c>
      <c r="B25" s="93">
        <f>'01'!AD26</f>
        <v>0</v>
      </c>
      <c r="C25" s="93">
        <f>'02'!AD26</f>
        <v>0</v>
      </c>
      <c r="D25" s="74"/>
      <c r="E25" s="74">
        <f>'04'!AD26</f>
        <v>0</v>
      </c>
      <c r="F25" s="74">
        <f>'05'!AD26</f>
        <v>0</v>
      </c>
      <c r="G25" s="74">
        <f>'06'!AD28</f>
        <v>0</v>
      </c>
      <c r="H25" s="74">
        <f>'07'!AD26</f>
        <v>0</v>
      </c>
      <c r="I25" s="74">
        <f>'08'!AD26</f>
        <v>0</v>
      </c>
      <c r="J25" s="74">
        <f>'09'!AD26</f>
        <v>0</v>
      </c>
      <c r="K25" s="74">
        <f>'10'!AD26</f>
        <v>0</v>
      </c>
      <c r="L25" s="74">
        <f>'11'!AD26</f>
        <v>0</v>
      </c>
      <c r="M25" s="74">
        <f>'12'!AD26</f>
        <v>0</v>
      </c>
      <c r="N25" s="74">
        <f>'13'!AD27</f>
        <v>0</v>
      </c>
      <c r="O25" s="74">
        <f>'14'!AD26</f>
        <v>0</v>
      </c>
      <c r="P25" s="74">
        <f>'15'!AD29</f>
        <v>0</v>
      </c>
      <c r="Q25" s="74"/>
      <c r="R25" s="74"/>
      <c r="S25" s="74">
        <f>'18'!AD28</f>
        <v>0</v>
      </c>
      <c r="T25" s="74">
        <f>'19'!AD29</f>
        <v>0</v>
      </c>
      <c r="U25" s="74">
        <f>'20'!AD28</f>
        <v>0</v>
      </c>
      <c r="V25" s="74">
        <f>'21'!AD29</f>
        <v>0</v>
      </c>
      <c r="W25" s="74">
        <f>'22'!AD28</f>
        <v>0</v>
      </c>
      <c r="X25" s="74"/>
      <c r="Y25" s="74"/>
      <c r="Z25" s="74">
        <f>'25'!AD30</f>
        <v>0</v>
      </c>
      <c r="AA25" s="74">
        <f>'26'!AD29</f>
        <v>0</v>
      </c>
      <c r="AB25" s="74">
        <f>'27'!AD30</f>
        <v>0</v>
      </c>
      <c r="AC25" s="74">
        <f>'28'!AD29</f>
        <v>0</v>
      </c>
      <c r="AD25" s="74">
        <f>'29'!AD28</f>
        <v>0</v>
      </c>
      <c r="AE25" s="74"/>
      <c r="AF25" s="75"/>
      <c r="AG25" s="76">
        <f t="shared" si="0"/>
        <v>0</v>
      </c>
    </row>
    <row r="26" spans="1:33" ht="21.75" customHeight="1" thickBot="1">
      <c r="A26" s="96" t="s">
        <v>135</v>
      </c>
      <c r="B26" s="94">
        <f>'01'!AD27</f>
        <v>0</v>
      </c>
      <c r="C26" s="94">
        <f>'02'!AD27</f>
        <v>0</v>
      </c>
      <c r="D26" s="77"/>
      <c r="E26" s="77">
        <f>'04'!AD27</f>
        <v>0</v>
      </c>
      <c r="F26" s="77">
        <f>'05'!AD27</f>
        <v>0</v>
      </c>
      <c r="G26" s="77">
        <f>'06'!AD29</f>
        <v>0</v>
      </c>
      <c r="H26" s="77">
        <f>'07'!AD27</f>
        <v>0</v>
      </c>
      <c r="I26" s="77">
        <f>'08'!AD27</f>
        <v>0</v>
      </c>
      <c r="J26" s="77">
        <f>'09'!AD27</f>
        <v>0</v>
      </c>
      <c r="K26" s="77">
        <f>'10'!AD27</f>
        <v>0</v>
      </c>
      <c r="L26" s="77">
        <f>'11'!AD27</f>
        <v>0</v>
      </c>
      <c r="M26" s="77">
        <f>'12'!AD27</f>
        <v>0</v>
      </c>
      <c r="N26" s="77">
        <f>'13'!AD28</f>
        <v>0</v>
      </c>
      <c r="O26" s="77">
        <f>'14'!AD27</f>
        <v>0</v>
      </c>
      <c r="P26" s="77">
        <f>'15'!AD30</f>
        <v>0</v>
      </c>
      <c r="Q26" s="77"/>
      <c r="R26" s="77"/>
      <c r="S26" s="77">
        <f>'18'!AD29</f>
        <v>0</v>
      </c>
      <c r="T26" s="77">
        <f>'19'!AD30</f>
        <v>0</v>
      </c>
      <c r="U26" s="77">
        <f>'20'!AD29</f>
        <v>0</v>
      </c>
      <c r="V26" s="77">
        <f>'21'!AD30</f>
        <v>0</v>
      </c>
      <c r="W26" s="77">
        <f>'22'!AD29</f>
        <v>0</v>
      </c>
      <c r="X26" s="77"/>
      <c r="Y26" s="77"/>
      <c r="Z26" s="77">
        <f>'25'!AD31</f>
        <v>0</v>
      </c>
      <c r="AA26" s="77">
        <f>'26'!AD30</f>
        <v>0</v>
      </c>
      <c r="AB26" s="77">
        <f>'27'!AD31</f>
        <v>0</v>
      </c>
      <c r="AC26" s="77">
        <f>'28'!AD30</f>
        <v>0</v>
      </c>
      <c r="AD26" s="77">
        <f>'29'!AD29</f>
        <v>0</v>
      </c>
      <c r="AE26" s="77"/>
      <c r="AF26" s="78"/>
      <c r="AG26" s="79">
        <f t="shared" si="0"/>
        <v>0</v>
      </c>
    </row>
    <row r="27" spans="1:33" s="80" customFormat="1" ht="21.75" customHeight="1">
      <c r="A27" s="84" t="s">
        <v>104</v>
      </c>
      <c r="B27" s="88">
        <f>'01'!AD28</f>
        <v>0.48106060606060608</v>
      </c>
      <c r="C27" s="88">
        <f>'02'!AD28</f>
        <v>0.15909090909090909</v>
      </c>
      <c r="D27" s="89"/>
      <c r="E27" s="89">
        <f>'04'!AD28</f>
        <v>0.41238468977830683</v>
      </c>
      <c r="F27" s="89">
        <f>'05'!AD28</f>
        <v>0.39583333333333337</v>
      </c>
      <c r="G27" s="89">
        <f>'06'!AD30</f>
        <v>0.4045138888888889</v>
      </c>
      <c r="H27" s="89">
        <f>'07'!AD28</f>
        <v>0.5492424242424242</v>
      </c>
      <c r="I27" s="89">
        <f>'08'!AD28</f>
        <v>0.49431818181818182</v>
      </c>
      <c r="J27" s="89">
        <f>'09'!AD28</f>
        <v>0.35227272727272724</v>
      </c>
      <c r="K27" s="89">
        <f>'10'!AD28</f>
        <v>5.3030303030303032E-2</v>
      </c>
      <c r="L27" s="89">
        <f>'11'!AD28</f>
        <v>0.41477272727272735</v>
      </c>
      <c r="M27" s="89">
        <f>'12'!AD28</f>
        <v>0.48863636363636365</v>
      </c>
      <c r="N27" s="89">
        <f>'13'!AD29</f>
        <v>0.53804347826086962</v>
      </c>
      <c r="O27" s="89">
        <f>'14'!AD28</f>
        <v>0.61931818181818177</v>
      </c>
      <c r="P27" s="89">
        <f>'15'!AD31</f>
        <v>0.41</v>
      </c>
      <c r="Q27" s="89"/>
      <c r="R27" s="89"/>
      <c r="S27" s="89">
        <f>'18'!AD30</f>
        <v>0.4079861111111111</v>
      </c>
      <c r="T27" s="89">
        <f>'19'!AD31</f>
        <v>0.43583333333333335</v>
      </c>
      <c r="U27" s="89">
        <f>'20'!AD30</f>
        <v>0.56944444444444453</v>
      </c>
      <c r="V27" s="89">
        <f>'21'!AD31</f>
        <v>0.54833333333333334</v>
      </c>
      <c r="W27" s="89">
        <f>'22'!AD30</f>
        <v>0.46180555555555552</v>
      </c>
      <c r="X27" s="89"/>
      <c r="Y27" s="89"/>
      <c r="Z27" s="89">
        <f>'25'!AD32</f>
        <v>0.36858974358974361</v>
      </c>
      <c r="AA27" s="89">
        <f>'26'!AD31</f>
        <v>0.33833333333333337</v>
      </c>
      <c r="AB27" s="89">
        <f>'27'!AD32</f>
        <v>0.49519230769230771</v>
      </c>
      <c r="AC27" s="89">
        <f>'28'!AD31</f>
        <v>0.57333333333333336</v>
      </c>
      <c r="AD27" s="89">
        <f>'29'!AD30</f>
        <v>0.44270833333333343</v>
      </c>
      <c r="AE27" s="89"/>
      <c r="AF27" s="90"/>
      <c r="AG27" s="91">
        <f t="shared" si="0"/>
        <v>0.33593798850205331</v>
      </c>
    </row>
    <row r="28" spans="1:33" ht="21.75" customHeight="1" thickBot="1">
      <c r="A28" s="69" t="s">
        <v>108</v>
      </c>
      <c r="B28" s="70">
        <v>0.62</v>
      </c>
      <c r="C28" s="71">
        <v>0.62</v>
      </c>
      <c r="D28" s="71">
        <v>0.62</v>
      </c>
      <c r="E28" s="71">
        <v>0.62</v>
      </c>
      <c r="F28" s="71">
        <v>0.62</v>
      </c>
      <c r="G28" s="71">
        <v>0.62</v>
      </c>
      <c r="H28" s="71">
        <v>0.62</v>
      </c>
      <c r="I28" s="71">
        <v>0.62</v>
      </c>
      <c r="J28" s="71">
        <v>0.62</v>
      </c>
      <c r="K28" s="71">
        <v>0.62</v>
      </c>
      <c r="L28" s="71">
        <v>0.62</v>
      </c>
      <c r="M28" s="71">
        <v>0.62</v>
      </c>
      <c r="N28" s="71">
        <v>0.62</v>
      </c>
      <c r="O28" s="71">
        <v>0.62</v>
      </c>
      <c r="P28" s="71">
        <v>0.62</v>
      </c>
      <c r="Q28" s="71">
        <v>0.62</v>
      </c>
      <c r="R28" s="71">
        <v>0.62</v>
      </c>
      <c r="S28" s="71">
        <v>0.62</v>
      </c>
      <c r="T28" s="71">
        <v>0.62</v>
      </c>
      <c r="U28" s="71">
        <v>0.62</v>
      </c>
      <c r="V28" s="71">
        <v>0.62</v>
      </c>
      <c r="W28" s="71">
        <v>0.62</v>
      </c>
      <c r="X28" s="71">
        <v>0.62</v>
      </c>
      <c r="Y28" s="71">
        <v>0.62</v>
      </c>
      <c r="Z28" s="71">
        <v>0.62</v>
      </c>
      <c r="AA28" s="71">
        <v>0.62</v>
      </c>
      <c r="AB28" s="71">
        <v>0.62</v>
      </c>
      <c r="AC28" s="71">
        <v>0.62</v>
      </c>
      <c r="AD28" s="71">
        <v>0.62</v>
      </c>
      <c r="AE28" s="71">
        <v>0.62</v>
      </c>
      <c r="AF28" s="72">
        <v>0.62</v>
      </c>
      <c r="AG28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25</vt:i4>
      </vt:variant>
      <vt:variant>
        <vt:lpstr>이름 지정된 범위</vt:lpstr>
      </vt:variant>
      <vt:variant>
        <vt:i4>48</vt:i4>
      </vt:variant>
    </vt:vector>
  </HeadingPairs>
  <TitlesOfParts>
    <vt:vector size="73" baseType="lpstr">
      <vt:lpstr>01</vt:lpstr>
      <vt:lpstr>02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18</vt:lpstr>
      <vt:lpstr>19</vt:lpstr>
      <vt:lpstr>20</vt:lpstr>
      <vt:lpstr>21</vt:lpstr>
      <vt:lpstr>22</vt:lpstr>
      <vt:lpstr>25</vt:lpstr>
      <vt:lpstr>26</vt:lpstr>
      <vt:lpstr>27</vt:lpstr>
      <vt:lpstr>28</vt:lpstr>
      <vt:lpstr>29</vt:lpstr>
      <vt:lpstr>총괄</vt:lpstr>
      <vt:lpstr>'01'!Print_Area</vt:lpstr>
      <vt:lpstr>'02'!Print_Area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'18'!Print_Area</vt:lpstr>
      <vt:lpstr>'19'!Print_Area</vt:lpstr>
      <vt:lpstr>'20'!Print_Area</vt:lpstr>
      <vt:lpstr>'21'!Print_Area</vt:lpstr>
      <vt:lpstr>'22'!Print_Area</vt:lpstr>
      <vt:lpstr>'25'!Print_Area</vt:lpstr>
      <vt:lpstr>'26'!Print_Area</vt:lpstr>
      <vt:lpstr>'27'!Print_Area</vt:lpstr>
      <vt:lpstr>'28'!Print_Area</vt:lpstr>
      <vt:lpstr>'29'!Print_Area</vt:lpstr>
      <vt:lpstr>'01'!ㅁ1</vt:lpstr>
      <vt:lpstr>'02'!ㅁ1</vt:lpstr>
      <vt:lpstr>'04'!ㅁ1</vt:lpstr>
      <vt:lpstr>'05'!ㅁ1</vt:lpstr>
      <vt:lpstr>'06'!ㅁ1</vt:lpstr>
      <vt:lpstr>'07'!ㅁ1</vt:lpstr>
      <vt:lpstr>'08'!ㅁ1</vt:lpstr>
      <vt:lpstr>'09'!ㅁ1</vt:lpstr>
      <vt:lpstr>'10'!ㅁ1</vt:lpstr>
      <vt:lpstr>'11'!ㅁ1</vt:lpstr>
      <vt:lpstr>'12'!ㅁ1</vt:lpstr>
      <vt:lpstr>'13'!ㅁ1</vt:lpstr>
      <vt:lpstr>'14'!ㅁ1</vt:lpstr>
      <vt:lpstr>'15'!ㅁ1</vt:lpstr>
      <vt:lpstr>'18'!ㅁ1</vt:lpstr>
      <vt:lpstr>'19'!ㅁ1</vt:lpstr>
      <vt:lpstr>'20'!ㅁ1</vt:lpstr>
      <vt:lpstr>'21'!ㅁ1</vt:lpstr>
      <vt:lpstr>'22'!ㅁ1</vt:lpstr>
      <vt:lpstr>'25'!ㅁ1</vt:lpstr>
      <vt:lpstr>'26'!ㅁ1</vt:lpstr>
      <vt:lpstr>'27'!ㅁ1</vt:lpstr>
      <vt:lpstr>'28'!ㅁ1</vt:lpstr>
      <vt:lpstr>'29'!ㅁ1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2021-05-10T23:53:31Z</cp:lastPrinted>
  <dcterms:created xsi:type="dcterms:W3CDTF">2014-05-16T00:06:55Z</dcterms:created>
  <dcterms:modified xsi:type="dcterms:W3CDTF">2021-10-30T06:04:23Z</dcterms:modified>
</cp:coreProperties>
</file>